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3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5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amandajohnson/Downloads/"/>
    </mc:Choice>
  </mc:AlternateContent>
  <xr:revisionPtr revIDLastSave="0" documentId="13_ncr:1_{C29B3D2C-4541-3E47-BAAD-6B87C4342DDC}" xr6:coauthVersionLast="45" xr6:coauthVersionMax="45" xr10:uidLastSave="{00000000-0000-0000-0000-000000000000}"/>
  <bookViews>
    <workbookView xWindow="0" yWindow="460" windowWidth="24780" windowHeight="14640" tabRatio="775" xr2:uid="{00000000-000D-0000-FFFF-FFFF00000000}"/>
  </bookViews>
  <sheets>
    <sheet name="Input" sheetId="15" r:id="rId1"/>
    <sheet name="2020 Library Quick Report" sheetId="25" r:id="rId2"/>
    <sheet name="2020 Individual Charts" sheetId="18" r:id="rId3"/>
    <sheet name="2020 Comparison Charts" sheetId="16" r:id="rId4"/>
    <sheet name="2020Data" sheetId="24" state="hidden" r:id="rId5"/>
    <sheet name="branch" sheetId="27" state="hidden" r:id="rId6"/>
    <sheet name="BranchInfo" sheetId="28" state="hidden" r:id="rId7"/>
  </sheets>
  <definedNames>
    <definedName name="_2019_Charts">Input!$C$13</definedName>
    <definedName name="_xlnm._FilterDatabase" localSheetId="4" hidden="1">'2020Data'!$A$1:$EB$84</definedName>
    <definedName name="_xlnm._FilterDatabase" localSheetId="0" hidden="1">Input!$B$42:$AG$43</definedName>
    <definedName name="Comparison_Library_City" localSheetId="4">'2020Data'!$A$1:$A$83</definedName>
    <definedName name="_xlnm.Print_Area" localSheetId="3">'2020 Comparison Charts'!$A$1:$K$331</definedName>
    <definedName name="_xlnm.Print_Area" localSheetId="2">'2020 Individual Charts'!$A$1:$O$227</definedName>
    <definedName name="_xlnm.Print_Area" localSheetId="1">'2020 Library Quick Report'!$B$2:$F$58</definedName>
    <definedName name="_xlnm.Print_Area" localSheetId="0">Input!$A$1:$H$29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2" i="24" l="1"/>
  <c r="B117" i="24"/>
  <c r="B116" i="24"/>
  <c r="B115" i="24"/>
  <c r="B113" i="24"/>
  <c r="B114" i="24"/>
  <c r="C113" i="24" l="1"/>
  <c r="D113" i="24"/>
  <c r="E113" i="24"/>
  <c r="F113" i="24"/>
  <c r="G113" i="24"/>
  <c r="H113" i="24"/>
  <c r="I113" i="24"/>
  <c r="J113" i="24"/>
  <c r="K113" i="24"/>
  <c r="L113" i="24"/>
  <c r="M113" i="24"/>
  <c r="N113" i="24"/>
  <c r="O113" i="24"/>
  <c r="P113" i="24"/>
  <c r="Q113" i="24"/>
  <c r="R113" i="24"/>
  <c r="S113" i="24"/>
  <c r="T113" i="24"/>
  <c r="U113" i="24"/>
  <c r="V113" i="24"/>
  <c r="W113" i="24"/>
  <c r="X113" i="24"/>
  <c r="Y113" i="24"/>
  <c r="Z113" i="24"/>
  <c r="AA113" i="24"/>
  <c r="AB113" i="24"/>
  <c r="AC113" i="24"/>
  <c r="AD113" i="24"/>
  <c r="AE113" i="24"/>
  <c r="AF113" i="24"/>
  <c r="AG113" i="24"/>
  <c r="AH113" i="24"/>
  <c r="AI113" i="24"/>
  <c r="AJ113" i="24"/>
  <c r="AK113" i="24"/>
  <c r="AL113" i="24"/>
  <c r="AM113" i="24"/>
  <c r="AN113" i="24"/>
  <c r="AO113" i="24"/>
  <c r="AP113" i="24"/>
  <c r="AQ113" i="24"/>
  <c r="AR113" i="24"/>
  <c r="AS113" i="24"/>
  <c r="AT113" i="24"/>
  <c r="AU113" i="24"/>
  <c r="AV113" i="24"/>
  <c r="AW113" i="24"/>
  <c r="AX113" i="24"/>
  <c r="AY113" i="24"/>
  <c r="AZ113" i="24"/>
  <c r="BA113" i="24"/>
  <c r="BB113" i="24"/>
  <c r="BC113" i="24"/>
  <c r="BD113" i="24"/>
  <c r="BE113" i="24"/>
  <c r="BF113" i="24"/>
  <c r="BG113" i="24"/>
  <c r="BH113" i="24"/>
  <c r="BI113" i="24"/>
  <c r="BJ113" i="24"/>
  <c r="BK113" i="24"/>
  <c r="BL113" i="24"/>
  <c r="BM113" i="24"/>
  <c r="BN113" i="24"/>
  <c r="BO113" i="24"/>
  <c r="BP113" i="24"/>
  <c r="BQ113" i="24"/>
  <c r="BR113" i="24"/>
  <c r="BS113" i="24"/>
  <c r="BT113" i="24"/>
  <c r="BU113" i="24"/>
  <c r="BV113" i="24"/>
  <c r="BW113" i="24"/>
  <c r="BX113" i="24"/>
  <c r="BY113" i="24"/>
  <c r="BZ113" i="24"/>
  <c r="CA113" i="24"/>
  <c r="CB113" i="24"/>
  <c r="CC113" i="24"/>
  <c r="CD113" i="24"/>
  <c r="CE113" i="24"/>
  <c r="CF113" i="24"/>
  <c r="CG113" i="24"/>
  <c r="CH113" i="24"/>
  <c r="CI113" i="24"/>
  <c r="CJ113" i="24"/>
  <c r="CK113" i="24"/>
  <c r="CL113" i="24"/>
  <c r="CM113" i="24"/>
  <c r="CN113" i="24"/>
  <c r="CO113" i="24"/>
  <c r="CP113" i="24"/>
  <c r="CQ113" i="24"/>
  <c r="CR113" i="24"/>
  <c r="CS113" i="24"/>
  <c r="CT113" i="24"/>
  <c r="CU113" i="24"/>
  <c r="CV113" i="24"/>
  <c r="CW113" i="24"/>
  <c r="CX113" i="24"/>
  <c r="CY113" i="24"/>
  <c r="CZ113" i="24"/>
  <c r="DA113" i="24"/>
  <c r="DB113" i="24"/>
  <c r="DC113" i="24"/>
  <c r="DD113" i="24"/>
  <c r="DE113" i="24"/>
  <c r="DF113" i="24"/>
  <c r="DG113" i="24"/>
  <c r="DH113" i="24"/>
  <c r="DI113" i="24"/>
  <c r="DJ113" i="24"/>
  <c r="DK113" i="24"/>
  <c r="DL113" i="24"/>
  <c r="DM113" i="24"/>
  <c r="DN113" i="24"/>
  <c r="DO113" i="24"/>
  <c r="DP113" i="24"/>
  <c r="DQ113" i="24"/>
  <c r="DR113" i="24"/>
  <c r="DS113" i="24"/>
  <c r="DT113" i="24"/>
  <c r="DU113" i="24"/>
  <c r="DV113" i="24"/>
  <c r="DW113" i="24"/>
  <c r="DX113" i="24"/>
  <c r="DY113" i="24"/>
  <c r="DZ113" i="24"/>
  <c r="EA113" i="24"/>
  <c r="EB113" i="24"/>
  <c r="D102" i="24"/>
  <c r="C102" i="24"/>
  <c r="C114" i="24"/>
  <c r="C115" i="24"/>
  <c r="C116" i="24"/>
  <c r="C117" i="24"/>
  <c r="L3" i="24" l="1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2" i="24"/>
  <c r="N84" i="24"/>
  <c r="O84" i="24"/>
  <c r="CC2" i="24" l="1"/>
  <c r="C53" i="25" l="1"/>
  <c r="DH3" i="24"/>
  <c r="DH4" i="24"/>
  <c r="DH5" i="24"/>
  <c r="DH6" i="24"/>
  <c r="DH7" i="24"/>
  <c r="DH8" i="24"/>
  <c r="DH9" i="24"/>
  <c r="DH10" i="24"/>
  <c r="DH11" i="24"/>
  <c r="DH12" i="24"/>
  <c r="DH13" i="24"/>
  <c r="DH14" i="24"/>
  <c r="DH15" i="24"/>
  <c r="DH16" i="24"/>
  <c r="DH17" i="24"/>
  <c r="DH18" i="24"/>
  <c r="DH19" i="24"/>
  <c r="DH20" i="24"/>
  <c r="DH21" i="24"/>
  <c r="DH22" i="24"/>
  <c r="DH23" i="24"/>
  <c r="DH24" i="24"/>
  <c r="DH25" i="24"/>
  <c r="DH26" i="24"/>
  <c r="DH27" i="24"/>
  <c r="DH28" i="24"/>
  <c r="DH29" i="24"/>
  <c r="DH30" i="24"/>
  <c r="DH31" i="24"/>
  <c r="DH32" i="24"/>
  <c r="DH33" i="24"/>
  <c r="DH34" i="24"/>
  <c r="DH35" i="24"/>
  <c r="DH36" i="24"/>
  <c r="DH37" i="24"/>
  <c r="DH38" i="24"/>
  <c r="DH39" i="24"/>
  <c r="DH40" i="24"/>
  <c r="DH41" i="24"/>
  <c r="DH42" i="24"/>
  <c r="DH43" i="24"/>
  <c r="DH44" i="24"/>
  <c r="DH45" i="24"/>
  <c r="DH46" i="24"/>
  <c r="DH47" i="24"/>
  <c r="DH48" i="24"/>
  <c r="DH49" i="24"/>
  <c r="DH50" i="24"/>
  <c r="DH51" i="24"/>
  <c r="DH52" i="24"/>
  <c r="DH53" i="24"/>
  <c r="DH54" i="24"/>
  <c r="DH55" i="24"/>
  <c r="DH56" i="24"/>
  <c r="DH57" i="24"/>
  <c r="DH58" i="24"/>
  <c r="DH59" i="24"/>
  <c r="DH60" i="24"/>
  <c r="DH61" i="24"/>
  <c r="DH62" i="24"/>
  <c r="DH63" i="24"/>
  <c r="DH64" i="24"/>
  <c r="DH65" i="24"/>
  <c r="DH66" i="24"/>
  <c r="DH67" i="24"/>
  <c r="DH68" i="24"/>
  <c r="DH69" i="24"/>
  <c r="DH70" i="24"/>
  <c r="DH71" i="24"/>
  <c r="DH72" i="24"/>
  <c r="DH73" i="24"/>
  <c r="DH74" i="24"/>
  <c r="DH75" i="24"/>
  <c r="DH76" i="24"/>
  <c r="DH77" i="24"/>
  <c r="DH78" i="24"/>
  <c r="DH79" i="24"/>
  <c r="DH80" i="24"/>
  <c r="DH81" i="24"/>
  <c r="DH82" i="24"/>
  <c r="DH83" i="24"/>
  <c r="DH2" i="24"/>
  <c r="AG84" i="24" l="1"/>
  <c r="AF84" i="24"/>
  <c r="BR3" i="24"/>
  <c r="BR4" i="24"/>
  <c r="BR5" i="24"/>
  <c r="BR6" i="24"/>
  <c r="BR7" i="24"/>
  <c r="BR8" i="24"/>
  <c r="BR9" i="24"/>
  <c r="BR10" i="24"/>
  <c r="BR11" i="24"/>
  <c r="BR12" i="24"/>
  <c r="BR13" i="24"/>
  <c r="BR14" i="24"/>
  <c r="BR15" i="24"/>
  <c r="BR16" i="24"/>
  <c r="BR17" i="24"/>
  <c r="BR18" i="24"/>
  <c r="BR19" i="24"/>
  <c r="BR20" i="24"/>
  <c r="BR21" i="24"/>
  <c r="BR22" i="24"/>
  <c r="BR23" i="24"/>
  <c r="BR24" i="24"/>
  <c r="BR25" i="24"/>
  <c r="BR26" i="24"/>
  <c r="BR27" i="24"/>
  <c r="BR28" i="24"/>
  <c r="BR29" i="24"/>
  <c r="BR30" i="24"/>
  <c r="BR31" i="24"/>
  <c r="BR32" i="24"/>
  <c r="BR33" i="24"/>
  <c r="BR34" i="24"/>
  <c r="BR35" i="24"/>
  <c r="BR36" i="24"/>
  <c r="BR37" i="24"/>
  <c r="BR38" i="24"/>
  <c r="BR39" i="24"/>
  <c r="BR40" i="24"/>
  <c r="BR41" i="24"/>
  <c r="BR42" i="24"/>
  <c r="BR43" i="24"/>
  <c r="BR44" i="24"/>
  <c r="BR45" i="24"/>
  <c r="BR46" i="24"/>
  <c r="BR47" i="24"/>
  <c r="BR48" i="24"/>
  <c r="BR49" i="24"/>
  <c r="BR50" i="24"/>
  <c r="BR51" i="24"/>
  <c r="BR52" i="24"/>
  <c r="BR53" i="24"/>
  <c r="BR54" i="24"/>
  <c r="BR55" i="24"/>
  <c r="BR56" i="24"/>
  <c r="BR57" i="24"/>
  <c r="BR58" i="24"/>
  <c r="BR59" i="24"/>
  <c r="BR60" i="24"/>
  <c r="BR61" i="24"/>
  <c r="BR62" i="24"/>
  <c r="BR63" i="24"/>
  <c r="BR64" i="24"/>
  <c r="BR65" i="24"/>
  <c r="BR66" i="24"/>
  <c r="BR67" i="24"/>
  <c r="BR68" i="24"/>
  <c r="BR69" i="24"/>
  <c r="BR70" i="24"/>
  <c r="BR71" i="24"/>
  <c r="BR72" i="24"/>
  <c r="BR73" i="24"/>
  <c r="BR74" i="24"/>
  <c r="BR75" i="24"/>
  <c r="BR76" i="24"/>
  <c r="BR77" i="24"/>
  <c r="BR78" i="24"/>
  <c r="BR79" i="24"/>
  <c r="BR80" i="24"/>
  <c r="BR81" i="24"/>
  <c r="BR82" i="24"/>
  <c r="BR83" i="24"/>
  <c r="BR2" i="24"/>
  <c r="EB2" i="24"/>
  <c r="EB83" i="24" l="1"/>
  <c r="EB82" i="24"/>
  <c r="EB81" i="24"/>
  <c r="EB80" i="24"/>
  <c r="EB79" i="24"/>
  <c r="EB78" i="24"/>
  <c r="EB77" i="24"/>
  <c r="EB76" i="24"/>
  <c r="EB75" i="24"/>
  <c r="EB73" i="24"/>
  <c r="EB72" i="24"/>
  <c r="EB69" i="24"/>
  <c r="EB68" i="24"/>
  <c r="EB67" i="24"/>
  <c r="EB65" i="24"/>
  <c r="EB64" i="24"/>
  <c r="EB62" i="24"/>
  <c r="EB61" i="24"/>
  <c r="EB60" i="24"/>
  <c r="EB59" i="24"/>
  <c r="EB58" i="24"/>
  <c r="EB57" i="24"/>
  <c r="EB56" i="24"/>
  <c r="EB55" i="24"/>
  <c r="EB53" i="24"/>
  <c r="EB52" i="24"/>
  <c r="EB51" i="24"/>
  <c r="EB50" i="24"/>
  <c r="EB49" i="24"/>
  <c r="EB48" i="24"/>
  <c r="EB47" i="24"/>
  <c r="EB46" i="24"/>
  <c r="EB44" i="24"/>
  <c r="EB43" i="24"/>
  <c r="EB42" i="24"/>
  <c r="EB41" i="24"/>
  <c r="EB40" i="24"/>
  <c r="EB39" i="24"/>
  <c r="EB38" i="24"/>
  <c r="EB36" i="24"/>
  <c r="EB35" i="24"/>
  <c r="EB34" i="24"/>
  <c r="EB33" i="24"/>
  <c r="EB32" i="24"/>
  <c r="EB31" i="24"/>
  <c r="EB30" i="24"/>
  <c r="EB29" i="24"/>
  <c r="EB27" i="24"/>
  <c r="EB26" i="24"/>
  <c r="EB25" i="24"/>
  <c r="EB24" i="24"/>
  <c r="EB23" i="24"/>
  <c r="EB22" i="24"/>
  <c r="EB21" i="24"/>
  <c r="EB20" i="24"/>
  <c r="EB19" i="24"/>
  <c r="EB18" i="24"/>
  <c r="EB16" i="24"/>
  <c r="EB14" i="24"/>
  <c r="EB13" i="24"/>
  <c r="EB12" i="24"/>
  <c r="EB11" i="24"/>
  <c r="EB10" i="24"/>
  <c r="EB9" i="24"/>
  <c r="EB7" i="24"/>
  <c r="EB5" i="24"/>
  <c r="EB4" i="24"/>
  <c r="EB3" i="24"/>
  <c r="CP83" i="24"/>
  <c r="CP82" i="24"/>
  <c r="CP81" i="24"/>
  <c r="CP80" i="24"/>
  <c r="CP79" i="24"/>
  <c r="CP78" i="24"/>
  <c r="CP76" i="24"/>
  <c r="CP75" i="24"/>
  <c r="CP73" i="24"/>
  <c r="CP69" i="24"/>
  <c r="CP68" i="24"/>
  <c r="CP65" i="24"/>
  <c r="CP62" i="24"/>
  <c r="CP61" i="24"/>
  <c r="CP60" i="24"/>
  <c r="CP59" i="24"/>
  <c r="CP55" i="24"/>
  <c r="CP47" i="24"/>
  <c r="CP46" i="24"/>
  <c r="CP45" i="24"/>
  <c r="A6" i="16"/>
  <c r="G90" i="24" l="1"/>
  <c r="G104" i="24"/>
  <c r="EB117" i="24"/>
  <c r="DV117" i="24"/>
  <c r="DV116" i="24"/>
  <c r="DV115" i="24"/>
  <c r="DV114" i="24"/>
  <c r="DU117" i="24"/>
  <c r="DU116" i="24"/>
  <c r="DU115" i="24"/>
  <c r="DU114" i="24"/>
  <c r="DT117" i="24"/>
  <c r="DT116" i="24"/>
  <c r="DT115" i="24"/>
  <c r="DT114" i="24"/>
  <c r="DS117" i="24"/>
  <c r="DS116" i="24"/>
  <c r="DS115" i="24"/>
  <c r="DS114" i="24"/>
  <c r="DR117" i="24"/>
  <c r="DR116" i="24"/>
  <c r="DR115" i="24"/>
  <c r="DR114" i="24"/>
  <c r="DQ117" i="24"/>
  <c r="DQ116" i="24"/>
  <c r="DQ115" i="24"/>
  <c r="DQ114" i="24"/>
  <c r="DP117" i="24"/>
  <c r="DP116" i="24"/>
  <c r="DP115" i="24"/>
  <c r="DP114" i="24"/>
  <c r="DO117" i="24"/>
  <c r="DO116" i="24"/>
  <c r="DO115" i="24"/>
  <c r="DO114" i="24"/>
  <c r="DN117" i="24"/>
  <c r="DN116" i="24"/>
  <c r="DN115" i="24"/>
  <c r="DN114" i="24"/>
  <c r="DM117" i="24"/>
  <c r="DM116" i="24"/>
  <c r="DM115" i="24"/>
  <c r="DM114" i="24"/>
  <c r="DK117" i="24"/>
  <c r="DK116" i="24"/>
  <c r="DK115" i="24"/>
  <c r="DK114" i="24"/>
  <c r="DJ117" i="24"/>
  <c r="DJ116" i="24"/>
  <c r="DJ115" i="24"/>
  <c r="DJ114" i="24"/>
  <c r="DI117" i="24"/>
  <c r="DI116" i="24"/>
  <c r="DI115" i="24"/>
  <c r="DI114" i="24"/>
  <c r="DH117" i="24"/>
  <c r="DH116" i="24"/>
  <c r="DH115" i="24"/>
  <c r="DH114" i="24"/>
  <c r="DG117" i="24"/>
  <c r="DG116" i="24"/>
  <c r="DG115" i="24"/>
  <c r="DG114" i="24"/>
  <c r="DF117" i="24"/>
  <c r="DF116" i="24"/>
  <c r="DF115" i="24"/>
  <c r="DF114" i="24"/>
  <c r="DE117" i="24"/>
  <c r="DE116" i="24"/>
  <c r="DE115" i="24"/>
  <c r="DE114" i="24"/>
  <c r="DD117" i="24"/>
  <c r="DD116" i="24"/>
  <c r="DD115" i="24"/>
  <c r="DD114" i="24"/>
  <c r="DC117" i="24"/>
  <c r="DC116" i="24"/>
  <c r="DC115" i="24"/>
  <c r="DC114" i="24"/>
  <c r="DB117" i="24"/>
  <c r="DB116" i="24"/>
  <c r="DB115" i="24"/>
  <c r="DB114" i="24"/>
  <c r="DA117" i="24"/>
  <c r="DA116" i="24"/>
  <c r="DA115" i="24"/>
  <c r="DA114" i="24"/>
  <c r="CZ117" i="24"/>
  <c r="CZ116" i="24"/>
  <c r="CZ115" i="24"/>
  <c r="CZ114" i="24"/>
  <c r="CY117" i="24"/>
  <c r="CY116" i="24"/>
  <c r="CY115" i="24"/>
  <c r="CY114" i="24"/>
  <c r="CX117" i="24"/>
  <c r="CX116" i="24"/>
  <c r="CX115" i="24"/>
  <c r="CX114" i="24"/>
  <c r="CW117" i="24"/>
  <c r="CW116" i="24"/>
  <c r="CW115" i="24"/>
  <c r="CW114" i="24"/>
  <c r="CV117" i="24"/>
  <c r="CV116" i="24"/>
  <c r="CV115" i="24"/>
  <c r="CV114" i="24"/>
  <c r="CU117" i="24"/>
  <c r="CU116" i="24"/>
  <c r="CU115" i="24"/>
  <c r="CU114" i="24"/>
  <c r="CR117" i="24"/>
  <c r="CR116" i="24"/>
  <c r="CR115" i="24"/>
  <c r="CR114" i="24"/>
  <c r="CQ117" i="24"/>
  <c r="CQ116" i="24"/>
  <c r="CQ115" i="24"/>
  <c r="CQ114" i="24"/>
  <c r="CO117" i="24"/>
  <c r="CO116" i="24"/>
  <c r="CO115" i="24"/>
  <c r="CO114" i="24"/>
  <c r="CN117" i="24"/>
  <c r="CN116" i="24"/>
  <c r="CN115" i="24"/>
  <c r="CN114" i="24"/>
  <c r="CM117" i="24"/>
  <c r="CM116" i="24"/>
  <c r="CM115" i="24"/>
  <c r="CM114" i="24"/>
  <c r="CL117" i="24"/>
  <c r="CL116" i="24"/>
  <c r="CL115" i="24"/>
  <c r="CL114" i="24"/>
  <c r="CK117" i="24"/>
  <c r="CK116" i="24"/>
  <c r="CK115" i="24"/>
  <c r="CK114" i="24"/>
  <c r="CI117" i="24"/>
  <c r="CI116" i="24"/>
  <c r="CI115" i="24"/>
  <c r="CI114" i="24"/>
  <c r="CF117" i="24"/>
  <c r="CF116" i="24"/>
  <c r="CF115" i="24"/>
  <c r="CF114" i="24"/>
  <c r="CE117" i="24"/>
  <c r="CE116" i="24"/>
  <c r="CE115" i="24"/>
  <c r="CE114" i="24"/>
  <c r="CD117" i="24"/>
  <c r="CD116" i="24"/>
  <c r="CD115" i="24"/>
  <c r="CD114" i="24"/>
  <c r="CB117" i="24"/>
  <c r="CB116" i="24"/>
  <c r="CB115" i="24"/>
  <c r="CB114" i="24"/>
  <c r="CA117" i="24"/>
  <c r="CA116" i="24"/>
  <c r="CA115" i="24"/>
  <c r="CA114" i="24"/>
  <c r="BZ117" i="24"/>
  <c r="BZ116" i="24"/>
  <c r="BZ115" i="24"/>
  <c r="BZ114" i="24"/>
  <c r="BT117" i="24"/>
  <c r="BT116" i="24"/>
  <c r="BT115" i="24"/>
  <c r="BT114" i="24"/>
  <c r="BS117" i="24"/>
  <c r="BS116" i="24"/>
  <c r="BS115" i="24"/>
  <c r="BS114" i="24"/>
  <c r="BR117" i="24"/>
  <c r="BR116" i="24"/>
  <c r="BR115" i="24"/>
  <c r="BR114" i="24"/>
  <c r="BQ117" i="24"/>
  <c r="BQ116" i="24"/>
  <c r="BQ115" i="24"/>
  <c r="BQ114" i="24"/>
  <c r="BP117" i="24"/>
  <c r="BP116" i="24"/>
  <c r="BP115" i="24"/>
  <c r="BP114" i="24"/>
  <c r="BN117" i="24"/>
  <c r="BN116" i="24"/>
  <c r="BN115" i="24"/>
  <c r="BN114" i="24"/>
  <c r="BM117" i="24"/>
  <c r="BM116" i="24"/>
  <c r="BM115" i="24"/>
  <c r="BM114" i="24"/>
  <c r="BK117" i="24"/>
  <c r="BK116" i="24"/>
  <c r="BK115" i="24"/>
  <c r="BK114" i="24"/>
  <c r="BI117" i="24"/>
  <c r="BI116" i="24"/>
  <c r="BI115" i="24"/>
  <c r="BI114" i="24"/>
  <c r="BH117" i="24"/>
  <c r="BH116" i="24"/>
  <c r="BH115" i="24"/>
  <c r="BH114" i="24"/>
  <c r="BG117" i="24"/>
  <c r="BG116" i="24"/>
  <c r="BG115" i="24"/>
  <c r="BG114" i="24"/>
  <c r="BF117" i="24"/>
  <c r="BF116" i="24"/>
  <c r="BF115" i="24"/>
  <c r="BF114" i="24"/>
  <c r="BE117" i="24"/>
  <c r="BE116" i="24"/>
  <c r="BE115" i="24"/>
  <c r="BE114" i="24"/>
  <c r="BD117" i="24"/>
  <c r="BD116" i="24"/>
  <c r="BD115" i="24"/>
  <c r="BD114" i="24"/>
  <c r="BC117" i="24"/>
  <c r="BC116" i="24"/>
  <c r="BC115" i="24"/>
  <c r="BC114" i="24"/>
  <c r="BB117" i="24"/>
  <c r="BB116" i="24"/>
  <c r="BB115" i="24"/>
  <c r="BB114" i="24"/>
  <c r="AZ117" i="24"/>
  <c r="AZ116" i="24"/>
  <c r="AZ115" i="24"/>
  <c r="AZ114" i="24"/>
  <c r="CF102" i="24"/>
  <c r="CE102" i="24"/>
  <c r="CD102" i="24"/>
  <c r="CB102" i="24"/>
  <c r="CA102" i="24"/>
  <c r="BZ102" i="24"/>
  <c r="BT102" i="24"/>
  <c r="BS102" i="24"/>
  <c r="BR102" i="24"/>
  <c r="BQ102" i="24"/>
  <c r="BP102" i="24"/>
  <c r="BN102" i="24"/>
  <c r="BM102" i="24"/>
  <c r="BK102" i="24"/>
  <c r="BI102" i="24"/>
  <c r="BH102" i="24"/>
  <c r="BG102" i="24"/>
  <c r="BF102" i="24"/>
  <c r="BE102" i="24"/>
  <c r="BD102" i="24"/>
  <c r="BC102" i="24"/>
  <c r="BB102" i="24"/>
  <c r="AZ102" i="24"/>
  <c r="CI102" i="24"/>
  <c r="F56" i="25"/>
  <c r="F55" i="25"/>
  <c r="F54" i="25"/>
  <c r="F53" i="25"/>
  <c r="F50" i="25"/>
  <c r="F49" i="25"/>
  <c r="F43" i="25"/>
  <c r="F42" i="25"/>
  <c r="F40" i="25"/>
  <c r="F39" i="25"/>
  <c r="F38" i="25"/>
  <c r="F25" i="25"/>
  <c r="F22" i="25"/>
  <c r="F24" i="25"/>
  <c r="F21" i="25"/>
  <c r="F20" i="25"/>
  <c r="F19" i="25"/>
  <c r="F18" i="25"/>
  <c r="F13" i="25"/>
  <c r="F12" i="25"/>
  <c r="F11" i="25"/>
  <c r="F8" i="25"/>
  <c r="F10" i="25"/>
  <c r="F7" i="25"/>
  <c r="F9" i="25"/>
  <c r="F6" i="25"/>
  <c r="F5" i="25"/>
  <c r="C51" i="25"/>
  <c r="C43" i="25"/>
  <c r="C42" i="25"/>
  <c r="C41" i="25"/>
  <c r="C40" i="25"/>
  <c r="C39" i="25"/>
  <c r="C37" i="25"/>
  <c r="C36" i="25"/>
  <c r="C33" i="25"/>
  <c r="C32" i="25"/>
  <c r="C31" i="25"/>
  <c r="C29" i="25"/>
  <c r="C22" i="25"/>
  <c r="C21" i="25"/>
  <c r="C19" i="25"/>
  <c r="C18" i="25"/>
  <c r="C15" i="25"/>
  <c r="C17" i="25"/>
  <c r="C14" i="25"/>
  <c r="DU102" i="24"/>
  <c r="DT102" i="24"/>
  <c r="DS102" i="24"/>
  <c r="DR102" i="24"/>
  <c r="DQ102" i="24"/>
  <c r="DP102" i="24"/>
  <c r="DO102" i="24"/>
  <c r="DN102" i="24"/>
  <c r="DM102" i="24"/>
  <c r="DK102" i="24"/>
  <c r="DJ102" i="24"/>
  <c r="DI102" i="24"/>
  <c r="DH102" i="24"/>
  <c r="DG102" i="24"/>
  <c r="DF102" i="24"/>
  <c r="DE102" i="24"/>
  <c r="DD102" i="24"/>
  <c r="DC102" i="24"/>
  <c r="DB102" i="24"/>
  <c r="DA102" i="24"/>
  <c r="CZ102" i="24"/>
  <c r="CY102" i="24"/>
  <c r="CX102" i="24"/>
  <c r="CW102" i="24"/>
  <c r="CV102" i="24"/>
  <c r="CU102" i="24"/>
  <c r="CR102" i="24"/>
  <c r="CQ102" i="24"/>
  <c r="CO102" i="24"/>
  <c r="CN102" i="24"/>
  <c r="CM102" i="24"/>
  <c r="CL102" i="24"/>
  <c r="CK102" i="24"/>
  <c r="C10" i="25"/>
  <c r="C9" i="25"/>
  <c r="C8" i="25"/>
  <c r="C7" i="25"/>
  <c r="C6" i="25"/>
  <c r="B6" i="18"/>
  <c r="B2" i="25"/>
  <c r="BC84" i="24"/>
  <c r="BC90" i="24"/>
  <c r="BC91" i="24"/>
  <c r="BC92" i="24"/>
  <c r="BC93" i="24"/>
  <c r="BC94" i="24"/>
  <c r="BC95" i="24"/>
  <c r="BC96" i="24"/>
  <c r="BC97" i="24"/>
  <c r="BC104" i="24"/>
  <c r="BC118" i="24" s="1"/>
  <c r="EA3" i="24" l="1"/>
  <c r="EB102" i="24"/>
  <c r="EA4" i="24"/>
  <c r="EA5" i="24"/>
  <c r="EA114" i="24" s="1"/>
  <c r="EB114" i="24"/>
  <c r="EA6" i="24"/>
  <c r="EA117" i="24" s="1"/>
  <c r="EA7" i="24"/>
  <c r="EA115" i="24" s="1"/>
  <c r="EA8" i="24"/>
  <c r="EA9" i="24"/>
  <c r="EA10" i="24"/>
  <c r="EA11" i="24"/>
  <c r="EA12" i="24"/>
  <c r="EA13" i="24"/>
  <c r="EA14" i="24"/>
  <c r="EA15" i="24"/>
  <c r="EA16" i="24"/>
  <c r="EA17" i="24"/>
  <c r="EA18" i="24"/>
  <c r="EA19" i="24"/>
  <c r="EA20" i="24"/>
  <c r="EA21" i="24"/>
  <c r="EA22" i="24"/>
  <c r="EA23" i="24"/>
  <c r="EA24" i="24"/>
  <c r="EA25" i="24"/>
  <c r="EA26" i="24"/>
  <c r="EA27" i="24"/>
  <c r="EA116" i="24" s="1"/>
  <c r="EB116" i="24"/>
  <c r="EA28" i="24"/>
  <c r="EA29" i="24"/>
  <c r="EA30" i="24"/>
  <c r="EA31" i="24"/>
  <c r="EA32" i="24"/>
  <c r="EA33" i="24"/>
  <c r="EA34" i="24"/>
  <c r="EA35" i="24"/>
  <c r="EA36" i="24"/>
  <c r="EA37" i="24"/>
  <c r="EA38" i="24"/>
  <c r="EA39" i="24"/>
  <c r="EA40" i="24"/>
  <c r="EA41" i="24"/>
  <c r="EA42" i="24"/>
  <c r="EA43" i="24"/>
  <c r="EA44" i="24"/>
  <c r="EA45" i="24"/>
  <c r="EA46" i="24"/>
  <c r="EA47" i="24"/>
  <c r="EA48" i="24"/>
  <c r="EA49" i="24"/>
  <c r="EA50" i="24"/>
  <c r="EA51" i="24"/>
  <c r="EA52" i="24"/>
  <c r="EA53" i="24"/>
  <c r="EA54" i="24"/>
  <c r="EA55" i="24"/>
  <c r="EA56" i="24"/>
  <c r="EA57" i="24"/>
  <c r="EA58" i="24"/>
  <c r="EA59" i="24"/>
  <c r="EA60" i="24"/>
  <c r="EA61" i="24"/>
  <c r="EA62" i="24"/>
  <c r="EA63" i="24"/>
  <c r="EA64" i="24"/>
  <c r="EA65" i="24"/>
  <c r="EA66" i="24"/>
  <c r="EA67" i="24"/>
  <c r="EA68" i="24"/>
  <c r="EA69" i="24"/>
  <c r="EA70" i="24"/>
  <c r="EA71" i="24"/>
  <c r="EA72" i="24"/>
  <c r="EA73" i="24"/>
  <c r="EA74" i="24"/>
  <c r="EA75" i="24"/>
  <c r="EA76" i="24"/>
  <c r="EA77" i="24"/>
  <c r="EA78" i="24"/>
  <c r="EA79" i="24"/>
  <c r="EA80" i="24"/>
  <c r="EA81" i="24"/>
  <c r="EA82" i="24"/>
  <c r="EA83" i="24"/>
  <c r="EB115" i="24"/>
  <c r="EA2" i="24"/>
  <c r="EA102" i="24" l="1"/>
  <c r="EB95" i="24"/>
  <c r="EB91" i="24"/>
  <c r="EA90" i="24"/>
  <c r="EB92" i="24"/>
  <c r="EA95" i="24"/>
  <c r="EA91" i="24"/>
  <c r="EA94" i="24"/>
  <c r="EA104" i="24"/>
  <c r="EA118" i="24" s="1"/>
  <c r="EA97" i="24"/>
  <c r="EB104" i="24"/>
  <c r="EB118" i="24" s="1"/>
  <c r="EB93" i="24"/>
  <c r="EB97" i="24"/>
  <c r="EA92" i="24"/>
  <c r="EB94" i="24"/>
  <c r="EA93" i="24"/>
  <c r="EB90" i="24"/>
  <c r="EB96" i="24"/>
  <c r="EA96" i="24"/>
  <c r="EA84" i="24"/>
  <c r="EB84" i="24"/>
  <c r="G96" i="24"/>
  <c r="G116" i="24"/>
  <c r="DK93" i="24"/>
  <c r="DK91" i="24"/>
  <c r="DK96" i="24"/>
  <c r="BH104" i="24"/>
  <c r="AX117" i="24"/>
  <c r="AX116" i="24"/>
  <c r="AX115" i="24"/>
  <c r="AX114" i="24"/>
  <c r="AW117" i="24"/>
  <c r="AW116" i="24"/>
  <c r="AW115" i="24"/>
  <c r="AW114" i="24"/>
  <c r="AV117" i="24"/>
  <c r="AV116" i="24"/>
  <c r="AV115" i="24"/>
  <c r="AV114" i="24"/>
  <c r="AU117" i="24"/>
  <c r="AU116" i="24"/>
  <c r="AU115" i="24"/>
  <c r="AU114" i="24"/>
  <c r="AT117" i="24"/>
  <c r="AT116" i="24"/>
  <c r="AT115" i="24"/>
  <c r="AT114" i="24"/>
  <c r="AS117" i="24"/>
  <c r="AS116" i="24"/>
  <c r="AS115" i="24"/>
  <c r="AS114" i="24"/>
  <c r="AR117" i="24"/>
  <c r="AR116" i="24"/>
  <c r="AR115" i="24"/>
  <c r="AR114" i="24"/>
  <c r="AP117" i="24"/>
  <c r="AP116" i="24"/>
  <c r="AP115" i="24"/>
  <c r="AP114" i="24"/>
  <c r="AN117" i="24"/>
  <c r="AN116" i="24"/>
  <c r="AN115" i="24"/>
  <c r="AN114" i="24"/>
  <c r="AM117" i="24"/>
  <c r="AM116" i="24"/>
  <c r="AM115" i="24"/>
  <c r="AM114" i="24"/>
  <c r="AL117" i="24"/>
  <c r="AL116" i="24"/>
  <c r="AL115" i="24"/>
  <c r="AL114" i="24"/>
  <c r="AK117" i="24"/>
  <c r="AK116" i="24"/>
  <c r="AK115" i="24"/>
  <c r="AK114" i="24"/>
  <c r="AH117" i="24"/>
  <c r="AH116" i="24"/>
  <c r="AH115" i="24"/>
  <c r="AH114" i="24"/>
  <c r="AG117" i="24"/>
  <c r="AG116" i="24"/>
  <c r="AG115" i="24"/>
  <c r="AG114" i="24"/>
  <c r="AF117" i="24"/>
  <c r="AF116" i="24"/>
  <c r="AF115" i="24"/>
  <c r="AF114" i="24"/>
  <c r="AE117" i="24"/>
  <c r="AE116" i="24"/>
  <c r="AE115" i="24"/>
  <c r="AE114" i="24"/>
  <c r="AD117" i="24"/>
  <c r="AD116" i="24"/>
  <c r="AD115" i="24"/>
  <c r="AD114" i="24"/>
  <c r="AC117" i="24"/>
  <c r="AC116" i="24"/>
  <c r="AC115" i="24"/>
  <c r="AC114" i="24"/>
  <c r="AB117" i="24"/>
  <c r="AB116" i="24"/>
  <c r="AB115" i="24"/>
  <c r="AB114" i="24"/>
  <c r="V117" i="24"/>
  <c r="V116" i="24"/>
  <c r="V115" i="24"/>
  <c r="V114" i="24"/>
  <c r="U117" i="24"/>
  <c r="U116" i="24"/>
  <c r="U115" i="24"/>
  <c r="U114" i="24"/>
  <c r="T117" i="24"/>
  <c r="T116" i="24"/>
  <c r="T115" i="24"/>
  <c r="T114" i="24"/>
  <c r="S117" i="24"/>
  <c r="S116" i="24"/>
  <c r="S115" i="24"/>
  <c r="S114" i="24"/>
  <c r="P117" i="24"/>
  <c r="P116" i="24"/>
  <c r="P115" i="24"/>
  <c r="P114" i="24"/>
  <c r="O117" i="24"/>
  <c r="O116" i="24"/>
  <c r="O115" i="24"/>
  <c r="O114" i="24"/>
  <c r="N117" i="24"/>
  <c r="N116" i="24"/>
  <c r="N115" i="24"/>
  <c r="N114" i="24"/>
  <c r="K117" i="24"/>
  <c r="K116" i="24"/>
  <c r="K115" i="24"/>
  <c r="K114" i="24"/>
  <c r="J117" i="24"/>
  <c r="J116" i="24"/>
  <c r="J115" i="24"/>
  <c r="J114" i="24"/>
  <c r="G117" i="24"/>
  <c r="G115" i="24"/>
  <c r="G114" i="24"/>
  <c r="F117" i="24"/>
  <c r="F116" i="24"/>
  <c r="F115" i="24"/>
  <c r="F114" i="24"/>
  <c r="E117" i="24"/>
  <c r="E116" i="24"/>
  <c r="E115" i="24"/>
  <c r="E114" i="24"/>
  <c r="D117" i="24"/>
  <c r="D116" i="24"/>
  <c r="D115" i="24"/>
  <c r="D114" i="24"/>
  <c r="AX102" i="24"/>
  <c r="AW102" i="24"/>
  <c r="AV102" i="24"/>
  <c r="AU90" i="24"/>
  <c r="AU92" i="24"/>
  <c r="AU94" i="24"/>
  <c r="AU93" i="24"/>
  <c r="AU91" i="24"/>
  <c r="AU97" i="24"/>
  <c r="AU95" i="24"/>
  <c r="AU96" i="24"/>
  <c r="AU102" i="24"/>
  <c r="AT102" i="24"/>
  <c r="AS102" i="24"/>
  <c r="AR102" i="24"/>
  <c r="AP102" i="24"/>
  <c r="AN102" i="24"/>
  <c r="AM102" i="24"/>
  <c r="AL102" i="24"/>
  <c r="AK102" i="24"/>
  <c r="AH102" i="24"/>
  <c r="AG102" i="24"/>
  <c r="AF102" i="24"/>
  <c r="AE102" i="24"/>
  <c r="AD102" i="24"/>
  <c r="AC102" i="24"/>
  <c r="AB102" i="24"/>
  <c r="V102" i="24"/>
  <c r="U102" i="24"/>
  <c r="T102" i="24"/>
  <c r="S102" i="24"/>
  <c r="P102" i="24"/>
  <c r="O102" i="24"/>
  <c r="N102" i="24"/>
  <c r="K102" i="24"/>
  <c r="J102" i="24"/>
  <c r="F102" i="24"/>
  <c r="E102" i="24"/>
  <c r="BC103" i="24"/>
  <c r="C5" i="25"/>
  <c r="DJ104" i="24"/>
  <c r="DI104" i="24"/>
  <c r="DH104" i="24"/>
  <c r="DG104" i="24"/>
  <c r="DF104" i="24"/>
  <c r="DE104" i="24"/>
  <c r="DD104" i="24"/>
  <c r="DC104" i="24"/>
  <c r="DB104" i="24"/>
  <c r="DA104" i="24"/>
  <c r="CZ104" i="24"/>
  <c r="CW104" i="24"/>
  <c r="CV104" i="24"/>
  <c r="CU104" i="24"/>
  <c r="CR104" i="24"/>
  <c r="CQ104" i="24"/>
  <c r="CO104" i="24"/>
  <c r="CK104" i="24"/>
  <c r="CF104" i="24"/>
  <c r="CE104" i="24"/>
  <c r="CD104" i="24"/>
  <c r="CB104" i="24"/>
  <c r="CA104" i="24"/>
  <c r="BZ104" i="24"/>
  <c r="BT104" i="24"/>
  <c r="BS104" i="24"/>
  <c r="BR104" i="24"/>
  <c r="BQ104" i="24"/>
  <c r="BP104" i="24"/>
  <c r="BN104" i="24"/>
  <c r="BM104" i="24"/>
  <c r="BK104" i="24"/>
  <c r="BI104" i="24"/>
  <c r="BG104" i="24"/>
  <c r="BF104" i="24"/>
  <c r="BE104" i="24"/>
  <c r="BD104" i="24"/>
  <c r="BB104" i="24"/>
  <c r="AZ104" i="24"/>
  <c r="AX104" i="24"/>
  <c r="AW104" i="24"/>
  <c r="AV104" i="24"/>
  <c r="AT104" i="24"/>
  <c r="AS104" i="24"/>
  <c r="AR104" i="24"/>
  <c r="AP104" i="24"/>
  <c r="AN104" i="24"/>
  <c r="AM104" i="24"/>
  <c r="AL104" i="24"/>
  <c r="AK104" i="24"/>
  <c r="AH104" i="24"/>
  <c r="AG104" i="24"/>
  <c r="AF104" i="24"/>
  <c r="AE104" i="24"/>
  <c r="AD104" i="24"/>
  <c r="AC104" i="24"/>
  <c r="AB104" i="24"/>
  <c r="V104" i="24"/>
  <c r="U104" i="24"/>
  <c r="T104" i="24"/>
  <c r="S104" i="24"/>
  <c r="P104" i="24"/>
  <c r="O104" i="24"/>
  <c r="N104" i="24"/>
  <c r="K104" i="24"/>
  <c r="J104" i="24"/>
  <c r="F104" i="24"/>
  <c r="E104" i="24"/>
  <c r="D104" i="24"/>
  <c r="C104" i="24"/>
  <c r="DJ97" i="24"/>
  <c r="DI97" i="24"/>
  <c r="DJ96" i="24"/>
  <c r="DI96" i="24"/>
  <c r="DK95" i="24"/>
  <c r="DJ95" i="24"/>
  <c r="DI95" i="24"/>
  <c r="DK94" i="24"/>
  <c r="DJ94" i="24"/>
  <c r="DI94" i="24"/>
  <c r="DJ93" i="24"/>
  <c r="DI93" i="24"/>
  <c r="DK92" i="24"/>
  <c r="DJ92" i="24"/>
  <c r="DI92" i="24"/>
  <c r="DJ91" i="24"/>
  <c r="DI91" i="24"/>
  <c r="DK90" i="24"/>
  <c r="DJ90" i="24"/>
  <c r="DI90" i="24"/>
  <c r="DH97" i="24"/>
  <c r="DG97" i="24"/>
  <c r="DF97" i="24"/>
  <c r="DE97" i="24"/>
  <c r="DD97" i="24"/>
  <c r="DC97" i="24"/>
  <c r="DB97" i="24"/>
  <c r="DA97" i="24"/>
  <c r="DH96" i="24"/>
  <c r="DG96" i="24"/>
  <c r="DF96" i="24"/>
  <c r="DE96" i="24"/>
  <c r="DD96" i="24"/>
  <c r="DC96" i="24"/>
  <c r="DB96" i="24"/>
  <c r="DA96" i="24"/>
  <c r="DH95" i="24"/>
  <c r="DG95" i="24"/>
  <c r="DF95" i="24"/>
  <c r="DE95" i="24"/>
  <c r="DD95" i="24"/>
  <c r="DC95" i="24"/>
  <c r="DB95" i="24"/>
  <c r="DA95" i="24"/>
  <c r="DH94" i="24"/>
  <c r="DG94" i="24"/>
  <c r="DF94" i="24"/>
  <c r="DE94" i="24"/>
  <c r="DD94" i="24"/>
  <c r="DC94" i="24"/>
  <c r="DB94" i="24"/>
  <c r="DA94" i="24"/>
  <c r="DH93" i="24"/>
  <c r="DG93" i="24"/>
  <c r="DF93" i="24"/>
  <c r="DE93" i="24"/>
  <c r="DD93" i="24"/>
  <c r="DC93" i="24"/>
  <c r="DB93" i="24"/>
  <c r="DA93" i="24"/>
  <c r="DH92" i="24"/>
  <c r="DG92" i="24"/>
  <c r="DF92" i="24"/>
  <c r="DE92" i="24"/>
  <c r="DD92" i="24"/>
  <c r="DC92" i="24"/>
  <c r="DB92" i="24"/>
  <c r="DA92" i="24"/>
  <c r="DH91" i="24"/>
  <c r="DG91" i="24"/>
  <c r="DF91" i="24"/>
  <c r="DE91" i="24"/>
  <c r="DD91" i="24"/>
  <c r="DC91" i="24"/>
  <c r="DB91" i="24"/>
  <c r="DA91" i="24"/>
  <c r="DH90" i="24"/>
  <c r="DG90" i="24"/>
  <c r="DF90" i="24"/>
  <c r="DE90" i="24"/>
  <c r="DD90" i="24"/>
  <c r="DC90" i="24"/>
  <c r="DB90" i="24"/>
  <c r="DA90" i="24"/>
  <c r="CZ97" i="24"/>
  <c r="CY97" i="24"/>
  <c r="CX97" i="24"/>
  <c r="CW97" i="24"/>
  <c r="CV97" i="24"/>
  <c r="CU97" i="24"/>
  <c r="CZ96" i="24"/>
  <c r="CY96" i="24"/>
  <c r="CX96" i="24"/>
  <c r="CW96" i="24"/>
  <c r="CV96" i="24"/>
  <c r="CU96" i="24"/>
  <c r="CZ95" i="24"/>
  <c r="CY95" i="24"/>
  <c r="CX95" i="24"/>
  <c r="CW95" i="24"/>
  <c r="CV95" i="24"/>
  <c r="CU95" i="24"/>
  <c r="CZ94" i="24"/>
  <c r="CY94" i="24"/>
  <c r="CX94" i="24"/>
  <c r="CW94" i="24"/>
  <c r="CV94" i="24"/>
  <c r="CU94" i="24"/>
  <c r="CZ93" i="24"/>
  <c r="CY93" i="24"/>
  <c r="CX93" i="24"/>
  <c r="CW93" i="24"/>
  <c r="CV93" i="24"/>
  <c r="CU93" i="24"/>
  <c r="CZ92" i="24"/>
  <c r="CY92" i="24"/>
  <c r="CX92" i="24"/>
  <c r="CW92" i="24"/>
  <c r="CV92" i="24"/>
  <c r="CU92" i="24"/>
  <c r="CZ91" i="24"/>
  <c r="CY91" i="24"/>
  <c r="CX91" i="24"/>
  <c r="CW91" i="24"/>
  <c r="CV91" i="24"/>
  <c r="CU91" i="24"/>
  <c r="CZ90" i="24"/>
  <c r="CY90" i="24"/>
  <c r="CX90" i="24"/>
  <c r="CW90" i="24"/>
  <c r="CV90" i="24"/>
  <c r="CU90" i="24"/>
  <c r="CR97" i="24"/>
  <c r="CQ97" i="24"/>
  <c r="CO97" i="24"/>
  <c r="CN97" i="24"/>
  <c r="CM97" i="24"/>
  <c r="CL97" i="24"/>
  <c r="CK97" i="24"/>
  <c r="CR96" i="24"/>
  <c r="CQ96" i="24"/>
  <c r="CO96" i="24"/>
  <c r="CN96" i="24"/>
  <c r="CM96" i="24"/>
  <c r="CL96" i="24"/>
  <c r="CK96" i="24"/>
  <c r="CR95" i="24"/>
  <c r="CQ95" i="24"/>
  <c r="CO95" i="24"/>
  <c r="CN95" i="24"/>
  <c r="CM95" i="24"/>
  <c r="CL95" i="24"/>
  <c r="CK95" i="24"/>
  <c r="CR94" i="24"/>
  <c r="CQ94" i="24"/>
  <c r="CO94" i="24"/>
  <c r="CN94" i="24"/>
  <c r="CM94" i="24"/>
  <c r="CL94" i="24"/>
  <c r="CK94" i="24"/>
  <c r="CR93" i="24"/>
  <c r="CQ93" i="24"/>
  <c r="CO93" i="24"/>
  <c r="CN93" i="24"/>
  <c r="CM93" i="24"/>
  <c r="CL93" i="24"/>
  <c r="CK93" i="24"/>
  <c r="CR92" i="24"/>
  <c r="CQ92" i="24"/>
  <c r="CO92" i="24"/>
  <c r="CN92" i="24"/>
  <c r="CM92" i="24"/>
  <c r="CL92" i="24"/>
  <c r="CK92" i="24"/>
  <c r="CR91" i="24"/>
  <c r="CQ91" i="24"/>
  <c r="CO91" i="24"/>
  <c r="CN91" i="24"/>
  <c r="CM91" i="24"/>
  <c r="CL91" i="24"/>
  <c r="CK91" i="24"/>
  <c r="CR90" i="24"/>
  <c r="CQ90" i="24"/>
  <c r="CO90" i="24"/>
  <c r="CN90" i="24"/>
  <c r="CM90" i="24"/>
  <c r="CL90" i="24"/>
  <c r="CK90" i="24"/>
  <c r="CF97" i="24"/>
  <c r="CE97" i="24"/>
  <c r="CD97" i="24"/>
  <c r="CF96" i="24"/>
  <c r="CE96" i="24"/>
  <c r="CD96" i="24"/>
  <c r="CF95" i="24"/>
  <c r="CE95" i="24"/>
  <c r="CD95" i="24"/>
  <c r="CF94" i="24"/>
  <c r="CE94" i="24"/>
  <c r="CD94" i="24"/>
  <c r="CF93" i="24"/>
  <c r="CE93" i="24"/>
  <c r="CD93" i="24"/>
  <c r="CF92" i="24"/>
  <c r="CE92" i="24"/>
  <c r="CD92" i="24"/>
  <c r="CF91" i="24"/>
  <c r="CE91" i="24"/>
  <c r="CD91" i="24"/>
  <c r="CF90" i="24"/>
  <c r="CE90" i="24"/>
  <c r="CD90" i="24"/>
  <c r="CB97" i="24"/>
  <c r="CA97" i="24"/>
  <c r="BZ97" i="24"/>
  <c r="CB96" i="24"/>
  <c r="CA96" i="24"/>
  <c r="BZ96" i="24"/>
  <c r="CB95" i="24"/>
  <c r="CA95" i="24"/>
  <c r="BZ95" i="24"/>
  <c r="CB94" i="24"/>
  <c r="CA94" i="24"/>
  <c r="BZ94" i="24"/>
  <c r="CB93" i="24"/>
  <c r="CA93" i="24"/>
  <c r="BZ93" i="24"/>
  <c r="CB92" i="24"/>
  <c r="CA92" i="24"/>
  <c r="BZ92" i="24"/>
  <c r="CB91" i="24"/>
  <c r="CA91" i="24"/>
  <c r="BZ91" i="24"/>
  <c r="CB90" i="24"/>
  <c r="CA90" i="24"/>
  <c r="BZ90" i="24"/>
  <c r="BT97" i="24"/>
  <c r="BS97" i="24"/>
  <c r="BR97" i="24"/>
  <c r="BQ97" i="24"/>
  <c r="BP97" i="24"/>
  <c r="BT96" i="24"/>
  <c r="BS96" i="24"/>
  <c r="BR96" i="24"/>
  <c r="BQ96" i="24"/>
  <c r="BP96" i="24"/>
  <c r="BT95" i="24"/>
  <c r="BS95" i="24"/>
  <c r="BR95" i="24"/>
  <c r="BQ95" i="24"/>
  <c r="BP95" i="24"/>
  <c r="BT94" i="24"/>
  <c r="BS94" i="24"/>
  <c r="BR94" i="24"/>
  <c r="BQ94" i="24"/>
  <c r="BP94" i="24"/>
  <c r="BT93" i="24"/>
  <c r="BS93" i="24"/>
  <c r="BR93" i="24"/>
  <c r="BQ93" i="24"/>
  <c r="BP93" i="24"/>
  <c r="BT92" i="24"/>
  <c r="BS92" i="24"/>
  <c r="BR92" i="24"/>
  <c r="BQ92" i="24"/>
  <c r="BP92" i="24"/>
  <c r="BT91" i="24"/>
  <c r="BS91" i="24"/>
  <c r="BR91" i="24"/>
  <c r="BQ91" i="24"/>
  <c r="BP91" i="24"/>
  <c r="BT90" i="24"/>
  <c r="BS90" i="24"/>
  <c r="BR90" i="24"/>
  <c r="BQ90" i="24"/>
  <c r="BP90" i="24"/>
  <c r="BN97" i="24"/>
  <c r="BN96" i="24"/>
  <c r="BN95" i="24"/>
  <c r="BN94" i="24"/>
  <c r="BN93" i="24"/>
  <c r="BN92" i="24"/>
  <c r="BN91" i="24"/>
  <c r="BN90" i="24"/>
  <c r="BM97" i="24"/>
  <c r="BK97" i="24"/>
  <c r="BI97" i="24"/>
  <c r="BH97" i="24"/>
  <c r="BG97" i="24"/>
  <c r="BM96" i="24"/>
  <c r="BK96" i="24"/>
  <c r="BI96" i="24"/>
  <c r="BH96" i="24"/>
  <c r="BG96" i="24"/>
  <c r="BM95" i="24"/>
  <c r="BK95" i="24"/>
  <c r="BI95" i="24"/>
  <c r="BH95" i="24"/>
  <c r="BG95" i="24"/>
  <c r="BM94" i="24"/>
  <c r="BK94" i="24"/>
  <c r="BI94" i="24"/>
  <c r="BH94" i="24"/>
  <c r="BG94" i="24"/>
  <c r="BM93" i="24"/>
  <c r="BK93" i="24"/>
  <c r="BI93" i="24"/>
  <c r="BH93" i="24"/>
  <c r="BG93" i="24"/>
  <c r="BM92" i="24"/>
  <c r="BK92" i="24"/>
  <c r="BI92" i="24"/>
  <c r="BH92" i="24"/>
  <c r="BG92" i="24"/>
  <c r="BM91" i="24"/>
  <c r="BK91" i="24"/>
  <c r="BI91" i="24"/>
  <c r="BH91" i="24"/>
  <c r="BG91" i="24"/>
  <c r="BM90" i="24"/>
  <c r="BK90" i="24"/>
  <c r="BI90" i="24"/>
  <c r="BH90" i="24"/>
  <c r="BG90" i="24"/>
  <c r="BF97" i="24"/>
  <c r="BE97" i="24"/>
  <c r="BD97" i="24"/>
  <c r="BB97" i="24"/>
  <c r="AZ97" i="24"/>
  <c r="BF96" i="24"/>
  <c r="BE96" i="24"/>
  <c r="BD96" i="24"/>
  <c r="BB96" i="24"/>
  <c r="AZ96" i="24"/>
  <c r="BF95" i="24"/>
  <c r="BE95" i="24"/>
  <c r="BD95" i="24"/>
  <c r="BB95" i="24"/>
  <c r="AZ95" i="24"/>
  <c r="BF94" i="24"/>
  <c r="BE94" i="24"/>
  <c r="BD94" i="24"/>
  <c r="BB94" i="24"/>
  <c r="AZ94" i="24"/>
  <c r="BF93" i="24"/>
  <c r="BE93" i="24"/>
  <c r="BD93" i="24"/>
  <c r="BB93" i="24"/>
  <c r="AZ93" i="24"/>
  <c r="BF92" i="24"/>
  <c r="BE92" i="24"/>
  <c r="BD92" i="24"/>
  <c r="BB92" i="24"/>
  <c r="AZ92" i="24"/>
  <c r="BF91" i="24"/>
  <c r="BE91" i="24"/>
  <c r="BD91" i="24"/>
  <c r="BB91" i="24"/>
  <c r="AZ91" i="24"/>
  <c r="BF90" i="24"/>
  <c r="BE90" i="24"/>
  <c r="BD90" i="24"/>
  <c r="BB90" i="24"/>
  <c r="AZ90" i="24"/>
  <c r="AX97" i="24"/>
  <c r="AW97" i="24"/>
  <c r="AV97" i="24"/>
  <c r="AT97" i="24"/>
  <c r="AS97" i="24"/>
  <c r="AR97" i="24"/>
  <c r="AP97" i="24"/>
  <c r="AN97" i="24"/>
  <c r="AX96" i="24"/>
  <c r="AW96" i="24"/>
  <c r="AV96" i="24"/>
  <c r="AT96" i="24"/>
  <c r="AS96" i="24"/>
  <c r="AR96" i="24"/>
  <c r="AP96" i="24"/>
  <c r="AN96" i="24"/>
  <c r="AX95" i="24"/>
  <c r="AW95" i="24"/>
  <c r="AV95" i="24"/>
  <c r="AT95" i="24"/>
  <c r="AS95" i="24"/>
  <c r="AR95" i="24"/>
  <c r="AP95" i="24"/>
  <c r="AN95" i="24"/>
  <c r="AX94" i="24"/>
  <c r="AW94" i="24"/>
  <c r="AV94" i="24"/>
  <c r="AT94" i="24"/>
  <c r="AS94" i="24"/>
  <c r="AR94" i="24"/>
  <c r="AP94" i="24"/>
  <c r="AN94" i="24"/>
  <c r="AX93" i="24"/>
  <c r="AW93" i="24"/>
  <c r="AV93" i="24"/>
  <c r="AT93" i="24"/>
  <c r="AS93" i="24"/>
  <c r="AR93" i="24"/>
  <c r="AP93" i="24"/>
  <c r="AN93" i="24"/>
  <c r="AX92" i="24"/>
  <c r="AW92" i="24"/>
  <c r="AV92" i="24"/>
  <c r="AT92" i="24"/>
  <c r="AS92" i="24"/>
  <c r="AR92" i="24"/>
  <c r="AP92" i="24"/>
  <c r="AN92" i="24"/>
  <c r="AX91" i="24"/>
  <c r="AW91" i="24"/>
  <c r="AV91" i="24"/>
  <c r="AT91" i="24"/>
  <c r="AS91" i="24"/>
  <c r="AR91" i="24"/>
  <c r="AP91" i="24"/>
  <c r="AN91" i="24"/>
  <c r="AX90" i="24"/>
  <c r="AW90" i="24"/>
  <c r="AV90" i="24"/>
  <c r="AT90" i="24"/>
  <c r="AS90" i="24"/>
  <c r="AR90" i="24"/>
  <c r="AP90" i="24"/>
  <c r="AN90" i="24"/>
  <c r="AM97" i="24"/>
  <c r="AL97" i="24"/>
  <c r="AK97" i="24"/>
  <c r="AH97" i="24"/>
  <c r="AG97" i="24"/>
  <c r="AF97" i="24"/>
  <c r="AE97" i="24"/>
  <c r="AD97" i="24"/>
  <c r="AC97" i="24"/>
  <c r="AB97" i="24"/>
  <c r="AM96" i="24"/>
  <c r="AL96" i="24"/>
  <c r="AK96" i="24"/>
  <c r="AH96" i="24"/>
  <c r="AG96" i="24"/>
  <c r="AF96" i="24"/>
  <c r="AE96" i="24"/>
  <c r="AD96" i="24"/>
  <c r="AC96" i="24"/>
  <c r="AB96" i="24"/>
  <c r="AM95" i="24"/>
  <c r="AL95" i="24"/>
  <c r="AK95" i="24"/>
  <c r="AH95" i="24"/>
  <c r="AG95" i="24"/>
  <c r="AF95" i="24"/>
  <c r="AE95" i="24"/>
  <c r="AD95" i="24"/>
  <c r="AC95" i="24"/>
  <c r="AB95" i="24"/>
  <c r="AM94" i="24"/>
  <c r="AL94" i="24"/>
  <c r="AK94" i="24"/>
  <c r="AH94" i="24"/>
  <c r="AG94" i="24"/>
  <c r="AF94" i="24"/>
  <c r="AE94" i="24"/>
  <c r="AD94" i="24"/>
  <c r="AC94" i="24"/>
  <c r="AB94" i="24"/>
  <c r="AM93" i="24"/>
  <c r="AL93" i="24"/>
  <c r="AK93" i="24"/>
  <c r="AH93" i="24"/>
  <c r="AG93" i="24"/>
  <c r="AF93" i="24"/>
  <c r="AE93" i="24"/>
  <c r="AD93" i="24"/>
  <c r="AC93" i="24"/>
  <c r="AB93" i="24"/>
  <c r="AM92" i="24"/>
  <c r="AL92" i="24"/>
  <c r="AK92" i="24"/>
  <c r="AH92" i="24"/>
  <c r="AG92" i="24"/>
  <c r="AF92" i="24"/>
  <c r="AE92" i="24"/>
  <c r="AD92" i="24"/>
  <c r="AC92" i="24"/>
  <c r="AB92" i="24"/>
  <c r="AM91" i="24"/>
  <c r="AL91" i="24"/>
  <c r="AK91" i="24"/>
  <c r="AH91" i="24"/>
  <c r="AG91" i="24"/>
  <c r="AF91" i="24"/>
  <c r="AE91" i="24"/>
  <c r="AD91" i="24"/>
  <c r="AC91" i="24"/>
  <c r="AB91" i="24"/>
  <c r="AM90" i="24"/>
  <c r="AL90" i="24"/>
  <c r="AK90" i="24"/>
  <c r="AH90" i="24"/>
  <c r="AG90" i="24"/>
  <c r="AF90" i="24"/>
  <c r="AE90" i="24"/>
  <c r="AD90" i="24"/>
  <c r="AC90" i="24"/>
  <c r="AB90" i="24"/>
  <c r="V97" i="24"/>
  <c r="U97" i="24"/>
  <c r="T97" i="24"/>
  <c r="S97" i="24"/>
  <c r="P97" i="24"/>
  <c r="O97" i="24"/>
  <c r="N97" i="24"/>
  <c r="K97" i="24"/>
  <c r="J97" i="24"/>
  <c r="F97" i="24"/>
  <c r="E97" i="24"/>
  <c r="D97" i="24"/>
  <c r="C97" i="24"/>
  <c r="V96" i="24"/>
  <c r="U96" i="24"/>
  <c r="T96" i="24"/>
  <c r="S96" i="24"/>
  <c r="P96" i="24"/>
  <c r="O96" i="24"/>
  <c r="N96" i="24"/>
  <c r="K96" i="24"/>
  <c r="J96" i="24"/>
  <c r="F96" i="24"/>
  <c r="E96" i="24"/>
  <c r="D96" i="24"/>
  <c r="C96" i="24"/>
  <c r="V95" i="24"/>
  <c r="U95" i="24"/>
  <c r="T95" i="24"/>
  <c r="S95" i="24"/>
  <c r="P95" i="24"/>
  <c r="O95" i="24"/>
  <c r="N95" i="24"/>
  <c r="K95" i="24"/>
  <c r="J95" i="24"/>
  <c r="G95" i="24"/>
  <c r="F95" i="24"/>
  <c r="E95" i="24"/>
  <c r="D95" i="24"/>
  <c r="C95" i="24"/>
  <c r="V94" i="24"/>
  <c r="U94" i="24"/>
  <c r="T94" i="24"/>
  <c r="S94" i="24"/>
  <c r="P94" i="24"/>
  <c r="O94" i="24"/>
  <c r="N94" i="24"/>
  <c r="K94" i="24"/>
  <c r="J94" i="24"/>
  <c r="G94" i="24"/>
  <c r="F94" i="24"/>
  <c r="E94" i="24"/>
  <c r="D94" i="24"/>
  <c r="C94" i="24"/>
  <c r="V93" i="24"/>
  <c r="U93" i="24"/>
  <c r="T93" i="24"/>
  <c r="S93" i="24"/>
  <c r="P93" i="24"/>
  <c r="O93" i="24"/>
  <c r="N93" i="24"/>
  <c r="K93" i="24"/>
  <c r="J93" i="24"/>
  <c r="G93" i="24"/>
  <c r="F93" i="24"/>
  <c r="E93" i="24"/>
  <c r="D93" i="24"/>
  <c r="C93" i="24"/>
  <c r="V92" i="24"/>
  <c r="U92" i="24"/>
  <c r="T92" i="24"/>
  <c r="S92" i="24"/>
  <c r="P92" i="24"/>
  <c r="O92" i="24"/>
  <c r="N92" i="24"/>
  <c r="K92" i="24"/>
  <c r="J92" i="24"/>
  <c r="G92" i="24"/>
  <c r="F92" i="24"/>
  <c r="E92" i="24"/>
  <c r="D92" i="24"/>
  <c r="C92" i="24"/>
  <c r="V91" i="24"/>
  <c r="U91" i="24"/>
  <c r="T91" i="24"/>
  <c r="S91" i="24"/>
  <c r="P91" i="24"/>
  <c r="O91" i="24"/>
  <c r="N91" i="24"/>
  <c r="K91" i="24"/>
  <c r="J91" i="24"/>
  <c r="G91" i="24"/>
  <c r="F91" i="24"/>
  <c r="E91" i="24"/>
  <c r="D91" i="24"/>
  <c r="C91" i="24"/>
  <c r="V90" i="24"/>
  <c r="U90" i="24"/>
  <c r="T90" i="24"/>
  <c r="S90" i="24"/>
  <c r="P90" i="24"/>
  <c r="O90" i="24"/>
  <c r="N90" i="24"/>
  <c r="K90" i="24"/>
  <c r="J90" i="24"/>
  <c r="F90" i="24"/>
  <c r="E90" i="24"/>
  <c r="D90" i="24"/>
  <c r="C90" i="24"/>
  <c r="DK84" i="24"/>
  <c r="DK104" i="24" s="1"/>
  <c r="DJ84" i="24"/>
  <c r="DI84" i="24"/>
  <c r="DH84" i="24"/>
  <c r="DG84" i="24"/>
  <c r="DF84" i="24"/>
  <c r="DE84" i="24"/>
  <c r="DD84" i="24"/>
  <c r="DC84" i="24"/>
  <c r="DB84" i="24"/>
  <c r="DA84" i="24"/>
  <c r="CZ84" i="24"/>
  <c r="CY84" i="24"/>
  <c r="CX84" i="24"/>
  <c r="CW84" i="24"/>
  <c r="CV84" i="24"/>
  <c r="CU84" i="24"/>
  <c r="CR84" i="24"/>
  <c r="CQ84" i="24"/>
  <c r="CO84" i="24"/>
  <c r="CN84" i="24"/>
  <c r="CM84" i="24"/>
  <c r="CL84" i="24"/>
  <c r="CK84" i="24"/>
  <c r="CF84" i="24"/>
  <c r="CE84" i="24"/>
  <c r="CD84" i="24"/>
  <c r="CB84" i="24"/>
  <c r="CA84" i="24"/>
  <c r="BZ84" i="24"/>
  <c r="BT84" i="24"/>
  <c r="BS84" i="24"/>
  <c r="BR84" i="24"/>
  <c r="BQ84" i="24"/>
  <c r="BP84" i="24"/>
  <c r="BN84" i="24"/>
  <c r="BM84" i="24"/>
  <c r="BK84" i="24"/>
  <c r="BI84" i="24"/>
  <c r="BH84" i="24"/>
  <c r="BG84" i="24"/>
  <c r="BF84" i="24"/>
  <c r="BE84" i="24"/>
  <c r="BD84" i="24"/>
  <c r="BB84" i="24"/>
  <c r="AZ84" i="24"/>
  <c r="AX84" i="24"/>
  <c r="AW84" i="24"/>
  <c r="AV84" i="24"/>
  <c r="AT84" i="24"/>
  <c r="AS84" i="24"/>
  <c r="AR84" i="24"/>
  <c r="AP84" i="24"/>
  <c r="AN84" i="24"/>
  <c r="AM84" i="24"/>
  <c r="AL84" i="24"/>
  <c r="AK84" i="24"/>
  <c r="AH84" i="24"/>
  <c r="AE84" i="24"/>
  <c r="AD84" i="24"/>
  <c r="AC84" i="24"/>
  <c r="AB84" i="24"/>
  <c r="V84" i="24"/>
  <c r="U84" i="24"/>
  <c r="T84" i="24"/>
  <c r="S84" i="24"/>
  <c r="P84" i="24"/>
  <c r="DP84" i="24"/>
  <c r="K84" i="24"/>
  <c r="J84" i="24"/>
  <c r="G84" i="24"/>
  <c r="F84" i="24"/>
  <c r="E84" i="24"/>
  <c r="D84" i="24"/>
  <c r="CI103" i="24" l="1"/>
  <c r="EA103" i="24"/>
  <c r="EB103" i="24"/>
  <c r="G97" i="24"/>
  <c r="G102" i="24"/>
  <c r="DK97" i="24"/>
  <c r="AU84" i="24"/>
  <c r="AU104" i="24"/>
  <c r="BX2" i="24"/>
  <c r="CP10" i="24"/>
  <c r="CP26" i="24"/>
  <c r="CP34" i="24"/>
  <c r="CP7" i="24"/>
  <c r="CP115" i="24" s="1"/>
  <c r="CP13" i="24"/>
  <c r="CP23" i="24"/>
  <c r="CP4" i="24"/>
  <c r="CP5" i="24"/>
  <c r="CP6" i="24"/>
  <c r="CP117" i="24" s="1"/>
  <c r="CP11" i="24"/>
  <c r="CP12" i="24"/>
  <c r="CP14" i="24"/>
  <c r="CP18" i="24"/>
  <c r="CP20" i="24"/>
  <c r="CP21" i="24"/>
  <c r="CP22" i="24"/>
  <c r="CP24" i="24"/>
  <c r="CP25" i="24"/>
  <c r="CP27" i="24"/>
  <c r="CP116" i="24" s="1"/>
  <c r="CP29" i="24"/>
  <c r="CP32" i="24"/>
  <c r="CP33" i="24"/>
  <c r="CP35" i="24"/>
  <c r="CP36" i="24"/>
  <c r="CP38" i="24"/>
  <c r="CP39" i="24"/>
  <c r="CP40" i="24"/>
  <c r="CP42" i="24"/>
  <c r="CP43" i="24"/>
  <c r="AY2" i="24"/>
  <c r="CP90" i="24" l="1"/>
  <c r="CP93" i="24"/>
  <c r="CP97" i="24"/>
  <c r="CP95" i="24"/>
  <c r="CP91" i="24"/>
  <c r="CP94" i="24"/>
  <c r="CP92" i="24"/>
  <c r="CC3" i="24"/>
  <c r="CC4" i="24"/>
  <c r="CC5" i="24"/>
  <c r="CC114" i="24" s="1"/>
  <c r="CC6" i="24"/>
  <c r="CC117" i="24" s="1"/>
  <c r="CC7" i="24"/>
  <c r="CC115" i="24" s="1"/>
  <c r="CC8" i="24"/>
  <c r="CC9" i="24"/>
  <c r="CC10" i="24"/>
  <c r="CC11" i="24"/>
  <c r="CC12" i="24"/>
  <c r="CC13" i="24"/>
  <c r="CC14" i="24"/>
  <c r="CC15" i="24"/>
  <c r="CC16" i="24"/>
  <c r="CC17" i="24"/>
  <c r="CC18" i="24"/>
  <c r="CC19" i="24"/>
  <c r="CC20" i="24"/>
  <c r="CC21" i="24"/>
  <c r="CC22" i="24"/>
  <c r="CC23" i="24"/>
  <c r="CC24" i="24"/>
  <c r="CC25" i="24"/>
  <c r="CC26" i="24"/>
  <c r="CC27" i="24"/>
  <c r="CC28" i="24"/>
  <c r="CC29" i="24"/>
  <c r="CC30" i="24"/>
  <c r="CC31" i="24"/>
  <c r="CC32" i="24"/>
  <c r="CC33" i="24"/>
  <c r="CC34" i="24"/>
  <c r="CC35" i="24"/>
  <c r="CC36" i="24"/>
  <c r="CC37" i="24"/>
  <c r="CC38" i="24"/>
  <c r="CC39" i="24"/>
  <c r="CC40" i="24"/>
  <c r="CC41" i="24"/>
  <c r="CC42" i="24"/>
  <c r="CC43" i="24"/>
  <c r="CC44" i="24"/>
  <c r="CC45" i="24"/>
  <c r="CC46" i="24"/>
  <c r="CC47" i="24"/>
  <c r="CC48" i="24"/>
  <c r="CC49" i="24"/>
  <c r="CC50" i="24"/>
  <c r="CC51" i="24"/>
  <c r="CC52" i="24"/>
  <c r="CC53" i="24"/>
  <c r="CC54" i="24"/>
  <c r="CC55" i="24"/>
  <c r="CC56" i="24"/>
  <c r="CC57" i="24"/>
  <c r="CC58" i="24"/>
  <c r="CC59" i="24"/>
  <c r="CC60" i="24"/>
  <c r="CC61" i="24"/>
  <c r="CC62" i="24"/>
  <c r="CC63" i="24"/>
  <c r="CC64" i="24"/>
  <c r="CC65" i="24"/>
  <c r="CC66" i="24"/>
  <c r="CC67" i="24"/>
  <c r="CC68" i="24"/>
  <c r="CC69" i="24"/>
  <c r="CC70" i="24"/>
  <c r="CC71" i="24"/>
  <c r="CC72" i="24"/>
  <c r="CC73" i="24"/>
  <c r="CC74" i="24"/>
  <c r="CC75" i="24"/>
  <c r="CC76" i="24"/>
  <c r="CC77" i="24"/>
  <c r="CC78" i="24"/>
  <c r="CC79" i="24"/>
  <c r="CC80" i="24"/>
  <c r="CC81" i="24"/>
  <c r="CC82" i="24"/>
  <c r="CC83" i="24"/>
  <c r="DF118" i="24"/>
  <c r="DC118" i="24"/>
  <c r="H3" i="24"/>
  <c r="H4" i="24"/>
  <c r="H5" i="24"/>
  <c r="H7" i="24"/>
  <c r="H8" i="24"/>
  <c r="H9" i="24"/>
  <c r="H10" i="24"/>
  <c r="H13" i="24"/>
  <c r="H15" i="24"/>
  <c r="H16" i="24"/>
  <c r="H17" i="24"/>
  <c r="H19" i="24"/>
  <c r="H20" i="24"/>
  <c r="H21" i="24"/>
  <c r="H22" i="24"/>
  <c r="H24" i="24"/>
  <c r="H25" i="24"/>
  <c r="H27" i="24"/>
  <c r="H28" i="24"/>
  <c r="H29" i="24"/>
  <c r="H30" i="24"/>
  <c r="H31" i="24"/>
  <c r="H32" i="24"/>
  <c r="H34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1" i="24"/>
  <c r="H52" i="24"/>
  <c r="H53" i="24"/>
  <c r="H54" i="24"/>
  <c r="H55" i="24"/>
  <c r="H56" i="24"/>
  <c r="H57" i="24"/>
  <c r="H58" i="24"/>
  <c r="H62" i="24"/>
  <c r="H63" i="24"/>
  <c r="H64" i="24"/>
  <c r="H65" i="24"/>
  <c r="H66" i="24"/>
  <c r="H67" i="24"/>
  <c r="H68" i="24"/>
  <c r="H70" i="24"/>
  <c r="H71" i="24"/>
  <c r="H72" i="24"/>
  <c r="H73" i="24"/>
  <c r="H74" i="24"/>
  <c r="H75" i="24"/>
  <c r="H76" i="24"/>
  <c r="H77" i="24"/>
  <c r="H79" i="24"/>
  <c r="H80" i="24"/>
  <c r="H81" i="24"/>
  <c r="H82" i="24"/>
  <c r="H83" i="24"/>
  <c r="H78" i="24"/>
  <c r="H69" i="24"/>
  <c r="H61" i="24"/>
  <c r="H60" i="24"/>
  <c r="H59" i="24"/>
  <c r="H50" i="24"/>
  <c r="H35" i="24"/>
  <c r="H33" i="24"/>
  <c r="H26" i="24"/>
  <c r="H23" i="24"/>
  <c r="H18" i="24"/>
  <c r="H14" i="24"/>
  <c r="H12" i="24"/>
  <c r="H11" i="24"/>
  <c r="H6" i="24"/>
  <c r="H2" i="24"/>
  <c r="DL114" i="24"/>
  <c r="DL117" i="24"/>
  <c r="DL116" i="24"/>
  <c r="DL115" i="24"/>
  <c r="CS2" i="24"/>
  <c r="CS3" i="24"/>
  <c r="CS4" i="24"/>
  <c r="CS5" i="24"/>
  <c r="CS6" i="24"/>
  <c r="CS117" i="24" s="1"/>
  <c r="CS7" i="24"/>
  <c r="CS8" i="24"/>
  <c r="CS9" i="24"/>
  <c r="CS10" i="24"/>
  <c r="CS11" i="24"/>
  <c r="CS12" i="24"/>
  <c r="CS13" i="24"/>
  <c r="CS14" i="24"/>
  <c r="CS15" i="24"/>
  <c r="CS16" i="24"/>
  <c r="CS17" i="24"/>
  <c r="CS18" i="24"/>
  <c r="CS19" i="24"/>
  <c r="CS20" i="24"/>
  <c r="CS21" i="24"/>
  <c r="CS22" i="24"/>
  <c r="CS23" i="24"/>
  <c r="CS24" i="24"/>
  <c r="CS25" i="24"/>
  <c r="CS26" i="24"/>
  <c r="CS27" i="24"/>
  <c r="CS116" i="24" s="1"/>
  <c r="CS28" i="24"/>
  <c r="CS29" i="24"/>
  <c r="CS30" i="24"/>
  <c r="CS31" i="24"/>
  <c r="CS32" i="24"/>
  <c r="CS33" i="24"/>
  <c r="CS34" i="24"/>
  <c r="CS35" i="24"/>
  <c r="CS36" i="24"/>
  <c r="CS37" i="24"/>
  <c r="CS38" i="24"/>
  <c r="CS39" i="24"/>
  <c r="CS40" i="24"/>
  <c r="CS41" i="24"/>
  <c r="CS42" i="24"/>
  <c r="CS43" i="24"/>
  <c r="CS44" i="24"/>
  <c r="CS45" i="24"/>
  <c r="CS46" i="24"/>
  <c r="CS47" i="24"/>
  <c r="CS48" i="24"/>
  <c r="CS49" i="24"/>
  <c r="CS50" i="24"/>
  <c r="CS51" i="24"/>
  <c r="CS52" i="24"/>
  <c r="CS53" i="24"/>
  <c r="CS54" i="24"/>
  <c r="CS55" i="24"/>
  <c r="CS56" i="24"/>
  <c r="CS57" i="24"/>
  <c r="CS58" i="24"/>
  <c r="CS59" i="24"/>
  <c r="CS60" i="24"/>
  <c r="CS61" i="24"/>
  <c r="CS62" i="24"/>
  <c r="CS63" i="24"/>
  <c r="CS64" i="24"/>
  <c r="CS65" i="24"/>
  <c r="CS66" i="24"/>
  <c r="CS67" i="24"/>
  <c r="CS68" i="24"/>
  <c r="CS69" i="24"/>
  <c r="CS70" i="24"/>
  <c r="CS71" i="24"/>
  <c r="CT71" i="24" s="1"/>
  <c r="CS72" i="24"/>
  <c r="CT72" i="24" s="1"/>
  <c r="CS73" i="24"/>
  <c r="BV73" i="24" s="1"/>
  <c r="CS74" i="24"/>
  <c r="CT74" i="24" s="1"/>
  <c r="CS75" i="24"/>
  <c r="CT75" i="24" s="1"/>
  <c r="CS76" i="24"/>
  <c r="CT76" i="24" s="1"/>
  <c r="CS77" i="24"/>
  <c r="CT77" i="24" s="1"/>
  <c r="CS78" i="24"/>
  <c r="CT78" i="24" s="1"/>
  <c r="CS79" i="24"/>
  <c r="CT79" i="24" s="1"/>
  <c r="CS80" i="24"/>
  <c r="CT80" i="24" s="1"/>
  <c r="CS81" i="24"/>
  <c r="CT81" i="24" s="1"/>
  <c r="CS82" i="24"/>
  <c r="CT82" i="24" s="1"/>
  <c r="CS83" i="24"/>
  <c r="CT83" i="24" s="1"/>
  <c r="CG2" i="24"/>
  <c r="CG3" i="24"/>
  <c r="CG4" i="24"/>
  <c r="CG5" i="24"/>
  <c r="CG6" i="24"/>
  <c r="CG117" i="24" s="1"/>
  <c r="CG7" i="24"/>
  <c r="CG8" i="24"/>
  <c r="CG9" i="24"/>
  <c r="CG10" i="24"/>
  <c r="CG11" i="24"/>
  <c r="CG12" i="24"/>
  <c r="CG13" i="24"/>
  <c r="CG14" i="24"/>
  <c r="CG15" i="24"/>
  <c r="CG16" i="24"/>
  <c r="CG17" i="24"/>
  <c r="CG18" i="24"/>
  <c r="CG19" i="24"/>
  <c r="CG20" i="24"/>
  <c r="CG21" i="24"/>
  <c r="CG22" i="24"/>
  <c r="CG23" i="24"/>
  <c r="CG24" i="24"/>
  <c r="CG25" i="24"/>
  <c r="CG26" i="24"/>
  <c r="CG27" i="24"/>
  <c r="CG28" i="24"/>
  <c r="CG29" i="24"/>
  <c r="CG30" i="24"/>
  <c r="CG31" i="24"/>
  <c r="CG32" i="24"/>
  <c r="CG33" i="24"/>
  <c r="CG34" i="24"/>
  <c r="CG35" i="24"/>
  <c r="CG36" i="24"/>
  <c r="CG37" i="24"/>
  <c r="CG38" i="24"/>
  <c r="CG39" i="24"/>
  <c r="CG40" i="24"/>
  <c r="CG41" i="24"/>
  <c r="CG42" i="24"/>
  <c r="CG43" i="24"/>
  <c r="CG44" i="24"/>
  <c r="CG45" i="24"/>
  <c r="CG46" i="24"/>
  <c r="CG47" i="24"/>
  <c r="CG48" i="24"/>
  <c r="CG49" i="24"/>
  <c r="CG50" i="24"/>
  <c r="CG51" i="24"/>
  <c r="CG52" i="24"/>
  <c r="CG53" i="24"/>
  <c r="CG54" i="24"/>
  <c r="CG55" i="24"/>
  <c r="CG56" i="24"/>
  <c r="CG57" i="24"/>
  <c r="CG58" i="24"/>
  <c r="CG59" i="24"/>
  <c r="CG60" i="24"/>
  <c r="CG61" i="24"/>
  <c r="CG62" i="24"/>
  <c r="CG63" i="24"/>
  <c r="CG64" i="24"/>
  <c r="CG65" i="24"/>
  <c r="CG66" i="24"/>
  <c r="CG67" i="24"/>
  <c r="CG68" i="24"/>
  <c r="CG69" i="24"/>
  <c r="CG70" i="24"/>
  <c r="CG71" i="24"/>
  <c r="CG72" i="24"/>
  <c r="CG73" i="24"/>
  <c r="CG74" i="24"/>
  <c r="CG75" i="24"/>
  <c r="CG76" i="24"/>
  <c r="CG77" i="24"/>
  <c r="CG78" i="24"/>
  <c r="CG79" i="24"/>
  <c r="CG80" i="24"/>
  <c r="CG81" i="24"/>
  <c r="CG82" i="24"/>
  <c r="CG83" i="24"/>
  <c r="CG115" i="24"/>
  <c r="BL2" i="24"/>
  <c r="BL3" i="24"/>
  <c r="BL4" i="24"/>
  <c r="BL5" i="24"/>
  <c r="BL6" i="24"/>
  <c r="BL117" i="24" s="1"/>
  <c r="BL7" i="24"/>
  <c r="BL115" i="24" s="1"/>
  <c r="BL8" i="24"/>
  <c r="BL9" i="24"/>
  <c r="BL10" i="24"/>
  <c r="BL11" i="24"/>
  <c r="BL12" i="24"/>
  <c r="BL13" i="24"/>
  <c r="BL14" i="24"/>
  <c r="BL15" i="24"/>
  <c r="BL16" i="24"/>
  <c r="BL17" i="24"/>
  <c r="BL18" i="24"/>
  <c r="BL19" i="24"/>
  <c r="BL20" i="24"/>
  <c r="BL21" i="24"/>
  <c r="BL22" i="24"/>
  <c r="BL23" i="24"/>
  <c r="BL24" i="24"/>
  <c r="BL25" i="24"/>
  <c r="BL26" i="24"/>
  <c r="BL27" i="24"/>
  <c r="BL28" i="24"/>
  <c r="BL29" i="24"/>
  <c r="BL30" i="24"/>
  <c r="BL31" i="24"/>
  <c r="BL32" i="24"/>
  <c r="BL33" i="24"/>
  <c r="BL34" i="24"/>
  <c r="BL35" i="24"/>
  <c r="BL36" i="24"/>
  <c r="BL37" i="24"/>
  <c r="BL38" i="24"/>
  <c r="BL39" i="24"/>
  <c r="BL40" i="24"/>
  <c r="BL41" i="24"/>
  <c r="BL42" i="24"/>
  <c r="BL43" i="24"/>
  <c r="BL44" i="24"/>
  <c r="BL45" i="24"/>
  <c r="BL46" i="24"/>
  <c r="BL47" i="24"/>
  <c r="BL48" i="24"/>
  <c r="BL49" i="24"/>
  <c r="BL50" i="24"/>
  <c r="BL51" i="24"/>
  <c r="BL52" i="24"/>
  <c r="BL53" i="24"/>
  <c r="BL54" i="24"/>
  <c r="BL55" i="24"/>
  <c r="BL56" i="24"/>
  <c r="BL57" i="24"/>
  <c r="BL58" i="24"/>
  <c r="BL59" i="24"/>
  <c r="BL60" i="24"/>
  <c r="BL61" i="24"/>
  <c r="BL62" i="24"/>
  <c r="BL63" i="24"/>
  <c r="BL64" i="24"/>
  <c r="BL65" i="24"/>
  <c r="BL66" i="24"/>
  <c r="BL67" i="24"/>
  <c r="BL68" i="24"/>
  <c r="BL69" i="24"/>
  <c r="BL70" i="24"/>
  <c r="BL71" i="24"/>
  <c r="BL72" i="24"/>
  <c r="BL73" i="24"/>
  <c r="BL74" i="24"/>
  <c r="BL75" i="24"/>
  <c r="BL76" i="24"/>
  <c r="BL77" i="24"/>
  <c r="BL78" i="24"/>
  <c r="BL79" i="24"/>
  <c r="BL80" i="24"/>
  <c r="BL81" i="24"/>
  <c r="BL82" i="24"/>
  <c r="BL83" i="24"/>
  <c r="BJ2" i="24"/>
  <c r="BJ3" i="24"/>
  <c r="BJ4" i="24"/>
  <c r="BJ5" i="24"/>
  <c r="BJ6" i="24"/>
  <c r="BJ117" i="24" s="1"/>
  <c r="BJ7" i="24"/>
  <c r="BJ115" i="24" s="1"/>
  <c r="BJ8" i="24"/>
  <c r="BJ9" i="24"/>
  <c r="BJ10" i="24"/>
  <c r="BJ11" i="24"/>
  <c r="BJ12" i="24"/>
  <c r="BJ13" i="24"/>
  <c r="BJ14" i="24"/>
  <c r="BJ15" i="24"/>
  <c r="BJ16" i="24"/>
  <c r="BJ17" i="24"/>
  <c r="BJ18" i="24"/>
  <c r="BJ19" i="24"/>
  <c r="BJ20" i="24"/>
  <c r="BJ21" i="24"/>
  <c r="BJ22" i="24"/>
  <c r="BJ23" i="24"/>
  <c r="BJ24" i="24"/>
  <c r="BJ25" i="24"/>
  <c r="BJ26" i="24"/>
  <c r="BJ27" i="24"/>
  <c r="BJ116" i="24" s="1"/>
  <c r="BJ28" i="24"/>
  <c r="BJ29" i="24"/>
  <c r="BJ30" i="24"/>
  <c r="BJ31" i="24"/>
  <c r="BJ32" i="24"/>
  <c r="BJ33" i="24"/>
  <c r="BJ34" i="24"/>
  <c r="BJ35" i="24"/>
  <c r="BJ36" i="24"/>
  <c r="BJ37" i="24"/>
  <c r="BJ38" i="24"/>
  <c r="BJ39" i="24"/>
  <c r="BJ40" i="24"/>
  <c r="BJ41" i="24"/>
  <c r="BJ42" i="24"/>
  <c r="BJ43" i="24"/>
  <c r="BJ44" i="24"/>
  <c r="BJ45" i="24"/>
  <c r="BJ46" i="24"/>
  <c r="BJ47" i="24"/>
  <c r="BJ48" i="24"/>
  <c r="BJ49" i="24"/>
  <c r="BJ50" i="24"/>
  <c r="BJ51" i="24"/>
  <c r="BJ52" i="24"/>
  <c r="BJ53" i="24"/>
  <c r="BJ54" i="24"/>
  <c r="BJ55" i="24"/>
  <c r="BJ56" i="24"/>
  <c r="BJ57" i="24"/>
  <c r="BJ58" i="24"/>
  <c r="BJ59" i="24"/>
  <c r="BJ60" i="24"/>
  <c r="BJ61" i="24"/>
  <c r="BJ62" i="24"/>
  <c r="BJ63" i="24"/>
  <c r="BJ64" i="24"/>
  <c r="BJ65" i="24"/>
  <c r="BJ66" i="24"/>
  <c r="BJ67" i="24"/>
  <c r="BJ68" i="24"/>
  <c r="BJ69" i="24"/>
  <c r="BJ70" i="24"/>
  <c r="BJ71" i="24"/>
  <c r="BJ72" i="24"/>
  <c r="BJ73" i="24"/>
  <c r="BJ74" i="24"/>
  <c r="BJ75" i="24"/>
  <c r="BJ76" i="24"/>
  <c r="BJ77" i="24"/>
  <c r="BJ78" i="24"/>
  <c r="BJ79" i="24"/>
  <c r="BJ80" i="24"/>
  <c r="BJ81" i="24"/>
  <c r="BJ82" i="24"/>
  <c r="BJ83" i="24"/>
  <c r="AY3" i="24"/>
  <c r="AY4" i="24"/>
  <c r="AY5" i="24"/>
  <c r="AY6" i="24"/>
  <c r="AY7" i="24"/>
  <c r="AY8" i="24"/>
  <c r="AY9" i="24"/>
  <c r="AY10" i="24"/>
  <c r="AY11" i="24"/>
  <c r="AY12" i="24"/>
  <c r="AY13" i="24"/>
  <c r="AY14" i="24"/>
  <c r="AY15" i="24"/>
  <c r="AY16" i="24"/>
  <c r="AY17" i="24"/>
  <c r="AY18" i="24"/>
  <c r="AY19" i="24"/>
  <c r="AY20" i="24"/>
  <c r="AY21" i="24"/>
  <c r="AY22" i="24"/>
  <c r="AY23" i="24"/>
  <c r="AY24" i="24"/>
  <c r="AY25" i="24"/>
  <c r="AY26" i="24"/>
  <c r="AY27" i="24"/>
  <c r="AY28" i="24"/>
  <c r="AY29" i="24"/>
  <c r="AY30" i="24"/>
  <c r="AY31" i="24"/>
  <c r="AY32" i="24"/>
  <c r="AY33" i="24"/>
  <c r="AY34" i="24"/>
  <c r="AY35" i="24"/>
  <c r="AY36" i="24"/>
  <c r="AY37" i="24"/>
  <c r="AY38" i="24"/>
  <c r="AY39" i="24"/>
  <c r="AY40" i="24"/>
  <c r="AY41" i="24"/>
  <c r="AY42" i="24"/>
  <c r="AY43" i="24"/>
  <c r="AY44" i="24"/>
  <c r="AY45" i="24"/>
  <c r="AY46" i="24"/>
  <c r="AY47" i="24"/>
  <c r="AY48" i="24"/>
  <c r="AY49" i="24"/>
  <c r="AY50" i="24"/>
  <c r="AY51" i="24"/>
  <c r="AY52" i="24"/>
  <c r="AY53" i="24"/>
  <c r="AY54" i="24"/>
  <c r="AY55" i="24"/>
  <c r="AY56" i="24"/>
  <c r="AY57" i="24"/>
  <c r="AY58" i="24"/>
  <c r="AY59" i="24"/>
  <c r="AY60" i="24"/>
  <c r="AY61" i="24"/>
  <c r="AY62" i="24"/>
  <c r="AY63" i="24"/>
  <c r="AY64" i="24"/>
  <c r="AY65" i="24"/>
  <c r="AY66" i="24"/>
  <c r="AY67" i="24"/>
  <c r="AY68" i="24"/>
  <c r="AY69" i="24"/>
  <c r="AY70" i="24"/>
  <c r="AY71" i="24"/>
  <c r="AY72" i="24"/>
  <c r="AY73" i="24"/>
  <c r="AY74" i="24"/>
  <c r="AY75" i="24"/>
  <c r="AY76" i="24"/>
  <c r="AY77" i="24"/>
  <c r="AY78" i="24"/>
  <c r="AY79" i="24"/>
  <c r="AY80" i="24"/>
  <c r="AY81" i="24"/>
  <c r="AY82" i="24"/>
  <c r="AY83" i="24"/>
  <c r="AO2" i="24"/>
  <c r="AO3" i="24"/>
  <c r="AO4" i="24"/>
  <c r="AO5" i="24"/>
  <c r="AO6" i="24"/>
  <c r="AO7" i="24"/>
  <c r="AO8" i="24"/>
  <c r="AO9" i="24"/>
  <c r="AO10" i="24"/>
  <c r="AO11" i="24"/>
  <c r="AO12" i="24"/>
  <c r="AO13" i="24"/>
  <c r="AO14" i="24"/>
  <c r="AO15" i="24"/>
  <c r="AO16" i="24"/>
  <c r="AO17" i="24"/>
  <c r="AO18" i="24"/>
  <c r="AO19" i="24"/>
  <c r="AO20" i="24"/>
  <c r="AO21" i="24"/>
  <c r="AO22" i="24"/>
  <c r="AO23" i="24"/>
  <c r="AO24" i="24"/>
  <c r="AO25" i="24"/>
  <c r="AO26" i="24"/>
  <c r="AO27" i="24"/>
  <c r="AO28" i="24"/>
  <c r="AO29" i="24"/>
  <c r="AO30" i="24"/>
  <c r="AO31" i="24"/>
  <c r="AO32" i="24"/>
  <c r="AO33" i="24"/>
  <c r="AO34" i="24"/>
  <c r="AO35" i="24"/>
  <c r="AO36" i="24"/>
  <c r="AO37" i="24"/>
  <c r="AO38" i="24"/>
  <c r="AO39" i="24"/>
  <c r="AO40" i="24"/>
  <c r="AO41" i="24"/>
  <c r="AO42" i="24"/>
  <c r="AO43" i="24"/>
  <c r="AO44" i="24"/>
  <c r="AO45" i="24"/>
  <c r="AO46" i="24"/>
  <c r="AO47" i="24"/>
  <c r="AO48" i="24"/>
  <c r="AO49" i="24"/>
  <c r="AO50" i="24"/>
  <c r="AO51" i="24"/>
  <c r="AO52" i="24"/>
  <c r="AO53" i="24"/>
  <c r="AO54" i="24"/>
  <c r="AO55" i="24"/>
  <c r="AO56" i="24"/>
  <c r="AO57" i="24"/>
  <c r="AO58" i="24"/>
  <c r="AO59" i="24"/>
  <c r="AO60" i="24"/>
  <c r="AO61" i="24"/>
  <c r="AO62" i="24"/>
  <c r="AO63" i="24"/>
  <c r="AO64" i="24"/>
  <c r="AO65" i="24"/>
  <c r="AO66" i="24"/>
  <c r="AO67" i="24"/>
  <c r="AO68" i="24"/>
  <c r="AO69" i="24"/>
  <c r="AO70" i="24"/>
  <c r="AO71" i="24"/>
  <c r="AO72" i="24"/>
  <c r="AO73" i="24"/>
  <c r="AO74" i="24"/>
  <c r="AO75" i="24"/>
  <c r="AO76" i="24"/>
  <c r="AO77" i="24"/>
  <c r="AO78" i="24"/>
  <c r="AO79" i="24"/>
  <c r="AO80" i="24"/>
  <c r="AO81" i="24"/>
  <c r="AO82" i="24"/>
  <c r="AO83" i="24"/>
  <c r="AI2" i="24"/>
  <c r="AI3" i="24"/>
  <c r="AI4" i="24"/>
  <c r="AI5" i="24"/>
  <c r="AI6" i="24"/>
  <c r="AJ6" i="24" s="1"/>
  <c r="AI7" i="24"/>
  <c r="AJ7" i="24" s="1"/>
  <c r="AI8" i="24"/>
  <c r="AI9" i="24"/>
  <c r="AJ9" i="24" s="1"/>
  <c r="AI10" i="24"/>
  <c r="AJ10" i="24" s="1"/>
  <c r="AI11" i="24"/>
  <c r="AJ11" i="24" s="1"/>
  <c r="AI12" i="24"/>
  <c r="AJ12" i="24" s="1"/>
  <c r="AI13" i="24"/>
  <c r="AI14" i="24"/>
  <c r="AI15" i="24"/>
  <c r="AJ15" i="24" s="1"/>
  <c r="AI16" i="24"/>
  <c r="AJ16" i="24" s="1"/>
  <c r="AI17" i="24"/>
  <c r="AJ17" i="24" s="1"/>
  <c r="AI18" i="24"/>
  <c r="AI19" i="24"/>
  <c r="AI20" i="24"/>
  <c r="AJ20" i="24" s="1"/>
  <c r="AI21" i="24"/>
  <c r="AJ21" i="24" s="1"/>
  <c r="AI22" i="24"/>
  <c r="AJ22" i="24" s="1"/>
  <c r="AI23" i="24"/>
  <c r="AJ23" i="24" s="1"/>
  <c r="AI24" i="24"/>
  <c r="AJ24" i="24" s="1"/>
  <c r="AI25" i="24"/>
  <c r="AJ25" i="24" s="1"/>
  <c r="AI26" i="24"/>
  <c r="AJ26" i="24" s="1"/>
  <c r="AI27" i="24"/>
  <c r="AJ27" i="24" s="1"/>
  <c r="AI28" i="24"/>
  <c r="AJ28" i="24" s="1"/>
  <c r="AI29" i="24"/>
  <c r="AJ29" i="24" s="1"/>
  <c r="AI30" i="24"/>
  <c r="AJ30" i="24" s="1"/>
  <c r="AI31" i="24"/>
  <c r="AJ31" i="24" s="1"/>
  <c r="AI32" i="24"/>
  <c r="AJ32" i="24" s="1"/>
  <c r="AI33" i="24"/>
  <c r="AJ33" i="24" s="1"/>
  <c r="AI34" i="24"/>
  <c r="AI35" i="24"/>
  <c r="AJ35" i="24" s="1"/>
  <c r="AI36" i="24"/>
  <c r="AJ36" i="24" s="1"/>
  <c r="AI37" i="24"/>
  <c r="AJ37" i="24" s="1"/>
  <c r="AI38" i="24"/>
  <c r="AJ38" i="24" s="1"/>
  <c r="AI39" i="24"/>
  <c r="AJ39" i="24" s="1"/>
  <c r="AI40" i="24"/>
  <c r="AJ40" i="24" s="1"/>
  <c r="AI41" i="24"/>
  <c r="AJ41" i="24" s="1"/>
  <c r="AI42" i="24"/>
  <c r="AJ42" i="24" s="1"/>
  <c r="AI43" i="24"/>
  <c r="AJ43" i="24" s="1"/>
  <c r="AI44" i="24"/>
  <c r="AJ44" i="24" s="1"/>
  <c r="AI45" i="24"/>
  <c r="AJ45" i="24" s="1"/>
  <c r="AI46" i="24"/>
  <c r="AJ46" i="24" s="1"/>
  <c r="AI47" i="24"/>
  <c r="AJ47" i="24" s="1"/>
  <c r="AI48" i="24"/>
  <c r="AJ48" i="24" s="1"/>
  <c r="AI49" i="24"/>
  <c r="AJ49" i="24" s="1"/>
  <c r="AI50" i="24"/>
  <c r="AJ50" i="24" s="1"/>
  <c r="AI51" i="24"/>
  <c r="AJ51" i="24" s="1"/>
  <c r="AI52" i="24"/>
  <c r="AJ52" i="24" s="1"/>
  <c r="AI53" i="24"/>
  <c r="AJ53" i="24" s="1"/>
  <c r="AI54" i="24"/>
  <c r="AJ54" i="24" s="1"/>
  <c r="AI55" i="24"/>
  <c r="AJ55" i="24" s="1"/>
  <c r="AI56" i="24"/>
  <c r="AJ56" i="24" s="1"/>
  <c r="AI57" i="24"/>
  <c r="AJ57" i="24" s="1"/>
  <c r="AI58" i="24"/>
  <c r="AJ58" i="24" s="1"/>
  <c r="AI59" i="24"/>
  <c r="AJ59" i="24" s="1"/>
  <c r="AI60" i="24"/>
  <c r="AJ60" i="24" s="1"/>
  <c r="AI61" i="24"/>
  <c r="AJ61" i="24" s="1"/>
  <c r="AI62" i="24"/>
  <c r="AJ62" i="24" s="1"/>
  <c r="AI63" i="24"/>
  <c r="AJ63" i="24" s="1"/>
  <c r="AI64" i="24"/>
  <c r="AJ64" i="24" s="1"/>
  <c r="AI65" i="24"/>
  <c r="AJ65" i="24" s="1"/>
  <c r="AI66" i="24"/>
  <c r="AJ66" i="24" s="1"/>
  <c r="AI67" i="24"/>
  <c r="AJ67" i="24" s="1"/>
  <c r="AI68" i="24"/>
  <c r="AJ68" i="24" s="1"/>
  <c r="AI69" i="24"/>
  <c r="AJ69" i="24" s="1"/>
  <c r="AI70" i="24"/>
  <c r="AJ70" i="24" s="1"/>
  <c r="AI71" i="24"/>
  <c r="AJ71" i="24" s="1"/>
  <c r="AI72" i="24"/>
  <c r="AJ72" i="24" s="1"/>
  <c r="AI73" i="24"/>
  <c r="AJ73" i="24" s="1"/>
  <c r="AI74" i="24"/>
  <c r="AJ74" i="24" s="1"/>
  <c r="AI75" i="24"/>
  <c r="AJ75" i="24" s="1"/>
  <c r="AI76" i="24"/>
  <c r="AJ76" i="24" s="1"/>
  <c r="AI77" i="24"/>
  <c r="AJ77" i="24" s="1"/>
  <c r="AI78" i="24"/>
  <c r="AJ78" i="24" s="1"/>
  <c r="AI79" i="24"/>
  <c r="AJ79" i="24" s="1"/>
  <c r="AI80" i="24"/>
  <c r="AJ80" i="24" s="1"/>
  <c r="AI81" i="24"/>
  <c r="AJ81" i="24" s="1"/>
  <c r="AI82" i="24"/>
  <c r="AJ82" i="24" s="1"/>
  <c r="AI83" i="24"/>
  <c r="AJ83" i="24" s="1"/>
  <c r="BY2" i="24"/>
  <c r="BY3" i="24"/>
  <c r="BY4" i="24"/>
  <c r="BY5" i="24"/>
  <c r="BY114" i="24" s="1"/>
  <c r="BY6" i="24"/>
  <c r="BY117" i="24" s="1"/>
  <c r="BY7" i="24"/>
  <c r="BY115" i="24" s="1"/>
  <c r="BY8" i="24"/>
  <c r="BY9" i="24"/>
  <c r="BY10" i="24"/>
  <c r="BY11" i="24"/>
  <c r="BY12" i="24"/>
  <c r="BY13" i="24"/>
  <c r="BY14" i="24"/>
  <c r="BY15" i="24"/>
  <c r="BY16" i="24"/>
  <c r="BY17" i="24"/>
  <c r="BY18" i="24"/>
  <c r="BY19" i="24"/>
  <c r="BY20" i="24"/>
  <c r="BY21" i="24"/>
  <c r="BY22" i="24"/>
  <c r="BY23" i="24"/>
  <c r="BY24" i="24"/>
  <c r="BY25" i="24"/>
  <c r="BY26" i="24"/>
  <c r="BY27" i="24"/>
  <c r="BY116" i="24" s="1"/>
  <c r="BY28" i="24"/>
  <c r="BY29" i="24"/>
  <c r="BY30" i="24"/>
  <c r="BY31" i="24"/>
  <c r="BY32" i="24"/>
  <c r="BY33" i="24"/>
  <c r="BY34" i="24"/>
  <c r="BY35" i="24"/>
  <c r="BY36" i="24"/>
  <c r="BY37" i="24"/>
  <c r="BY38" i="24"/>
  <c r="BY39" i="24"/>
  <c r="BY40" i="24"/>
  <c r="BY41" i="24"/>
  <c r="BY42" i="24"/>
  <c r="BY43" i="24"/>
  <c r="BY44" i="24"/>
  <c r="BY45" i="24"/>
  <c r="BY46" i="24"/>
  <c r="BY47" i="24"/>
  <c r="BY48" i="24"/>
  <c r="BY49" i="24"/>
  <c r="BY50" i="24"/>
  <c r="BY51" i="24"/>
  <c r="BY52" i="24"/>
  <c r="BY53" i="24"/>
  <c r="BY54" i="24"/>
  <c r="BY55" i="24"/>
  <c r="BY56" i="24"/>
  <c r="BY57" i="24"/>
  <c r="BY58" i="24"/>
  <c r="BY59" i="24"/>
  <c r="BY60" i="24"/>
  <c r="BY61" i="24"/>
  <c r="BY62" i="24"/>
  <c r="BY63" i="24"/>
  <c r="BY64" i="24"/>
  <c r="BY65" i="24"/>
  <c r="BY66" i="24"/>
  <c r="BY67" i="24"/>
  <c r="BY68" i="24"/>
  <c r="BY69" i="24"/>
  <c r="BY70" i="24"/>
  <c r="BY71" i="24"/>
  <c r="BY72" i="24"/>
  <c r="BY73" i="24"/>
  <c r="BY74" i="24"/>
  <c r="BY75" i="24"/>
  <c r="BY76" i="24"/>
  <c r="BY77" i="24"/>
  <c r="BY78" i="24"/>
  <c r="BY79" i="24"/>
  <c r="BY80" i="24"/>
  <c r="BY81" i="24"/>
  <c r="BY82" i="24"/>
  <c r="BY83" i="24"/>
  <c r="DB118" i="24"/>
  <c r="CG114" i="24" l="1"/>
  <c r="BJ114" i="24"/>
  <c r="CG116" i="24"/>
  <c r="CS114" i="24"/>
  <c r="BL114" i="24"/>
  <c r="BL116" i="24"/>
  <c r="CC116" i="24"/>
  <c r="DL102" i="24"/>
  <c r="C16" i="25"/>
  <c r="C20" i="25"/>
  <c r="C47" i="25"/>
  <c r="CS115" i="24"/>
  <c r="BJ102" i="24"/>
  <c r="C38" i="25"/>
  <c r="F32" i="25"/>
  <c r="BY102" i="24"/>
  <c r="F27" i="25"/>
  <c r="CG102" i="24"/>
  <c r="F41" i="25"/>
  <c r="CS102" i="24"/>
  <c r="F26" i="25"/>
  <c r="CC102" i="24"/>
  <c r="F15" i="25"/>
  <c r="BL102" i="24"/>
  <c r="AO114" i="24"/>
  <c r="L114" i="24"/>
  <c r="Q114" i="24"/>
  <c r="AO115" i="24"/>
  <c r="AY115" i="24"/>
  <c r="AO117" i="24"/>
  <c r="AY117" i="24"/>
  <c r="L115" i="24"/>
  <c r="Q115" i="24"/>
  <c r="L117" i="24"/>
  <c r="L116" i="24"/>
  <c r="Q117" i="24"/>
  <c r="Q116" i="24"/>
  <c r="AO116" i="24"/>
  <c r="AY116" i="24"/>
  <c r="AY114" i="24"/>
  <c r="L94" i="24"/>
  <c r="Q91" i="24"/>
  <c r="AO95" i="24"/>
  <c r="BL95" i="24"/>
  <c r="CG97" i="24"/>
  <c r="DL91" i="24"/>
  <c r="DL92" i="24"/>
  <c r="DL90" i="24"/>
  <c r="DL94" i="24"/>
  <c r="DL95" i="24"/>
  <c r="DL93" i="24"/>
  <c r="BY91" i="24"/>
  <c r="L90" i="24"/>
  <c r="AI115" i="24"/>
  <c r="AO94" i="24"/>
  <c r="BJ91" i="24"/>
  <c r="BL94" i="24"/>
  <c r="CS94" i="24"/>
  <c r="DL97" i="24"/>
  <c r="I117" i="24"/>
  <c r="H117" i="24"/>
  <c r="I90" i="24"/>
  <c r="H90" i="24"/>
  <c r="CC97" i="24"/>
  <c r="AJ14" i="24"/>
  <c r="AI97" i="24"/>
  <c r="AO96" i="24"/>
  <c r="AO104" i="24"/>
  <c r="CS95" i="24"/>
  <c r="CS104" i="24"/>
  <c r="CS96" i="24"/>
  <c r="H94" i="24"/>
  <c r="CC93" i="24"/>
  <c r="CC92" i="24"/>
  <c r="BL104" i="24"/>
  <c r="BL96" i="24"/>
  <c r="L95" i="24"/>
  <c r="L102" i="24"/>
  <c r="L96" i="24"/>
  <c r="L104" i="24"/>
  <c r="AJ13" i="24"/>
  <c r="AJ93" i="24" s="1"/>
  <c r="AI93" i="24"/>
  <c r="AJ5" i="24"/>
  <c r="AI92" i="24"/>
  <c r="BJ97" i="24"/>
  <c r="CG93" i="24"/>
  <c r="CG92" i="24"/>
  <c r="H97" i="24"/>
  <c r="H114" i="24"/>
  <c r="H115" i="24"/>
  <c r="H95" i="24"/>
  <c r="H93" i="24"/>
  <c r="CC90" i="24"/>
  <c r="BY93" i="24"/>
  <c r="BY92" i="24"/>
  <c r="Q97" i="24"/>
  <c r="AJ4" i="24"/>
  <c r="AJ90" i="24" s="1"/>
  <c r="AI90" i="24"/>
  <c r="AO91" i="24"/>
  <c r="BJ93" i="24"/>
  <c r="BJ92" i="24"/>
  <c r="BL91" i="24"/>
  <c r="CG90" i="24"/>
  <c r="CS91" i="24"/>
  <c r="H102" i="24"/>
  <c r="I116" i="24"/>
  <c r="H116" i="24"/>
  <c r="CC94" i="24"/>
  <c r="L91" i="24"/>
  <c r="Q93" i="24"/>
  <c r="Q92" i="24"/>
  <c r="AI114" i="24"/>
  <c r="AJ19" i="24"/>
  <c r="AJ115" i="24" s="1"/>
  <c r="AI94" i="24"/>
  <c r="AY102" i="24"/>
  <c r="BJ90" i="24"/>
  <c r="CG94" i="24"/>
  <c r="CC95" i="24"/>
  <c r="CC96" i="24"/>
  <c r="CC104" i="24"/>
  <c r="BY94" i="24"/>
  <c r="Q90" i="24"/>
  <c r="AJ34" i="24"/>
  <c r="AI95" i="24"/>
  <c r="AJ18" i="24"/>
  <c r="AI102" i="24"/>
  <c r="AJ2" i="24"/>
  <c r="AI104" i="24"/>
  <c r="AI96" i="24"/>
  <c r="AO97" i="24"/>
  <c r="BJ94" i="24"/>
  <c r="BL97" i="24"/>
  <c r="CG95" i="24"/>
  <c r="CG104" i="24"/>
  <c r="CG96" i="24"/>
  <c r="CS97" i="24"/>
  <c r="H91" i="24"/>
  <c r="BY90" i="24"/>
  <c r="BY95" i="24"/>
  <c r="BY96" i="24"/>
  <c r="L97" i="24"/>
  <c r="Q94" i="24"/>
  <c r="AO93" i="24"/>
  <c r="AO92" i="24"/>
  <c r="BJ95" i="24"/>
  <c r="BJ96" i="24"/>
  <c r="BJ104" i="24"/>
  <c r="BL93" i="24"/>
  <c r="BL92" i="24"/>
  <c r="CS93" i="24"/>
  <c r="CS92" i="24"/>
  <c r="H96" i="24"/>
  <c r="CC91" i="24"/>
  <c r="AO102" i="24"/>
  <c r="L93" i="24"/>
  <c r="L92" i="24"/>
  <c r="Q95" i="24"/>
  <c r="Q102" i="24"/>
  <c r="Q104" i="24"/>
  <c r="Q96" i="24"/>
  <c r="AJ117" i="24"/>
  <c r="AI117" i="24"/>
  <c r="AJ116" i="24"/>
  <c r="AI116" i="24"/>
  <c r="AJ8" i="24"/>
  <c r="AI91" i="24"/>
  <c r="AO90" i="24"/>
  <c r="BL90" i="24"/>
  <c r="CG91" i="24"/>
  <c r="CS90" i="24"/>
  <c r="DL104" i="24"/>
  <c r="DL96" i="24"/>
  <c r="BY97" i="24"/>
  <c r="BY104" i="24"/>
  <c r="AY96" i="24"/>
  <c r="AY91" i="24"/>
  <c r="AY93" i="24"/>
  <c r="AY92" i="24"/>
  <c r="AY90" i="24"/>
  <c r="AY94" i="24"/>
  <c r="AY95" i="24"/>
  <c r="AY104" i="24"/>
  <c r="AY97" i="24"/>
  <c r="AJ3" i="24"/>
  <c r="AI84" i="24"/>
  <c r="BL84" i="24"/>
  <c r="AY84" i="24"/>
  <c r="Q84" i="24"/>
  <c r="L84" i="24"/>
  <c r="CS84" i="24"/>
  <c r="BJ84" i="24"/>
  <c r="AO84" i="24"/>
  <c r="BY84" i="24"/>
  <c r="CG84" i="24"/>
  <c r="DL84" i="24"/>
  <c r="CC84" i="24"/>
  <c r="CT73" i="24"/>
  <c r="C52" i="25" l="1"/>
  <c r="AJ95" i="24"/>
  <c r="I115" i="24"/>
  <c r="AJ91" i="24"/>
  <c r="I91" i="24"/>
  <c r="AJ114" i="24"/>
  <c r="I114" i="24"/>
  <c r="H92" i="24"/>
  <c r="I94" i="24"/>
  <c r="I92" i="24"/>
  <c r="H104" i="24"/>
  <c r="AJ102" i="24"/>
  <c r="C44" i="25"/>
  <c r="AJ84" i="24"/>
  <c r="AJ94" i="24"/>
  <c r="I104" i="24"/>
  <c r="I96" i="24"/>
  <c r="AJ92" i="24"/>
  <c r="I102" i="24"/>
  <c r="AJ96" i="24"/>
  <c r="AJ104" i="24"/>
  <c r="AJ97" i="24"/>
  <c r="I93" i="24"/>
  <c r="I97" i="24"/>
  <c r="I95" i="24"/>
  <c r="I84" i="24"/>
  <c r="H84" i="24"/>
  <c r="DZ83" i="24"/>
  <c r="DY83" i="24"/>
  <c r="DX83" i="24"/>
  <c r="DW83" i="24"/>
  <c r="BW83" i="24"/>
  <c r="CJ83" i="24"/>
  <c r="CH83" i="24"/>
  <c r="BX83" i="24"/>
  <c r="BV83" i="24"/>
  <c r="BU83" i="24"/>
  <c r="BO83" i="24"/>
  <c r="BA83" i="24"/>
  <c r="AQ83" i="24"/>
  <c r="AA83" i="24"/>
  <c r="Z83" i="24"/>
  <c r="Y83" i="24"/>
  <c r="X83" i="24"/>
  <c r="W83" i="24"/>
  <c r="R83" i="24"/>
  <c r="M83" i="24"/>
  <c r="DZ82" i="24"/>
  <c r="DY82" i="24"/>
  <c r="DX82" i="24"/>
  <c r="DW82" i="24"/>
  <c r="BW82" i="24"/>
  <c r="CJ82" i="24"/>
  <c r="CH82" i="24"/>
  <c r="BX82" i="24"/>
  <c r="BV82" i="24"/>
  <c r="BU82" i="24"/>
  <c r="BO82" i="24"/>
  <c r="BA82" i="24"/>
  <c r="AQ82" i="24"/>
  <c r="AA82" i="24"/>
  <c r="Z82" i="24"/>
  <c r="Y82" i="24"/>
  <c r="X82" i="24"/>
  <c r="W82" i="24"/>
  <c r="R82" i="24"/>
  <c r="M82" i="24"/>
  <c r="DZ81" i="24"/>
  <c r="DY81" i="24"/>
  <c r="DX81" i="24"/>
  <c r="DW81" i="24"/>
  <c r="BW81" i="24"/>
  <c r="CJ81" i="24"/>
  <c r="CH81" i="24"/>
  <c r="BX81" i="24"/>
  <c r="BV81" i="24"/>
  <c r="BU81" i="24"/>
  <c r="BO81" i="24"/>
  <c r="BA81" i="24"/>
  <c r="AQ81" i="24"/>
  <c r="AA81" i="24"/>
  <c r="Z81" i="24"/>
  <c r="Y81" i="24"/>
  <c r="X81" i="24"/>
  <c r="W81" i="24"/>
  <c r="R81" i="24"/>
  <c r="M81" i="24"/>
  <c r="DZ80" i="24"/>
  <c r="DY80" i="24"/>
  <c r="DX80" i="24"/>
  <c r="DW80" i="24"/>
  <c r="BW80" i="24"/>
  <c r="CJ80" i="24"/>
  <c r="CH80" i="24"/>
  <c r="BX80" i="24"/>
  <c r="BV80" i="24"/>
  <c r="BU80" i="24"/>
  <c r="BO80" i="24"/>
  <c r="BA80" i="24"/>
  <c r="AQ80" i="24"/>
  <c r="AA80" i="24"/>
  <c r="Z80" i="24"/>
  <c r="Y80" i="24"/>
  <c r="X80" i="24"/>
  <c r="W80" i="24"/>
  <c r="R80" i="24"/>
  <c r="M80" i="24"/>
  <c r="DZ79" i="24"/>
  <c r="DY79" i="24"/>
  <c r="DX79" i="24"/>
  <c r="DW79" i="24"/>
  <c r="BW79" i="24"/>
  <c r="CJ79" i="24"/>
  <c r="CH79" i="24"/>
  <c r="BX79" i="24"/>
  <c r="BV79" i="24"/>
  <c r="BU79" i="24"/>
  <c r="BO79" i="24"/>
  <c r="BA79" i="24"/>
  <c r="AQ79" i="24"/>
  <c r="AA79" i="24"/>
  <c r="Z79" i="24"/>
  <c r="Y79" i="24"/>
  <c r="X79" i="24"/>
  <c r="W79" i="24"/>
  <c r="R79" i="24"/>
  <c r="M79" i="24"/>
  <c r="DZ78" i="24"/>
  <c r="DY78" i="24"/>
  <c r="DX78" i="24"/>
  <c r="DW78" i="24"/>
  <c r="BW78" i="24"/>
  <c r="CJ78" i="24"/>
  <c r="CH78" i="24"/>
  <c r="BX78" i="24"/>
  <c r="BV78" i="24"/>
  <c r="BU78" i="24"/>
  <c r="BO78" i="24"/>
  <c r="BA78" i="24"/>
  <c r="AQ78" i="24"/>
  <c r="AA78" i="24"/>
  <c r="Z78" i="24"/>
  <c r="Y78" i="24"/>
  <c r="X78" i="24"/>
  <c r="W78" i="24"/>
  <c r="R78" i="24"/>
  <c r="M78" i="24"/>
  <c r="DZ77" i="24"/>
  <c r="DY77" i="24"/>
  <c r="DX77" i="24"/>
  <c r="DW77" i="24"/>
  <c r="BW77" i="24"/>
  <c r="CJ77" i="24"/>
  <c r="CH77" i="24"/>
  <c r="BX77" i="24"/>
  <c r="BV77" i="24"/>
  <c r="BU77" i="24"/>
  <c r="BO77" i="24"/>
  <c r="BA77" i="24"/>
  <c r="AQ77" i="24"/>
  <c r="AA77" i="24"/>
  <c r="Z77" i="24"/>
  <c r="Y77" i="24"/>
  <c r="X77" i="24"/>
  <c r="W77" i="24"/>
  <c r="R77" i="24"/>
  <c r="M77" i="24"/>
  <c r="DZ76" i="24"/>
  <c r="DY76" i="24"/>
  <c r="DX76" i="24"/>
  <c r="DW76" i="24"/>
  <c r="BW76" i="24"/>
  <c r="CJ76" i="24"/>
  <c r="CH76" i="24"/>
  <c r="BX76" i="24"/>
  <c r="BV76" i="24"/>
  <c r="BU76" i="24"/>
  <c r="BO76" i="24"/>
  <c r="BA76" i="24"/>
  <c r="AQ76" i="24"/>
  <c r="AA76" i="24"/>
  <c r="Z76" i="24"/>
  <c r="Y76" i="24"/>
  <c r="X76" i="24"/>
  <c r="W76" i="24"/>
  <c r="R76" i="24"/>
  <c r="M76" i="24"/>
  <c r="DZ75" i="24"/>
  <c r="DY75" i="24"/>
  <c r="DX75" i="24"/>
  <c r="DW75" i="24"/>
  <c r="BW75" i="24"/>
  <c r="CJ75" i="24"/>
  <c r="CH75" i="24"/>
  <c r="BX75" i="24"/>
  <c r="BV75" i="24"/>
  <c r="BU75" i="24"/>
  <c r="BO75" i="24"/>
  <c r="BA75" i="24"/>
  <c r="AQ75" i="24"/>
  <c r="AA75" i="24"/>
  <c r="Z75" i="24"/>
  <c r="Y75" i="24"/>
  <c r="X75" i="24"/>
  <c r="W75" i="24"/>
  <c r="R75" i="24"/>
  <c r="M75" i="24"/>
  <c r="DZ74" i="24"/>
  <c r="DY74" i="24"/>
  <c r="DX74" i="24"/>
  <c r="DW74" i="24"/>
  <c r="BW74" i="24"/>
  <c r="CJ74" i="24"/>
  <c r="CH74" i="24"/>
  <c r="BX74" i="24"/>
  <c r="BV74" i="24"/>
  <c r="BU74" i="24"/>
  <c r="BO74" i="24"/>
  <c r="BA74" i="24"/>
  <c r="AQ74" i="24"/>
  <c r="AA74" i="24"/>
  <c r="Z74" i="24"/>
  <c r="Y74" i="24"/>
  <c r="X74" i="24"/>
  <c r="W74" i="24"/>
  <c r="R74" i="24"/>
  <c r="M74" i="24"/>
  <c r="DZ73" i="24"/>
  <c r="DY73" i="24"/>
  <c r="DX73" i="24"/>
  <c r="DW73" i="24"/>
  <c r="BW73" i="24"/>
  <c r="CJ73" i="24"/>
  <c r="CH73" i="24"/>
  <c r="BX73" i="24"/>
  <c r="BU73" i="24"/>
  <c r="BO73" i="24"/>
  <c r="BA73" i="24"/>
  <c r="AQ73" i="24"/>
  <c r="AA73" i="24"/>
  <c r="Z73" i="24"/>
  <c r="Y73" i="24"/>
  <c r="X73" i="24"/>
  <c r="W73" i="24"/>
  <c r="R73" i="24"/>
  <c r="M73" i="24"/>
  <c r="DZ72" i="24"/>
  <c r="DY72" i="24"/>
  <c r="DX72" i="24"/>
  <c r="DW72" i="24"/>
  <c r="BW72" i="24"/>
  <c r="CJ72" i="24"/>
  <c r="CH72" i="24"/>
  <c r="BX72" i="24"/>
  <c r="BU72" i="24"/>
  <c r="BO72" i="24"/>
  <c r="BA72" i="24"/>
  <c r="AQ72" i="24"/>
  <c r="AA72" i="24"/>
  <c r="Z72" i="24"/>
  <c r="Y72" i="24"/>
  <c r="X72" i="24"/>
  <c r="W72" i="24"/>
  <c r="R72" i="24"/>
  <c r="M72" i="24"/>
  <c r="DZ71" i="24"/>
  <c r="DY71" i="24"/>
  <c r="DX71" i="24"/>
  <c r="DW71" i="24"/>
  <c r="BW71" i="24"/>
  <c r="CJ71" i="24"/>
  <c r="CH71" i="24"/>
  <c r="BX71" i="24"/>
  <c r="BV71" i="24"/>
  <c r="BU71" i="24"/>
  <c r="BO71" i="24"/>
  <c r="BA71" i="24"/>
  <c r="AQ71" i="24"/>
  <c r="AA71" i="24"/>
  <c r="Z71" i="24"/>
  <c r="Y71" i="24"/>
  <c r="X71" i="24"/>
  <c r="W71" i="24"/>
  <c r="R71" i="24"/>
  <c r="M71" i="24"/>
  <c r="DZ70" i="24"/>
  <c r="DY70" i="24"/>
  <c r="DX70" i="24"/>
  <c r="DW70" i="24"/>
  <c r="BW70" i="24"/>
  <c r="CT70" i="24"/>
  <c r="CJ70" i="24"/>
  <c r="CH70" i="24"/>
  <c r="BX70" i="24"/>
  <c r="BV70" i="24"/>
  <c r="BU70" i="24"/>
  <c r="BO70" i="24"/>
  <c r="BA70" i="24"/>
  <c r="AQ70" i="24"/>
  <c r="AA70" i="24"/>
  <c r="Z70" i="24"/>
  <c r="Y70" i="24"/>
  <c r="X70" i="24"/>
  <c r="W70" i="24"/>
  <c r="R70" i="24"/>
  <c r="M70" i="24"/>
  <c r="DZ69" i="24"/>
  <c r="DY69" i="24"/>
  <c r="DX69" i="24"/>
  <c r="DW69" i="24"/>
  <c r="BW69" i="24"/>
  <c r="CT69" i="24"/>
  <c r="CJ69" i="24"/>
  <c r="CH69" i="24"/>
  <c r="BX69" i="24"/>
  <c r="BV69" i="24"/>
  <c r="BU69" i="24"/>
  <c r="BO69" i="24"/>
  <c r="BA69" i="24"/>
  <c r="AQ69" i="24"/>
  <c r="AA69" i="24"/>
  <c r="Z69" i="24"/>
  <c r="Y69" i="24"/>
  <c r="X69" i="24"/>
  <c r="W69" i="24"/>
  <c r="R69" i="24"/>
  <c r="M69" i="24"/>
  <c r="DZ68" i="24"/>
  <c r="DY68" i="24"/>
  <c r="DX68" i="24"/>
  <c r="DW68" i="24"/>
  <c r="BW68" i="24"/>
  <c r="CT68" i="24"/>
  <c r="CJ68" i="24"/>
  <c r="CH68" i="24"/>
  <c r="BX68" i="24"/>
  <c r="BV68" i="24"/>
  <c r="BU68" i="24"/>
  <c r="BO68" i="24"/>
  <c r="BA68" i="24"/>
  <c r="AQ68" i="24"/>
  <c r="AA68" i="24"/>
  <c r="Z68" i="24"/>
  <c r="Y68" i="24"/>
  <c r="X68" i="24"/>
  <c r="W68" i="24"/>
  <c r="R68" i="24"/>
  <c r="M68" i="24"/>
  <c r="DZ67" i="24"/>
  <c r="DY67" i="24"/>
  <c r="DX67" i="24"/>
  <c r="DW67" i="24"/>
  <c r="BW67" i="24"/>
  <c r="CT67" i="24"/>
  <c r="CJ67" i="24"/>
  <c r="CH67" i="24"/>
  <c r="BX67" i="24"/>
  <c r="BV67" i="24"/>
  <c r="BU67" i="24"/>
  <c r="BO67" i="24"/>
  <c r="BA67" i="24"/>
  <c r="AQ67" i="24"/>
  <c r="AA67" i="24"/>
  <c r="Z67" i="24"/>
  <c r="Y67" i="24"/>
  <c r="X67" i="24"/>
  <c r="W67" i="24"/>
  <c r="R67" i="24"/>
  <c r="M67" i="24"/>
  <c r="DZ66" i="24"/>
  <c r="DY66" i="24"/>
  <c r="DX66" i="24"/>
  <c r="DW66" i="24"/>
  <c r="BW66" i="24"/>
  <c r="CT66" i="24"/>
  <c r="CJ66" i="24"/>
  <c r="CH66" i="24"/>
  <c r="BX66" i="24"/>
  <c r="BV66" i="24"/>
  <c r="BU66" i="24"/>
  <c r="BO66" i="24"/>
  <c r="BA66" i="24"/>
  <c r="AQ66" i="24"/>
  <c r="AA66" i="24"/>
  <c r="Z66" i="24"/>
  <c r="Y66" i="24"/>
  <c r="X66" i="24"/>
  <c r="W66" i="24"/>
  <c r="R66" i="24"/>
  <c r="M66" i="24"/>
  <c r="DZ65" i="24"/>
  <c r="DY65" i="24"/>
  <c r="DX65" i="24"/>
  <c r="DW65" i="24"/>
  <c r="BW65" i="24"/>
  <c r="CT65" i="24"/>
  <c r="CJ65" i="24"/>
  <c r="CH65" i="24"/>
  <c r="BX65" i="24"/>
  <c r="BV65" i="24"/>
  <c r="BU65" i="24"/>
  <c r="BO65" i="24"/>
  <c r="BA65" i="24"/>
  <c r="AQ65" i="24"/>
  <c r="AA65" i="24"/>
  <c r="Z65" i="24"/>
  <c r="Y65" i="24"/>
  <c r="X65" i="24"/>
  <c r="W65" i="24"/>
  <c r="R65" i="24"/>
  <c r="M65" i="24"/>
  <c r="DZ64" i="24"/>
  <c r="DY64" i="24"/>
  <c r="DX64" i="24"/>
  <c r="DW64" i="24"/>
  <c r="BW64" i="24"/>
  <c r="CT64" i="24"/>
  <c r="CJ64" i="24"/>
  <c r="CH64" i="24"/>
  <c r="BX64" i="24"/>
  <c r="BV64" i="24"/>
  <c r="BU64" i="24"/>
  <c r="BO64" i="24"/>
  <c r="BA64" i="24"/>
  <c r="AQ64" i="24"/>
  <c r="AA64" i="24"/>
  <c r="Z64" i="24"/>
  <c r="Y64" i="24"/>
  <c r="X64" i="24"/>
  <c r="W64" i="24"/>
  <c r="R64" i="24"/>
  <c r="M64" i="24"/>
  <c r="DZ63" i="24"/>
  <c r="DY63" i="24"/>
  <c r="DX63" i="24"/>
  <c r="DW63" i="24"/>
  <c r="BW63" i="24"/>
  <c r="CT63" i="24"/>
  <c r="CJ63" i="24"/>
  <c r="CH63" i="24"/>
  <c r="BX63" i="24"/>
  <c r="BV63" i="24"/>
  <c r="BU63" i="24"/>
  <c r="BO63" i="24"/>
  <c r="BA63" i="24"/>
  <c r="AQ63" i="24"/>
  <c r="AA63" i="24"/>
  <c r="Z63" i="24"/>
  <c r="Y63" i="24"/>
  <c r="X63" i="24"/>
  <c r="W63" i="24"/>
  <c r="R63" i="24"/>
  <c r="M63" i="24"/>
  <c r="DZ62" i="24"/>
  <c r="DY62" i="24"/>
  <c r="DX62" i="24"/>
  <c r="DW62" i="24"/>
  <c r="BW62" i="24"/>
  <c r="CT62" i="24"/>
  <c r="CJ62" i="24"/>
  <c r="CH62" i="24"/>
  <c r="BX62" i="24"/>
  <c r="BV62" i="24"/>
  <c r="BU62" i="24"/>
  <c r="BO62" i="24"/>
  <c r="BA62" i="24"/>
  <c r="AQ62" i="24"/>
  <c r="AA62" i="24"/>
  <c r="Z62" i="24"/>
  <c r="Y62" i="24"/>
  <c r="X62" i="24"/>
  <c r="W62" i="24"/>
  <c r="R62" i="24"/>
  <c r="M62" i="24"/>
  <c r="DZ61" i="24"/>
  <c r="DY61" i="24"/>
  <c r="DX61" i="24"/>
  <c r="DW61" i="24"/>
  <c r="BW61" i="24"/>
  <c r="CT61" i="24"/>
  <c r="CJ61" i="24"/>
  <c r="CH61" i="24"/>
  <c r="BX61" i="24"/>
  <c r="BV61" i="24"/>
  <c r="BU61" i="24"/>
  <c r="BO61" i="24"/>
  <c r="BA61" i="24"/>
  <c r="AQ61" i="24"/>
  <c r="AA61" i="24"/>
  <c r="Z61" i="24"/>
  <c r="Y61" i="24"/>
  <c r="X61" i="24"/>
  <c r="W61" i="24"/>
  <c r="R61" i="24"/>
  <c r="M61" i="24"/>
  <c r="DZ60" i="24"/>
  <c r="DY60" i="24"/>
  <c r="DX60" i="24"/>
  <c r="DW60" i="24"/>
  <c r="BW60" i="24"/>
  <c r="CT60" i="24"/>
  <c r="CJ60" i="24"/>
  <c r="CH60" i="24"/>
  <c r="BX60" i="24"/>
  <c r="BV60" i="24"/>
  <c r="BU60" i="24"/>
  <c r="BO60" i="24"/>
  <c r="BA60" i="24"/>
  <c r="AQ60" i="24"/>
  <c r="AA60" i="24"/>
  <c r="Z60" i="24"/>
  <c r="Y60" i="24"/>
  <c r="X60" i="24"/>
  <c r="W60" i="24"/>
  <c r="R60" i="24"/>
  <c r="M60" i="24"/>
  <c r="DZ59" i="24"/>
  <c r="DY59" i="24"/>
  <c r="DX59" i="24"/>
  <c r="DW59" i="24"/>
  <c r="BW59" i="24"/>
  <c r="CT59" i="24"/>
  <c r="CJ59" i="24"/>
  <c r="CH59" i="24"/>
  <c r="BX59" i="24"/>
  <c r="BV59" i="24"/>
  <c r="BU59" i="24"/>
  <c r="BO59" i="24"/>
  <c r="BA59" i="24"/>
  <c r="AQ59" i="24"/>
  <c r="AA59" i="24"/>
  <c r="Z59" i="24"/>
  <c r="Y59" i="24"/>
  <c r="X59" i="24"/>
  <c r="W59" i="24"/>
  <c r="R59" i="24"/>
  <c r="M59" i="24"/>
  <c r="DZ58" i="24"/>
  <c r="DY58" i="24"/>
  <c r="DX58" i="24"/>
  <c r="DW58" i="24"/>
  <c r="BW58" i="24"/>
  <c r="CT58" i="24"/>
  <c r="CJ58" i="24"/>
  <c r="CH58" i="24"/>
  <c r="BX58" i="24"/>
  <c r="BV58" i="24"/>
  <c r="BU58" i="24"/>
  <c r="BO58" i="24"/>
  <c r="BA58" i="24"/>
  <c r="AQ58" i="24"/>
  <c r="AA58" i="24"/>
  <c r="Z58" i="24"/>
  <c r="Y58" i="24"/>
  <c r="X58" i="24"/>
  <c r="W58" i="24"/>
  <c r="R58" i="24"/>
  <c r="M58" i="24"/>
  <c r="DZ57" i="24"/>
  <c r="DY57" i="24"/>
  <c r="DX57" i="24"/>
  <c r="DW57" i="24"/>
  <c r="BW57" i="24"/>
  <c r="CT57" i="24"/>
  <c r="CJ57" i="24"/>
  <c r="CH57" i="24"/>
  <c r="BX57" i="24"/>
  <c r="BV57" i="24"/>
  <c r="BU57" i="24"/>
  <c r="BO57" i="24"/>
  <c r="BA57" i="24"/>
  <c r="AQ57" i="24"/>
  <c r="AA57" i="24"/>
  <c r="Z57" i="24"/>
  <c r="Y57" i="24"/>
  <c r="X57" i="24"/>
  <c r="W57" i="24"/>
  <c r="R57" i="24"/>
  <c r="M57" i="24"/>
  <c r="DZ56" i="24"/>
  <c r="DY56" i="24"/>
  <c r="DX56" i="24"/>
  <c r="DW56" i="24"/>
  <c r="BW56" i="24"/>
  <c r="CT56" i="24"/>
  <c r="CJ56" i="24"/>
  <c r="CH56" i="24"/>
  <c r="BX56" i="24"/>
  <c r="BV56" i="24"/>
  <c r="BU56" i="24"/>
  <c r="BO56" i="24"/>
  <c r="BA56" i="24"/>
  <c r="AQ56" i="24"/>
  <c r="AA56" i="24"/>
  <c r="Z56" i="24"/>
  <c r="Y56" i="24"/>
  <c r="X56" i="24"/>
  <c r="W56" i="24"/>
  <c r="R56" i="24"/>
  <c r="M56" i="24"/>
  <c r="DZ55" i="24"/>
  <c r="DY55" i="24"/>
  <c r="DX55" i="24"/>
  <c r="DW55" i="24"/>
  <c r="BW55" i="24"/>
  <c r="CT55" i="24"/>
  <c r="CJ55" i="24"/>
  <c r="CH55" i="24"/>
  <c r="BX55" i="24"/>
  <c r="BV55" i="24"/>
  <c r="BU55" i="24"/>
  <c r="BO55" i="24"/>
  <c r="BA55" i="24"/>
  <c r="AQ55" i="24"/>
  <c r="AA55" i="24"/>
  <c r="Z55" i="24"/>
  <c r="Y55" i="24"/>
  <c r="X55" i="24"/>
  <c r="W55" i="24"/>
  <c r="R55" i="24"/>
  <c r="M55" i="24"/>
  <c r="DZ54" i="24"/>
  <c r="DY54" i="24"/>
  <c r="DX54" i="24"/>
  <c r="DW54" i="24"/>
  <c r="BW54" i="24"/>
  <c r="CT54" i="24"/>
  <c r="CJ54" i="24"/>
  <c r="CH54" i="24"/>
  <c r="BX54" i="24"/>
  <c r="BV54" i="24"/>
  <c r="BU54" i="24"/>
  <c r="BO54" i="24"/>
  <c r="BA54" i="24"/>
  <c r="AQ54" i="24"/>
  <c r="AA54" i="24"/>
  <c r="Z54" i="24"/>
  <c r="Y54" i="24"/>
  <c r="X54" i="24"/>
  <c r="W54" i="24"/>
  <c r="R54" i="24"/>
  <c r="M54" i="24"/>
  <c r="DZ53" i="24"/>
  <c r="DY53" i="24"/>
  <c r="DX53" i="24"/>
  <c r="DW53" i="24"/>
  <c r="BW53" i="24"/>
  <c r="CT53" i="24"/>
  <c r="CJ53" i="24"/>
  <c r="CH53" i="24"/>
  <c r="BX53" i="24"/>
  <c r="BV53" i="24"/>
  <c r="BU53" i="24"/>
  <c r="BO53" i="24"/>
  <c r="BA53" i="24"/>
  <c r="AQ53" i="24"/>
  <c r="AA53" i="24"/>
  <c r="Z53" i="24"/>
  <c r="Y53" i="24"/>
  <c r="X53" i="24"/>
  <c r="W53" i="24"/>
  <c r="R53" i="24"/>
  <c r="M53" i="24"/>
  <c r="DZ52" i="24"/>
  <c r="DY52" i="24"/>
  <c r="DX52" i="24"/>
  <c r="DW52" i="24"/>
  <c r="BW52" i="24"/>
  <c r="CT52" i="24"/>
  <c r="CJ52" i="24"/>
  <c r="CH52" i="24"/>
  <c r="BX52" i="24"/>
  <c r="BV52" i="24"/>
  <c r="BU52" i="24"/>
  <c r="BO52" i="24"/>
  <c r="BA52" i="24"/>
  <c r="AQ52" i="24"/>
  <c r="AA52" i="24"/>
  <c r="Z52" i="24"/>
  <c r="Y52" i="24"/>
  <c r="X52" i="24"/>
  <c r="W52" i="24"/>
  <c r="R52" i="24"/>
  <c r="M52" i="24"/>
  <c r="DZ51" i="24"/>
  <c r="DY51" i="24"/>
  <c r="DX51" i="24"/>
  <c r="DW51" i="24"/>
  <c r="BW51" i="24"/>
  <c r="CT51" i="24"/>
  <c r="CJ51" i="24"/>
  <c r="CH51" i="24"/>
  <c r="BX51" i="24"/>
  <c r="BV51" i="24"/>
  <c r="BU51" i="24"/>
  <c r="BO51" i="24"/>
  <c r="BA51" i="24"/>
  <c r="AQ51" i="24"/>
  <c r="AA51" i="24"/>
  <c r="Z51" i="24"/>
  <c r="Y51" i="24"/>
  <c r="X51" i="24"/>
  <c r="W51" i="24"/>
  <c r="R51" i="24"/>
  <c r="M51" i="24"/>
  <c r="DZ50" i="24"/>
  <c r="DY50" i="24"/>
  <c r="DX50" i="24"/>
  <c r="DW50" i="24"/>
  <c r="BW50" i="24"/>
  <c r="CT50" i="24"/>
  <c r="CJ50" i="24"/>
  <c r="CH50" i="24"/>
  <c r="BX50" i="24"/>
  <c r="BV50" i="24"/>
  <c r="BU50" i="24"/>
  <c r="BO50" i="24"/>
  <c r="BA50" i="24"/>
  <c r="AQ50" i="24"/>
  <c r="AA50" i="24"/>
  <c r="Z50" i="24"/>
  <c r="Y50" i="24"/>
  <c r="X50" i="24"/>
  <c r="W50" i="24"/>
  <c r="R50" i="24"/>
  <c r="M50" i="24"/>
  <c r="DZ49" i="24"/>
  <c r="DY49" i="24"/>
  <c r="DX49" i="24"/>
  <c r="DW49" i="24"/>
  <c r="BW49" i="24"/>
  <c r="CT49" i="24"/>
  <c r="CJ49" i="24"/>
  <c r="CH49" i="24"/>
  <c r="BX49" i="24"/>
  <c r="BV49" i="24"/>
  <c r="BU49" i="24"/>
  <c r="BO49" i="24"/>
  <c r="BA49" i="24"/>
  <c r="AQ49" i="24"/>
  <c r="AA49" i="24"/>
  <c r="Z49" i="24"/>
  <c r="Y49" i="24"/>
  <c r="X49" i="24"/>
  <c r="W49" i="24"/>
  <c r="R49" i="24"/>
  <c r="M49" i="24"/>
  <c r="DZ48" i="24"/>
  <c r="DY48" i="24"/>
  <c r="DX48" i="24"/>
  <c r="DW48" i="24"/>
  <c r="BW48" i="24"/>
  <c r="CT48" i="24"/>
  <c r="CJ48" i="24"/>
  <c r="CH48" i="24"/>
  <c r="BX48" i="24"/>
  <c r="BV48" i="24"/>
  <c r="BU48" i="24"/>
  <c r="BO48" i="24"/>
  <c r="BA48" i="24"/>
  <c r="AQ48" i="24"/>
  <c r="AA48" i="24"/>
  <c r="Z48" i="24"/>
  <c r="Y48" i="24"/>
  <c r="X48" i="24"/>
  <c r="W48" i="24"/>
  <c r="R48" i="24"/>
  <c r="M48" i="24"/>
  <c r="DZ47" i="24"/>
  <c r="DY47" i="24"/>
  <c r="DX47" i="24"/>
  <c r="DW47" i="24"/>
  <c r="BW47" i="24"/>
  <c r="CT47" i="24"/>
  <c r="CJ47" i="24"/>
  <c r="CH47" i="24"/>
  <c r="BX47" i="24"/>
  <c r="BV47" i="24"/>
  <c r="BU47" i="24"/>
  <c r="BO47" i="24"/>
  <c r="BA47" i="24"/>
  <c r="AQ47" i="24"/>
  <c r="AA47" i="24"/>
  <c r="Z47" i="24"/>
  <c r="Y47" i="24"/>
  <c r="X47" i="24"/>
  <c r="W47" i="24"/>
  <c r="R47" i="24"/>
  <c r="M47" i="24"/>
  <c r="DZ46" i="24"/>
  <c r="DY46" i="24"/>
  <c r="DX46" i="24"/>
  <c r="DW46" i="24"/>
  <c r="BW46" i="24"/>
  <c r="CT46" i="24"/>
  <c r="CJ46" i="24"/>
  <c r="CH46" i="24"/>
  <c r="BX46" i="24"/>
  <c r="BV46" i="24"/>
  <c r="BU46" i="24"/>
  <c r="BO46" i="24"/>
  <c r="BA46" i="24"/>
  <c r="AQ46" i="24"/>
  <c r="AA46" i="24"/>
  <c r="Z46" i="24"/>
  <c r="Y46" i="24"/>
  <c r="X46" i="24"/>
  <c r="W46" i="24"/>
  <c r="R46" i="24"/>
  <c r="M46" i="24"/>
  <c r="DZ45" i="24"/>
  <c r="DY45" i="24"/>
  <c r="DX45" i="24"/>
  <c r="DW45" i="24"/>
  <c r="BW45" i="24"/>
  <c r="CT45" i="24"/>
  <c r="CJ45" i="24"/>
  <c r="CH45" i="24"/>
  <c r="BX45" i="24"/>
  <c r="BV45" i="24"/>
  <c r="BU45" i="24"/>
  <c r="BO45" i="24"/>
  <c r="BA45" i="24"/>
  <c r="AQ45" i="24"/>
  <c r="AA45" i="24"/>
  <c r="Z45" i="24"/>
  <c r="Y45" i="24"/>
  <c r="X45" i="24"/>
  <c r="W45" i="24"/>
  <c r="R45" i="24"/>
  <c r="M45" i="24"/>
  <c r="DZ44" i="24"/>
  <c r="DY44" i="24"/>
  <c r="DX44" i="24"/>
  <c r="DW44" i="24"/>
  <c r="BW44" i="24"/>
  <c r="CT44" i="24"/>
  <c r="CJ44" i="24"/>
  <c r="CH44" i="24"/>
  <c r="BX44" i="24"/>
  <c r="BV44" i="24"/>
  <c r="BU44" i="24"/>
  <c r="BO44" i="24"/>
  <c r="BA44" i="24"/>
  <c r="AQ44" i="24"/>
  <c r="AA44" i="24"/>
  <c r="Z44" i="24"/>
  <c r="Y44" i="24"/>
  <c r="X44" i="24"/>
  <c r="W44" i="24"/>
  <c r="R44" i="24"/>
  <c r="M44" i="24"/>
  <c r="DZ43" i="24"/>
  <c r="DY43" i="24"/>
  <c r="DX43" i="24"/>
  <c r="DW43" i="24"/>
  <c r="BW43" i="24"/>
  <c r="CT43" i="24"/>
  <c r="CJ43" i="24"/>
  <c r="CH43" i="24"/>
  <c r="BX43" i="24"/>
  <c r="BV43" i="24"/>
  <c r="BU43" i="24"/>
  <c r="BO43" i="24"/>
  <c r="BA43" i="24"/>
  <c r="AQ43" i="24"/>
  <c r="AA43" i="24"/>
  <c r="Z43" i="24"/>
  <c r="Y43" i="24"/>
  <c r="X43" i="24"/>
  <c r="W43" i="24"/>
  <c r="R43" i="24"/>
  <c r="M43" i="24"/>
  <c r="DZ42" i="24"/>
  <c r="DY42" i="24"/>
  <c r="DX42" i="24"/>
  <c r="DW42" i="24"/>
  <c r="BW42" i="24"/>
  <c r="CT42" i="24"/>
  <c r="CJ42" i="24"/>
  <c r="CH42" i="24"/>
  <c r="BX42" i="24"/>
  <c r="BV42" i="24"/>
  <c r="BU42" i="24"/>
  <c r="BO42" i="24"/>
  <c r="BA42" i="24"/>
  <c r="AQ42" i="24"/>
  <c r="AA42" i="24"/>
  <c r="Z42" i="24"/>
  <c r="Y42" i="24"/>
  <c r="X42" i="24"/>
  <c r="W42" i="24"/>
  <c r="R42" i="24"/>
  <c r="M42" i="24"/>
  <c r="DZ41" i="24"/>
  <c r="DY41" i="24"/>
  <c r="DX41" i="24"/>
  <c r="DW41" i="24"/>
  <c r="BW41" i="24"/>
  <c r="CT41" i="24"/>
  <c r="CJ41" i="24"/>
  <c r="CH41" i="24"/>
  <c r="BX41" i="24"/>
  <c r="BV41" i="24"/>
  <c r="BU41" i="24"/>
  <c r="BO41" i="24"/>
  <c r="BA41" i="24"/>
  <c r="AQ41" i="24"/>
  <c r="AA41" i="24"/>
  <c r="Z41" i="24"/>
  <c r="Y41" i="24"/>
  <c r="X41" i="24"/>
  <c r="W41" i="24"/>
  <c r="R41" i="24"/>
  <c r="M41" i="24"/>
  <c r="DZ40" i="24"/>
  <c r="DY40" i="24"/>
  <c r="DX40" i="24"/>
  <c r="DW40" i="24"/>
  <c r="BW40" i="24"/>
  <c r="CT40" i="24"/>
  <c r="CJ40" i="24"/>
  <c r="CH40" i="24"/>
  <c r="BX40" i="24"/>
  <c r="BV40" i="24"/>
  <c r="BU40" i="24"/>
  <c r="BO40" i="24"/>
  <c r="BA40" i="24"/>
  <c r="AQ40" i="24"/>
  <c r="AA40" i="24"/>
  <c r="Z40" i="24"/>
  <c r="Y40" i="24"/>
  <c r="X40" i="24"/>
  <c r="W40" i="24"/>
  <c r="R40" i="24"/>
  <c r="M40" i="24"/>
  <c r="DZ39" i="24"/>
  <c r="DY39" i="24"/>
  <c r="DX39" i="24"/>
  <c r="DW39" i="24"/>
  <c r="BW39" i="24"/>
  <c r="CT39" i="24"/>
  <c r="CJ39" i="24"/>
  <c r="CH39" i="24"/>
  <c r="BX39" i="24"/>
  <c r="BV39" i="24"/>
  <c r="BU39" i="24"/>
  <c r="BO39" i="24"/>
  <c r="BA39" i="24"/>
  <c r="AQ39" i="24"/>
  <c r="AA39" i="24"/>
  <c r="Z39" i="24"/>
  <c r="Y39" i="24"/>
  <c r="X39" i="24"/>
  <c r="W39" i="24"/>
  <c r="R39" i="24"/>
  <c r="M39" i="24"/>
  <c r="DZ38" i="24"/>
  <c r="DY38" i="24"/>
  <c r="DX38" i="24"/>
  <c r="DW38" i="24"/>
  <c r="BW38" i="24"/>
  <c r="CT38" i="24"/>
  <c r="CJ38" i="24"/>
  <c r="CH38" i="24"/>
  <c r="BX38" i="24"/>
  <c r="BV38" i="24"/>
  <c r="BU38" i="24"/>
  <c r="BO38" i="24"/>
  <c r="BA38" i="24"/>
  <c r="AQ38" i="24"/>
  <c r="AA38" i="24"/>
  <c r="Z38" i="24"/>
  <c r="Y38" i="24"/>
  <c r="X38" i="24"/>
  <c r="W38" i="24"/>
  <c r="R38" i="24"/>
  <c r="M38" i="24"/>
  <c r="DZ37" i="24"/>
  <c r="DY37" i="24"/>
  <c r="DX37" i="24"/>
  <c r="DW37" i="24"/>
  <c r="BW37" i="24"/>
  <c r="CJ37" i="24"/>
  <c r="CH37" i="24"/>
  <c r="BX37" i="24"/>
  <c r="BU37" i="24"/>
  <c r="BO37" i="24"/>
  <c r="BA37" i="24"/>
  <c r="AQ37" i="24"/>
  <c r="AA37" i="24"/>
  <c r="Z37" i="24"/>
  <c r="Y37" i="24"/>
  <c r="X37" i="24"/>
  <c r="W37" i="24"/>
  <c r="R37" i="24"/>
  <c r="M37" i="24"/>
  <c r="DZ36" i="24"/>
  <c r="DY36" i="24"/>
  <c r="DX36" i="24"/>
  <c r="DW36" i="24"/>
  <c r="BW36" i="24"/>
  <c r="CT36" i="24"/>
  <c r="CJ36" i="24"/>
  <c r="CH36" i="24"/>
  <c r="BX36" i="24"/>
  <c r="BV36" i="24"/>
  <c r="BU36" i="24"/>
  <c r="BO36" i="24"/>
  <c r="BA36" i="24"/>
  <c r="AQ36" i="24"/>
  <c r="AA36" i="24"/>
  <c r="Z36" i="24"/>
  <c r="Y36" i="24"/>
  <c r="X36" i="24"/>
  <c r="W36" i="24"/>
  <c r="R36" i="24"/>
  <c r="M36" i="24"/>
  <c r="DZ35" i="24"/>
  <c r="DY35" i="24"/>
  <c r="DX35" i="24"/>
  <c r="DW35" i="24"/>
  <c r="BW35" i="24"/>
  <c r="CT35" i="24"/>
  <c r="CJ35" i="24"/>
  <c r="CH35" i="24"/>
  <c r="BX35" i="24"/>
  <c r="BV35" i="24"/>
  <c r="BU35" i="24"/>
  <c r="BO35" i="24"/>
  <c r="BA35" i="24"/>
  <c r="AQ35" i="24"/>
  <c r="AA35" i="24"/>
  <c r="Z35" i="24"/>
  <c r="Y35" i="24"/>
  <c r="X35" i="24"/>
  <c r="W35" i="24"/>
  <c r="R35" i="24"/>
  <c r="M35" i="24"/>
  <c r="DZ34" i="24"/>
  <c r="DY34" i="24"/>
  <c r="DX34" i="24"/>
  <c r="DW34" i="24"/>
  <c r="BW34" i="24"/>
  <c r="CT34" i="24"/>
  <c r="CJ34" i="24"/>
  <c r="CH34" i="24"/>
  <c r="BX34" i="24"/>
  <c r="BV34" i="24"/>
  <c r="BU34" i="24"/>
  <c r="BO34" i="24"/>
  <c r="BA34" i="24"/>
  <c r="AQ34" i="24"/>
  <c r="AA34" i="24"/>
  <c r="Z34" i="24"/>
  <c r="Y34" i="24"/>
  <c r="X34" i="24"/>
  <c r="W34" i="24"/>
  <c r="R34" i="24"/>
  <c r="M34" i="24"/>
  <c r="DZ33" i="24"/>
  <c r="DY33" i="24"/>
  <c r="DX33" i="24"/>
  <c r="DW33" i="24"/>
  <c r="BW33" i="24"/>
  <c r="CT33" i="24"/>
  <c r="CJ33" i="24"/>
  <c r="CH33" i="24"/>
  <c r="BX33" i="24"/>
  <c r="BV33" i="24"/>
  <c r="BU33" i="24"/>
  <c r="BO33" i="24"/>
  <c r="BA33" i="24"/>
  <c r="AQ33" i="24"/>
  <c r="AA33" i="24"/>
  <c r="Z33" i="24"/>
  <c r="Y33" i="24"/>
  <c r="X33" i="24"/>
  <c r="W33" i="24"/>
  <c r="R33" i="24"/>
  <c r="M33" i="24"/>
  <c r="DZ32" i="24"/>
  <c r="DY32" i="24"/>
  <c r="DX32" i="24"/>
  <c r="DW32" i="24"/>
  <c r="BW32" i="24"/>
  <c r="CT32" i="24"/>
  <c r="CJ32" i="24"/>
  <c r="CH32" i="24"/>
  <c r="BX32" i="24"/>
  <c r="BV32" i="24"/>
  <c r="BU32" i="24"/>
  <c r="BO32" i="24"/>
  <c r="BA32" i="24"/>
  <c r="AQ32" i="24"/>
  <c r="AA32" i="24"/>
  <c r="Z32" i="24"/>
  <c r="Y32" i="24"/>
  <c r="X32" i="24"/>
  <c r="W32" i="24"/>
  <c r="R32" i="24"/>
  <c r="M32" i="24"/>
  <c r="DZ31" i="24"/>
  <c r="DY31" i="24"/>
  <c r="DX31" i="24"/>
  <c r="DW31" i="24"/>
  <c r="BW31" i="24"/>
  <c r="CT31" i="24"/>
  <c r="CJ31" i="24"/>
  <c r="CH31" i="24"/>
  <c r="BX31" i="24"/>
  <c r="BV31" i="24"/>
  <c r="BU31" i="24"/>
  <c r="BO31" i="24"/>
  <c r="BA31" i="24"/>
  <c r="AQ31" i="24"/>
  <c r="AA31" i="24"/>
  <c r="Z31" i="24"/>
  <c r="Y31" i="24"/>
  <c r="X31" i="24"/>
  <c r="W31" i="24"/>
  <c r="R31" i="24"/>
  <c r="M31" i="24"/>
  <c r="DZ30" i="24"/>
  <c r="DY30" i="24"/>
  <c r="DX30" i="24"/>
  <c r="DW30" i="24"/>
  <c r="BW30" i="24"/>
  <c r="CT30" i="24"/>
  <c r="CJ30" i="24"/>
  <c r="CH30" i="24"/>
  <c r="BX30" i="24"/>
  <c r="BV30" i="24"/>
  <c r="BU30" i="24"/>
  <c r="BO30" i="24"/>
  <c r="BA30" i="24"/>
  <c r="AQ30" i="24"/>
  <c r="AA30" i="24"/>
  <c r="Z30" i="24"/>
  <c r="Y30" i="24"/>
  <c r="X30" i="24"/>
  <c r="W30" i="24"/>
  <c r="R30" i="24"/>
  <c r="M30" i="24"/>
  <c r="DZ29" i="24"/>
  <c r="DY29" i="24"/>
  <c r="DX29" i="24"/>
  <c r="DW29" i="24"/>
  <c r="BW29" i="24"/>
  <c r="CT29" i="24"/>
  <c r="CJ29" i="24"/>
  <c r="CH29" i="24"/>
  <c r="BX29" i="24"/>
  <c r="BV29" i="24"/>
  <c r="BU29" i="24"/>
  <c r="BO29" i="24"/>
  <c r="BA29" i="24"/>
  <c r="AQ29" i="24"/>
  <c r="AA29" i="24"/>
  <c r="Z29" i="24"/>
  <c r="Y29" i="24"/>
  <c r="X29" i="24"/>
  <c r="W29" i="24"/>
  <c r="R29" i="24"/>
  <c r="M29" i="24"/>
  <c r="DZ28" i="24"/>
  <c r="DY28" i="24"/>
  <c r="DX28" i="24"/>
  <c r="DW28" i="24"/>
  <c r="BW28" i="24"/>
  <c r="CT28" i="24"/>
  <c r="CJ28" i="24"/>
  <c r="CH28" i="24"/>
  <c r="BX28" i="24"/>
  <c r="BV28" i="24"/>
  <c r="BU28" i="24"/>
  <c r="BO28" i="24"/>
  <c r="BA28" i="24"/>
  <c r="AQ28" i="24"/>
  <c r="AA28" i="24"/>
  <c r="Z28" i="24"/>
  <c r="Y28" i="24"/>
  <c r="X28" i="24"/>
  <c r="W28" i="24"/>
  <c r="R28" i="24"/>
  <c r="M28" i="24"/>
  <c r="DZ27" i="24"/>
  <c r="DY27" i="24"/>
  <c r="DX27" i="24"/>
  <c r="DW27" i="24"/>
  <c r="BW27" i="24"/>
  <c r="CT27" i="24"/>
  <c r="CJ27" i="24"/>
  <c r="CH27" i="24"/>
  <c r="BX27" i="24"/>
  <c r="BV27" i="24"/>
  <c r="BU27" i="24"/>
  <c r="BO27" i="24"/>
  <c r="BA27" i="24"/>
  <c r="AQ27" i="24"/>
  <c r="AA27" i="24"/>
  <c r="Z27" i="24"/>
  <c r="Y27" i="24"/>
  <c r="X27" i="24"/>
  <c r="W27" i="24"/>
  <c r="R27" i="24"/>
  <c r="M27" i="24"/>
  <c r="DZ26" i="24"/>
  <c r="DY26" i="24"/>
  <c r="DX26" i="24"/>
  <c r="DW26" i="24"/>
  <c r="BW26" i="24"/>
  <c r="CT26" i="24"/>
  <c r="CJ26" i="24"/>
  <c r="CH26" i="24"/>
  <c r="BX26" i="24"/>
  <c r="BV26" i="24"/>
  <c r="BU26" i="24"/>
  <c r="BO26" i="24"/>
  <c r="BA26" i="24"/>
  <c r="AQ26" i="24"/>
  <c r="AA26" i="24"/>
  <c r="Z26" i="24"/>
  <c r="Y26" i="24"/>
  <c r="X26" i="24"/>
  <c r="W26" i="24"/>
  <c r="R26" i="24"/>
  <c r="M26" i="24"/>
  <c r="DZ25" i="24"/>
  <c r="DY25" i="24"/>
  <c r="DX25" i="24"/>
  <c r="DW25" i="24"/>
  <c r="BW25" i="24"/>
  <c r="CT25" i="24"/>
  <c r="CJ25" i="24"/>
  <c r="CH25" i="24"/>
  <c r="BX25" i="24"/>
  <c r="BV25" i="24"/>
  <c r="BU25" i="24"/>
  <c r="BO25" i="24"/>
  <c r="BA25" i="24"/>
  <c r="AQ25" i="24"/>
  <c r="AA25" i="24"/>
  <c r="Z25" i="24"/>
  <c r="Y25" i="24"/>
  <c r="X25" i="24"/>
  <c r="W25" i="24"/>
  <c r="R25" i="24"/>
  <c r="M25" i="24"/>
  <c r="DZ24" i="24"/>
  <c r="DY24" i="24"/>
  <c r="DX24" i="24"/>
  <c r="DW24" i="24"/>
  <c r="BW24" i="24"/>
  <c r="CT24" i="24"/>
  <c r="CJ24" i="24"/>
  <c r="CH24" i="24"/>
  <c r="BX24" i="24"/>
  <c r="BV24" i="24"/>
  <c r="BU24" i="24"/>
  <c r="BO24" i="24"/>
  <c r="BA24" i="24"/>
  <c r="AQ24" i="24"/>
  <c r="AA24" i="24"/>
  <c r="Z24" i="24"/>
  <c r="Y24" i="24"/>
  <c r="X24" i="24"/>
  <c r="W24" i="24"/>
  <c r="R24" i="24"/>
  <c r="M24" i="24"/>
  <c r="DZ23" i="24"/>
  <c r="DY23" i="24"/>
  <c r="DX23" i="24"/>
  <c r="DW23" i="24"/>
  <c r="BW23" i="24"/>
  <c r="CT23" i="24"/>
  <c r="CJ23" i="24"/>
  <c r="CH23" i="24"/>
  <c r="BX23" i="24"/>
  <c r="BV23" i="24"/>
  <c r="BU23" i="24"/>
  <c r="BO23" i="24"/>
  <c r="BA23" i="24"/>
  <c r="AQ23" i="24"/>
  <c r="AA23" i="24"/>
  <c r="Z23" i="24"/>
  <c r="Y23" i="24"/>
  <c r="X23" i="24"/>
  <c r="W23" i="24"/>
  <c r="R23" i="24"/>
  <c r="M23" i="24"/>
  <c r="DZ22" i="24"/>
  <c r="DY22" i="24"/>
  <c r="DX22" i="24"/>
  <c r="DW22" i="24"/>
  <c r="BW22" i="24"/>
  <c r="CT22" i="24"/>
  <c r="CJ22" i="24"/>
  <c r="CH22" i="24"/>
  <c r="BX22" i="24"/>
  <c r="BV22" i="24"/>
  <c r="BU22" i="24"/>
  <c r="BO22" i="24"/>
  <c r="BA22" i="24"/>
  <c r="AQ22" i="24"/>
  <c r="AA22" i="24"/>
  <c r="Z22" i="24"/>
  <c r="Y22" i="24"/>
  <c r="X22" i="24"/>
  <c r="W22" i="24"/>
  <c r="R22" i="24"/>
  <c r="M22" i="24"/>
  <c r="DZ21" i="24"/>
  <c r="DY21" i="24"/>
  <c r="DX21" i="24"/>
  <c r="DW21" i="24"/>
  <c r="BW21" i="24"/>
  <c r="CT21" i="24"/>
  <c r="CJ21" i="24"/>
  <c r="CH21" i="24"/>
  <c r="BX21" i="24"/>
  <c r="BV21" i="24"/>
  <c r="BU21" i="24"/>
  <c r="BO21" i="24"/>
  <c r="BA21" i="24"/>
  <c r="AQ21" i="24"/>
  <c r="AA21" i="24"/>
  <c r="Z21" i="24"/>
  <c r="Y21" i="24"/>
  <c r="X21" i="24"/>
  <c r="W21" i="24"/>
  <c r="R21" i="24"/>
  <c r="M21" i="24"/>
  <c r="DZ20" i="24"/>
  <c r="DY20" i="24"/>
  <c r="DX20" i="24"/>
  <c r="DW20" i="24"/>
  <c r="BW20" i="24"/>
  <c r="CT20" i="24"/>
  <c r="CJ20" i="24"/>
  <c r="CH20" i="24"/>
  <c r="BX20" i="24"/>
  <c r="BV20" i="24"/>
  <c r="BU20" i="24"/>
  <c r="BO20" i="24"/>
  <c r="BA20" i="24"/>
  <c r="AQ20" i="24"/>
  <c r="AA20" i="24"/>
  <c r="Z20" i="24"/>
  <c r="Y20" i="24"/>
  <c r="X20" i="24"/>
  <c r="W20" i="24"/>
  <c r="R20" i="24"/>
  <c r="M20" i="24"/>
  <c r="DZ19" i="24"/>
  <c r="DY19" i="24"/>
  <c r="DX19" i="24"/>
  <c r="DW19" i="24"/>
  <c r="BW19" i="24"/>
  <c r="CT19" i="24"/>
  <c r="CJ19" i="24"/>
  <c r="CH19" i="24"/>
  <c r="BX19" i="24"/>
  <c r="BV19" i="24"/>
  <c r="BU19" i="24"/>
  <c r="BO19" i="24"/>
  <c r="BA19" i="24"/>
  <c r="AQ19" i="24"/>
  <c r="AA19" i="24"/>
  <c r="Z19" i="24"/>
  <c r="Y19" i="24"/>
  <c r="X19" i="24"/>
  <c r="W19" i="24"/>
  <c r="R19" i="24"/>
  <c r="M19" i="24"/>
  <c r="DZ18" i="24"/>
  <c r="DY18" i="24"/>
  <c r="DX18" i="24"/>
  <c r="DW18" i="24"/>
  <c r="BW18" i="24"/>
  <c r="CT18" i="24"/>
  <c r="CJ18" i="24"/>
  <c r="CH18" i="24"/>
  <c r="BX18" i="24"/>
  <c r="BV18" i="24"/>
  <c r="BU18" i="24"/>
  <c r="BO18" i="24"/>
  <c r="BA18" i="24"/>
  <c r="AQ18" i="24"/>
  <c r="AA18" i="24"/>
  <c r="Z18" i="24"/>
  <c r="Y18" i="24"/>
  <c r="X18" i="24"/>
  <c r="W18" i="24"/>
  <c r="R18" i="24"/>
  <c r="M18" i="24"/>
  <c r="DZ17" i="24"/>
  <c r="DY17" i="24"/>
  <c r="DX17" i="24"/>
  <c r="DW17" i="24"/>
  <c r="BW17" i="24"/>
  <c r="CT17" i="24"/>
  <c r="CJ17" i="24"/>
  <c r="CH17" i="24"/>
  <c r="BX17" i="24"/>
  <c r="BV17" i="24"/>
  <c r="BU17" i="24"/>
  <c r="BO17" i="24"/>
  <c r="BA17" i="24"/>
  <c r="AQ17" i="24"/>
  <c r="AA17" i="24"/>
  <c r="Z17" i="24"/>
  <c r="Y17" i="24"/>
  <c r="X17" i="24"/>
  <c r="W17" i="24"/>
  <c r="R17" i="24"/>
  <c r="M17" i="24"/>
  <c r="DZ16" i="24"/>
  <c r="DY16" i="24"/>
  <c r="DX16" i="24"/>
  <c r="DW16" i="24"/>
  <c r="BW16" i="24"/>
  <c r="CT16" i="24"/>
  <c r="CJ16" i="24"/>
  <c r="CH16" i="24"/>
  <c r="BX16" i="24"/>
  <c r="BV16" i="24"/>
  <c r="BU16" i="24"/>
  <c r="BO16" i="24"/>
  <c r="BA16" i="24"/>
  <c r="AQ16" i="24"/>
  <c r="AA16" i="24"/>
  <c r="Z16" i="24"/>
  <c r="Y16" i="24"/>
  <c r="X16" i="24"/>
  <c r="W16" i="24"/>
  <c r="R16" i="24"/>
  <c r="M16" i="24"/>
  <c r="DZ15" i="24"/>
  <c r="DY15" i="24"/>
  <c r="DX15" i="24"/>
  <c r="DW15" i="24"/>
  <c r="BW15" i="24"/>
  <c r="CT15" i="24"/>
  <c r="CJ15" i="24"/>
  <c r="CH15" i="24"/>
  <c r="BX15" i="24"/>
  <c r="BV15" i="24"/>
  <c r="BU15" i="24"/>
  <c r="BO15" i="24"/>
  <c r="BA15" i="24"/>
  <c r="AQ15" i="24"/>
  <c r="AA15" i="24"/>
  <c r="Z15" i="24"/>
  <c r="Y15" i="24"/>
  <c r="X15" i="24"/>
  <c r="W15" i="24"/>
  <c r="R15" i="24"/>
  <c r="M15" i="24"/>
  <c r="DZ14" i="24"/>
  <c r="DY14" i="24"/>
  <c r="DX14" i="24"/>
  <c r="DW14" i="24"/>
  <c r="BW14" i="24"/>
  <c r="CT14" i="24"/>
  <c r="CJ14" i="24"/>
  <c r="CH14" i="24"/>
  <c r="BX14" i="24"/>
  <c r="BV14" i="24"/>
  <c r="BU14" i="24"/>
  <c r="BO14" i="24"/>
  <c r="BA14" i="24"/>
  <c r="AQ14" i="24"/>
  <c r="AA14" i="24"/>
  <c r="Z14" i="24"/>
  <c r="Y14" i="24"/>
  <c r="X14" i="24"/>
  <c r="W14" i="24"/>
  <c r="R14" i="24"/>
  <c r="M14" i="24"/>
  <c r="DZ13" i="24"/>
  <c r="DY13" i="24"/>
  <c r="DX13" i="24"/>
  <c r="DW13" i="24"/>
  <c r="BW13" i="24"/>
  <c r="CT13" i="24"/>
  <c r="CJ13" i="24"/>
  <c r="CH13" i="24"/>
  <c r="BX13" i="24"/>
  <c r="BV13" i="24"/>
  <c r="BU13" i="24"/>
  <c r="BO13" i="24"/>
  <c r="BA13" i="24"/>
  <c r="AQ13" i="24"/>
  <c r="AA13" i="24"/>
  <c r="Z13" i="24"/>
  <c r="Y13" i="24"/>
  <c r="X13" i="24"/>
  <c r="W13" i="24"/>
  <c r="R13" i="24"/>
  <c r="M13" i="24"/>
  <c r="DZ12" i="24"/>
  <c r="DY12" i="24"/>
  <c r="DX12" i="24"/>
  <c r="DW12" i="24"/>
  <c r="BW12" i="24"/>
  <c r="CT12" i="24"/>
  <c r="CJ12" i="24"/>
  <c r="CH12" i="24"/>
  <c r="BX12" i="24"/>
  <c r="BV12" i="24"/>
  <c r="BU12" i="24"/>
  <c r="BO12" i="24"/>
  <c r="BA12" i="24"/>
  <c r="AQ12" i="24"/>
  <c r="AA12" i="24"/>
  <c r="Z12" i="24"/>
  <c r="Y12" i="24"/>
  <c r="X12" i="24"/>
  <c r="W12" i="24"/>
  <c r="R12" i="24"/>
  <c r="M12" i="24"/>
  <c r="DZ11" i="24"/>
  <c r="DY11" i="24"/>
  <c r="DX11" i="24"/>
  <c r="DW11" i="24"/>
  <c r="BW11" i="24"/>
  <c r="CT11" i="24"/>
  <c r="CJ11" i="24"/>
  <c r="CH11" i="24"/>
  <c r="BX11" i="24"/>
  <c r="BV11" i="24"/>
  <c r="BU11" i="24"/>
  <c r="BO11" i="24"/>
  <c r="BA11" i="24"/>
  <c r="AQ11" i="24"/>
  <c r="AA11" i="24"/>
  <c r="Z11" i="24"/>
  <c r="Y11" i="24"/>
  <c r="X11" i="24"/>
  <c r="W11" i="24"/>
  <c r="R11" i="24"/>
  <c r="M11" i="24"/>
  <c r="DZ10" i="24"/>
  <c r="DY10" i="24"/>
  <c r="DX10" i="24"/>
  <c r="DW10" i="24"/>
  <c r="BW10" i="24"/>
  <c r="CT10" i="24"/>
  <c r="CJ10" i="24"/>
  <c r="CH10" i="24"/>
  <c r="BX10" i="24"/>
  <c r="BV10" i="24"/>
  <c r="BU10" i="24"/>
  <c r="BO10" i="24"/>
  <c r="BA10" i="24"/>
  <c r="AQ10" i="24"/>
  <c r="AA10" i="24"/>
  <c r="Z10" i="24"/>
  <c r="Y10" i="24"/>
  <c r="X10" i="24"/>
  <c r="W10" i="24"/>
  <c r="R10" i="24"/>
  <c r="M10" i="24"/>
  <c r="DZ9" i="24"/>
  <c r="DY9" i="24"/>
  <c r="DX9" i="24"/>
  <c r="DW9" i="24"/>
  <c r="BW9" i="24"/>
  <c r="CT9" i="24"/>
  <c r="CJ9" i="24"/>
  <c r="CH9" i="24"/>
  <c r="BX9" i="24"/>
  <c r="BV9" i="24"/>
  <c r="BU9" i="24"/>
  <c r="BO9" i="24"/>
  <c r="BA9" i="24"/>
  <c r="AQ9" i="24"/>
  <c r="AA9" i="24"/>
  <c r="Z9" i="24"/>
  <c r="Y9" i="24"/>
  <c r="X9" i="24"/>
  <c r="W9" i="24"/>
  <c r="R9" i="24"/>
  <c r="M9" i="24"/>
  <c r="DZ8" i="24"/>
  <c r="DY8" i="24"/>
  <c r="DX8" i="24"/>
  <c r="DW8" i="24"/>
  <c r="BW8" i="24"/>
  <c r="CT8" i="24"/>
  <c r="CJ8" i="24"/>
  <c r="CH8" i="24"/>
  <c r="BX8" i="24"/>
  <c r="BV8" i="24"/>
  <c r="BU8" i="24"/>
  <c r="BO8" i="24"/>
  <c r="BA8" i="24"/>
  <c r="AQ8" i="24"/>
  <c r="AA8" i="24"/>
  <c r="Z8" i="24"/>
  <c r="Y8" i="24"/>
  <c r="X8" i="24"/>
  <c r="W8" i="24"/>
  <c r="R8" i="24"/>
  <c r="M8" i="24"/>
  <c r="DZ7" i="24"/>
  <c r="DZ115" i="24" s="1"/>
  <c r="DY7" i="24"/>
  <c r="DY115" i="24" s="1"/>
  <c r="DX7" i="24"/>
  <c r="DX115" i="24" s="1"/>
  <c r="DW7" i="24"/>
  <c r="DW115" i="24" s="1"/>
  <c r="BW7" i="24"/>
  <c r="CT7" i="24"/>
  <c r="CT115" i="24" s="1"/>
  <c r="CJ7" i="24"/>
  <c r="CJ115" i="24" s="1"/>
  <c r="CH7" i="24"/>
  <c r="CH115" i="24" s="1"/>
  <c r="BX7" i="24"/>
  <c r="BX115" i="24" s="1"/>
  <c r="BV7" i="24"/>
  <c r="BV115" i="24" s="1"/>
  <c r="BU7" i="24"/>
  <c r="BU115" i="24" s="1"/>
  <c r="BO7" i="24"/>
  <c r="BO115" i="24" s="1"/>
  <c r="BA7" i="24"/>
  <c r="BA115" i="24" s="1"/>
  <c r="AQ7" i="24"/>
  <c r="AA7" i="24"/>
  <c r="Z7" i="24"/>
  <c r="Y7" i="24"/>
  <c r="X7" i="24"/>
  <c r="W7" i="24"/>
  <c r="R7" i="24"/>
  <c r="M7" i="24"/>
  <c r="DZ6" i="24"/>
  <c r="DZ117" i="24" s="1"/>
  <c r="DY6" i="24"/>
  <c r="DY117" i="24" s="1"/>
  <c r="DX6" i="24"/>
  <c r="DX117" i="24" s="1"/>
  <c r="DW6" i="24"/>
  <c r="DW117" i="24" s="1"/>
  <c r="BW6" i="24"/>
  <c r="CT6" i="24"/>
  <c r="CT117" i="24" s="1"/>
  <c r="CJ6" i="24"/>
  <c r="CJ117" i="24" s="1"/>
  <c r="CH6" i="24"/>
  <c r="CH117" i="24" s="1"/>
  <c r="BX6" i="24"/>
  <c r="BX117" i="24" s="1"/>
  <c r="BV6" i="24"/>
  <c r="BV117" i="24" s="1"/>
  <c r="BU6" i="24"/>
  <c r="BU117" i="24" s="1"/>
  <c r="BO6" i="24"/>
  <c r="BO117" i="24" s="1"/>
  <c r="BA6" i="24"/>
  <c r="BA117" i="24" s="1"/>
  <c r="AQ6" i="24"/>
  <c r="AA6" i="24"/>
  <c r="AA117" i="24" s="1"/>
  <c r="Z6" i="24"/>
  <c r="Z117" i="24" s="1"/>
  <c r="Y6" i="24"/>
  <c r="Y117" i="24" s="1"/>
  <c r="X6" i="24"/>
  <c r="X117" i="24" s="1"/>
  <c r="W6" i="24"/>
  <c r="W117" i="24" s="1"/>
  <c r="R6" i="24"/>
  <c r="R117" i="24" s="1"/>
  <c r="M6" i="24"/>
  <c r="M117" i="24" s="1"/>
  <c r="DZ5" i="24"/>
  <c r="DY5" i="24"/>
  <c r="DX5" i="24"/>
  <c r="DW5" i="24"/>
  <c r="BW5" i="24"/>
  <c r="CT5" i="24"/>
  <c r="CJ5" i="24"/>
  <c r="CH5" i="24"/>
  <c r="BX5" i="24"/>
  <c r="BX114" i="24" s="1"/>
  <c r="BV5" i="24"/>
  <c r="BU5" i="24"/>
  <c r="BO5" i="24"/>
  <c r="BA5" i="24"/>
  <c r="AQ5" i="24"/>
  <c r="AA5" i="24"/>
  <c r="Z5" i="24"/>
  <c r="Y5" i="24"/>
  <c r="X5" i="24"/>
  <c r="W5" i="24"/>
  <c r="R5" i="24"/>
  <c r="M5" i="24"/>
  <c r="DZ4" i="24"/>
  <c r="DY4" i="24"/>
  <c r="DX4" i="24"/>
  <c r="DW4" i="24"/>
  <c r="BW4" i="24"/>
  <c r="CT4" i="24"/>
  <c r="CJ4" i="24"/>
  <c r="CH4" i="24"/>
  <c r="BX4" i="24"/>
  <c r="BV4" i="24"/>
  <c r="BU4" i="24"/>
  <c r="BO4" i="24"/>
  <c r="BA4" i="24"/>
  <c r="AQ4" i="24"/>
  <c r="AA4" i="24"/>
  <c r="Z4" i="24"/>
  <c r="Y4" i="24"/>
  <c r="X4" i="24"/>
  <c r="W4" i="24"/>
  <c r="R4" i="24"/>
  <c r="M4" i="24"/>
  <c r="DZ3" i="24"/>
  <c r="DY3" i="24"/>
  <c r="DX3" i="24"/>
  <c r="DW3" i="24"/>
  <c r="BW3" i="24"/>
  <c r="CT3" i="24"/>
  <c r="CJ3" i="24"/>
  <c r="CH3" i="24"/>
  <c r="BX3" i="24"/>
  <c r="BV3" i="24"/>
  <c r="BU3" i="24"/>
  <c r="BO3" i="24"/>
  <c r="BA3" i="24"/>
  <c r="AQ3" i="24"/>
  <c r="AA3" i="24"/>
  <c r="Z3" i="24"/>
  <c r="Y3" i="24"/>
  <c r="X3" i="24"/>
  <c r="W3" i="24"/>
  <c r="R3" i="24"/>
  <c r="M3" i="24"/>
  <c r="DZ2" i="24"/>
  <c r="DY2" i="24"/>
  <c r="DX2" i="24"/>
  <c r="DW2" i="24"/>
  <c r="BW2" i="24"/>
  <c r="CT2" i="24"/>
  <c r="CP2" i="24"/>
  <c r="CP114" i="24" s="1"/>
  <c r="CJ2" i="24"/>
  <c r="CH2" i="24"/>
  <c r="BV2" i="24"/>
  <c r="BU2" i="24"/>
  <c r="BO2" i="24"/>
  <c r="BA2" i="24"/>
  <c r="AQ2" i="24"/>
  <c r="AA2" i="24"/>
  <c r="Z2" i="24"/>
  <c r="Y2" i="24"/>
  <c r="X2" i="24"/>
  <c r="W2" i="24"/>
  <c r="R2" i="24"/>
  <c r="M2" i="24"/>
  <c r="BV114" i="24" l="1"/>
  <c r="CT114" i="24"/>
  <c r="DY114" i="24"/>
  <c r="BW117" i="24"/>
  <c r="BO116" i="24"/>
  <c r="CH116" i="24"/>
  <c r="DW116" i="24"/>
  <c r="BA114" i="24"/>
  <c r="BW114" i="24"/>
  <c r="DZ114" i="24"/>
  <c r="BU116" i="24"/>
  <c r="CJ116" i="24"/>
  <c r="DX116" i="24"/>
  <c r="BO114" i="24"/>
  <c r="CH114" i="24"/>
  <c r="DW114" i="24"/>
  <c r="AQ117" i="24"/>
  <c r="BW115" i="24"/>
  <c r="BV116" i="24"/>
  <c r="CT116" i="24"/>
  <c r="DY116" i="24"/>
  <c r="BU114" i="24"/>
  <c r="CJ114" i="24"/>
  <c r="DX114" i="24"/>
  <c r="BA116" i="24"/>
  <c r="BX116" i="24"/>
  <c r="BW116" i="24"/>
  <c r="DZ116" i="24"/>
  <c r="F44" i="25"/>
  <c r="CP102" i="24"/>
  <c r="DX102" i="24"/>
  <c r="DZ102" i="24"/>
  <c r="F45" i="25"/>
  <c r="DY102" i="24"/>
  <c r="CT102" i="24"/>
  <c r="DW102" i="24"/>
  <c r="CT95" i="24"/>
  <c r="C26" i="25"/>
  <c r="F29" i="25"/>
  <c r="AA116" i="24"/>
  <c r="C25" i="25"/>
  <c r="AQ116" i="24"/>
  <c r="M116" i="24"/>
  <c r="C28" i="25"/>
  <c r="R116" i="24"/>
  <c r="BV102" i="24"/>
  <c r="X116" i="24"/>
  <c r="Y116" i="24"/>
  <c r="Z116" i="24"/>
  <c r="M115" i="24"/>
  <c r="W116" i="24"/>
  <c r="AQ115" i="24"/>
  <c r="C27" i="25"/>
  <c r="C24" i="25"/>
  <c r="BX102" i="24"/>
  <c r="F31" i="25"/>
  <c r="BW102" i="24"/>
  <c r="F30" i="25"/>
  <c r="BA102" i="24"/>
  <c r="F14" i="25"/>
  <c r="F28" i="25"/>
  <c r="BU102" i="24"/>
  <c r="F33" i="25"/>
  <c r="BO102" i="24"/>
  <c r="F34" i="25"/>
  <c r="CH102" i="24"/>
  <c r="CJ102" i="24"/>
  <c r="F35" i="25"/>
  <c r="AA115" i="24"/>
  <c r="W115" i="24"/>
  <c r="R115" i="24"/>
  <c r="X115" i="24"/>
  <c r="Y115" i="24"/>
  <c r="Z115" i="24"/>
  <c r="AQ114" i="24"/>
  <c r="M114" i="24"/>
  <c r="R114" i="24"/>
  <c r="W114" i="24"/>
  <c r="X114" i="24"/>
  <c r="Y114" i="24"/>
  <c r="Z114" i="24"/>
  <c r="AA114" i="24"/>
  <c r="Z90" i="24"/>
  <c r="CH90" i="24"/>
  <c r="M92" i="24"/>
  <c r="BA92" i="24"/>
  <c r="R91" i="24"/>
  <c r="BO91" i="24"/>
  <c r="DW91" i="24"/>
  <c r="M93" i="24"/>
  <c r="BA93" i="24"/>
  <c r="X97" i="24"/>
  <c r="AQ95" i="24"/>
  <c r="DX94" i="24"/>
  <c r="AA90" i="24"/>
  <c r="CJ90" i="24"/>
  <c r="R92" i="24"/>
  <c r="BO92" i="24"/>
  <c r="DW92" i="24"/>
  <c r="W91" i="24"/>
  <c r="BU91" i="24"/>
  <c r="DX91" i="24"/>
  <c r="R93" i="24"/>
  <c r="BO93" i="24"/>
  <c r="DW93" i="24"/>
  <c r="Y97" i="24"/>
  <c r="M95" i="24"/>
  <c r="BA95" i="24"/>
  <c r="BU94" i="24"/>
  <c r="DW96" i="24"/>
  <c r="BX104" i="24"/>
  <c r="W94" i="24"/>
  <c r="R90" i="24"/>
  <c r="BO90" i="24"/>
  <c r="DW90" i="24"/>
  <c r="AQ92" i="24"/>
  <c r="CT92" i="24"/>
  <c r="BW90" i="24"/>
  <c r="BW94" i="24"/>
  <c r="BW91" i="24"/>
  <c r="BW92" i="24"/>
  <c r="BW96" i="24"/>
  <c r="BW95" i="24"/>
  <c r="CT104" i="24"/>
  <c r="CT96" i="24"/>
  <c r="W96" i="24"/>
  <c r="W104" i="24"/>
  <c r="BU96" i="24"/>
  <c r="DX96" i="24"/>
  <c r="Z94" i="24"/>
  <c r="CH94" i="24"/>
  <c r="M90" i="24"/>
  <c r="BA90" i="24"/>
  <c r="X92" i="24"/>
  <c r="BV92" i="24"/>
  <c r="DY92" i="24"/>
  <c r="Y91" i="24"/>
  <c r="BX91" i="24"/>
  <c r="DZ91" i="24"/>
  <c r="X93" i="24"/>
  <c r="BV93" i="24"/>
  <c r="DY93" i="24"/>
  <c r="AA97" i="24"/>
  <c r="CJ97" i="24"/>
  <c r="W102" i="24"/>
  <c r="W95" i="24"/>
  <c r="BU95" i="24"/>
  <c r="DX95" i="24"/>
  <c r="X104" i="24"/>
  <c r="X96" i="24"/>
  <c r="Y92" i="24"/>
  <c r="BX92" i="24"/>
  <c r="DZ92" i="24"/>
  <c r="Z91" i="24"/>
  <c r="CH91" i="24"/>
  <c r="Y93" i="24"/>
  <c r="BX93" i="24"/>
  <c r="DZ93" i="24"/>
  <c r="AQ97" i="24"/>
  <c r="CT97" i="24"/>
  <c r="X102" i="24"/>
  <c r="X95" i="24"/>
  <c r="BV95" i="24"/>
  <c r="DY95" i="24"/>
  <c r="BV96" i="24"/>
  <c r="DY96" i="24"/>
  <c r="AA94" i="24"/>
  <c r="CJ94" i="24"/>
  <c r="Y104" i="24"/>
  <c r="Y96" i="24"/>
  <c r="CH104" i="24"/>
  <c r="CH96" i="24"/>
  <c r="DZ96" i="24"/>
  <c r="AQ94" i="24"/>
  <c r="CT94" i="24"/>
  <c r="W90" i="24"/>
  <c r="BU90" i="24"/>
  <c r="DX90" i="24"/>
  <c r="Z92" i="24"/>
  <c r="CH92" i="24"/>
  <c r="AA91" i="24"/>
  <c r="CJ91" i="24"/>
  <c r="Z93" i="24"/>
  <c r="CH93" i="24"/>
  <c r="M97" i="24"/>
  <c r="BA97" i="24"/>
  <c r="Y102" i="24"/>
  <c r="Y95" i="24"/>
  <c r="BX95" i="24"/>
  <c r="DZ95" i="24"/>
  <c r="Z104" i="24"/>
  <c r="Z96" i="24"/>
  <c r="CJ104" i="24"/>
  <c r="CJ96" i="24"/>
  <c r="M94" i="24"/>
  <c r="BA94" i="24"/>
  <c r="X90" i="24"/>
  <c r="BV90" i="24"/>
  <c r="DY90" i="24"/>
  <c r="AA92" i="24"/>
  <c r="CJ92" i="24"/>
  <c r="BX96" i="24"/>
  <c r="AQ91" i="24"/>
  <c r="CT91" i="24"/>
  <c r="AA93" i="24"/>
  <c r="CJ93" i="24"/>
  <c r="R97" i="24"/>
  <c r="BO97" i="24"/>
  <c r="Z102" i="24"/>
  <c r="Z95" i="24"/>
  <c r="CH95" i="24"/>
  <c r="AA104" i="24"/>
  <c r="AA96" i="24"/>
  <c r="CP84" i="24"/>
  <c r="CP104" i="24"/>
  <c r="CP96" i="24"/>
  <c r="R94" i="24"/>
  <c r="BO94" i="24"/>
  <c r="DW94" i="24"/>
  <c r="Y90" i="24"/>
  <c r="BX90" i="24"/>
  <c r="DZ90" i="24"/>
  <c r="M91" i="24"/>
  <c r="BA91" i="24"/>
  <c r="AQ93" i="24"/>
  <c r="CT93" i="24"/>
  <c r="W97" i="24"/>
  <c r="AA102" i="24"/>
  <c r="AA95" i="24"/>
  <c r="CJ95" i="24"/>
  <c r="AQ102" i="24"/>
  <c r="C45" i="25"/>
  <c r="AQ104" i="24"/>
  <c r="AQ96" i="24"/>
  <c r="M96" i="24"/>
  <c r="M104" i="24"/>
  <c r="BA96" i="24"/>
  <c r="BA104" i="24"/>
  <c r="X94" i="24"/>
  <c r="BV94" i="24"/>
  <c r="DY94" i="24"/>
  <c r="M102" i="24"/>
  <c r="C23" i="25"/>
  <c r="R104" i="24"/>
  <c r="R96" i="24"/>
  <c r="BO96" i="24"/>
  <c r="BO104" i="24"/>
  <c r="Y94" i="24"/>
  <c r="BX94" i="24"/>
  <c r="DZ94" i="24"/>
  <c r="AQ90" i="24"/>
  <c r="CT90" i="24"/>
  <c r="W92" i="24"/>
  <c r="BU92" i="24"/>
  <c r="DX92" i="24"/>
  <c r="X91" i="24"/>
  <c r="BV91" i="24"/>
  <c r="DY91" i="24"/>
  <c r="W93" i="24"/>
  <c r="BU93" i="24"/>
  <c r="DX93" i="24"/>
  <c r="Z97" i="24"/>
  <c r="CH97" i="24"/>
  <c r="R102" i="24"/>
  <c r="R95" i="24"/>
  <c r="BO95" i="24"/>
  <c r="DW95" i="24"/>
  <c r="BU104" i="24"/>
  <c r="BU97" i="24"/>
  <c r="BV104" i="24"/>
  <c r="BV97" i="24"/>
  <c r="BX97" i="24"/>
  <c r="DZ104" i="24"/>
  <c r="DZ97" i="24"/>
  <c r="DY104" i="24"/>
  <c r="DY97" i="24"/>
  <c r="DX97" i="24"/>
  <c r="DX104" i="24"/>
  <c r="DW104" i="24"/>
  <c r="DW97" i="24"/>
  <c r="W84" i="24"/>
  <c r="BU84" i="24"/>
  <c r="Z84" i="24"/>
  <c r="CH84" i="24"/>
  <c r="X84" i="24"/>
  <c r="BV84" i="24"/>
  <c r="AA84" i="24"/>
  <c r="CJ84" i="24"/>
  <c r="AQ84" i="24"/>
  <c r="BA84" i="24"/>
  <c r="R84" i="24"/>
  <c r="BO84" i="24"/>
  <c r="DW84" i="24"/>
  <c r="CT84" i="24"/>
  <c r="M84" i="24"/>
  <c r="DY84" i="24"/>
  <c r="DX84" i="24"/>
  <c r="Y84" i="24"/>
  <c r="BX84" i="24"/>
  <c r="DZ84" i="24"/>
  <c r="BW97" i="24" l="1"/>
  <c r="BW93" i="24" l="1"/>
  <c r="BW104" i="24"/>
  <c r="BW84" i="24"/>
  <c r="DW118" i="24"/>
  <c r="DX118" i="24"/>
  <c r="DY118" i="24"/>
  <c r="DZ118" i="24"/>
  <c r="DX103" i="24"/>
  <c r="DY103" i="24"/>
  <c r="DZ103" i="24"/>
  <c r="B103" i="24"/>
  <c r="DL118" i="24"/>
  <c r="DE118" i="24"/>
  <c r="DG118" i="24"/>
  <c r="DH118" i="24"/>
  <c r="DI118" i="24"/>
  <c r="DJ118" i="24"/>
  <c r="DK118" i="24"/>
  <c r="CZ118" i="24"/>
  <c r="DA118" i="24"/>
  <c r="DD118" i="24"/>
  <c r="CW118" i="24"/>
  <c r="CQ118" i="24"/>
  <c r="CR118" i="24"/>
  <c r="CS118" i="24"/>
  <c r="CU118" i="24"/>
  <c r="CV118" i="24"/>
  <c r="CK118" i="24"/>
  <c r="CO118" i="24"/>
  <c r="CB118" i="24"/>
  <c r="CC118" i="24"/>
  <c r="CD118" i="24"/>
  <c r="CE118" i="24"/>
  <c r="CF118" i="24"/>
  <c r="CG118" i="24"/>
  <c r="BZ118" i="24"/>
  <c r="CA118" i="24"/>
  <c r="BP118" i="24"/>
  <c r="BQ118" i="24"/>
  <c r="BR118" i="24"/>
  <c r="BS118" i="24"/>
  <c r="BT118" i="24"/>
  <c r="BM118" i="24"/>
  <c r="BN118" i="24"/>
  <c r="BD118" i="24"/>
  <c r="BE118" i="24"/>
  <c r="BF118" i="24"/>
  <c r="BG118" i="24"/>
  <c r="BH118" i="24"/>
  <c r="BI118" i="24"/>
  <c r="BJ118" i="24"/>
  <c r="BK118" i="24"/>
  <c r="AZ118" i="24"/>
  <c r="BB118" i="24"/>
  <c r="AT118" i="24"/>
  <c r="AU118" i="24"/>
  <c r="AV118" i="24"/>
  <c r="AW118" i="24"/>
  <c r="AX118" i="24"/>
  <c r="AY118" i="24"/>
  <c r="AM118" i="24"/>
  <c r="AN118" i="24"/>
  <c r="AO118" i="24"/>
  <c r="AP118" i="24"/>
  <c r="AR118" i="24"/>
  <c r="AS118" i="24"/>
  <c r="AH118" i="24"/>
  <c r="AI118" i="24"/>
  <c r="AK118" i="24"/>
  <c r="AL118" i="24"/>
  <c r="AB118" i="24"/>
  <c r="AC118" i="24"/>
  <c r="AD118" i="24"/>
  <c r="AE118" i="24"/>
  <c r="AF118" i="24"/>
  <c r="AG118" i="24"/>
  <c r="U118" i="24"/>
  <c r="V118" i="24"/>
  <c r="Q118" i="24"/>
  <c r="S118" i="24"/>
  <c r="T118" i="24"/>
  <c r="K118" i="24"/>
  <c r="L118" i="24"/>
  <c r="N118" i="24"/>
  <c r="O118" i="24"/>
  <c r="P118" i="24"/>
  <c r="J118" i="24"/>
  <c r="G118" i="24"/>
  <c r="F118" i="24"/>
  <c r="E118" i="24"/>
  <c r="D118" i="24"/>
  <c r="C118" i="24"/>
  <c r="DF103" i="24"/>
  <c r="DW103" i="24" l="1"/>
  <c r="CY103" i="24"/>
  <c r="CL103" i="24"/>
  <c r="CN103" i="24"/>
  <c r="DB103" i="24"/>
  <c r="CX103" i="24"/>
  <c r="CM103" i="24"/>
  <c r="DC103" i="24"/>
  <c r="AB98" i="24" l="1"/>
  <c r="DK103" i="24"/>
  <c r="DI103" i="24"/>
  <c r="DG103" i="24"/>
  <c r="CZ103" i="24"/>
  <c r="CV103" i="24"/>
  <c r="CS103" i="24"/>
  <c r="CQ103" i="24"/>
  <c r="CK103" i="24"/>
  <c r="CG103" i="24"/>
  <c r="CE103" i="24"/>
  <c r="CC103" i="24"/>
  <c r="CA103" i="24"/>
  <c r="BT103" i="24"/>
  <c r="BR103" i="24"/>
  <c r="BP103" i="24"/>
  <c r="BK103" i="24"/>
  <c r="BJ103" i="24"/>
  <c r="BH103" i="24"/>
  <c r="BF103" i="24"/>
  <c r="BD103" i="24"/>
  <c r="AX103" i="24"/>
  <c r="AV103" i="24"/>
  <c r="AU103" i="24"/>
  <c r="AS103" i="24"/>
  <c r="AP103" i="24"/>
  <c r="AN103" i="24"/>
  <c r="AI103" i="24"/>
  <c r="AG103" i="24"/>
  <c r="AE103" i="24"/>
  <c r="AC103" i="24"/>
  <c r="V103" i="24"/>
  <c r="T103" i="24"/>
  <c r="Q103" i="24"/>
  <c r="O103" i="24"/>
  <c r="L103" i="24"/>
  <c r="J103" i="24"/>
  <c r="F103" i="24"/>
  <c r="D103" i="24"/>
  <c r="DL103" i="24"/>
  <c r="DJ103" i="24"/>
  <c r="DH103" i="24"/>
  <c r="DE103" i="24"/>
  <c r="DD103" i="24"/>
  <c r="DA103" i="24"/>
  <c r="CW103" i="24"/>
  <c r="CU103" i="24"/>
  <c r="CR103" i="24"/>
  <c r="CO103" i="24"/>
  <c r="CF103" i="24"/>
  <c r="CD103" i="24"/>
  <c r="CB103" i="24"/>
  <c r="BZ103" i="24"/>
  <c r="BS103" i="24"/>
  <c r="BQ103" i="24"/>
  <c r="BN103" i="24"/>
  <c r="BM103" i="24"/>
  <c r="BI103" i="24"/>
  <c r="BG103" i="24"/>
  <c r="BE103" i="24"/>
  <c r="BB103" i="24"/>
  <c r="AZ103" i="24"/>
  <c r="AY103" i="24"/>
  <c r="AW103" i="24"/>
  <c r="AT103" i="24"/>
  <c r="AR103" i="24"/>
  <c r="AO103" i="24"/>
  <c r="AM103" i="24"/>
  <c r="AL103" i="24"/>
  <c r="AK103" i="24"/>
  <c r="AH103" i="24"/>
  <c r="AF103" i="24"/>
  <c r="AD103" i="24"/>
  <c r="AB103" i="24"/>
  <c r="U103" i="24"/>
  <c r="S103" i="24"/>
  <c r="P103" i="24"/>
  <c r="N103" i="24"/>
  <c r="K103" i="24"/>
  <c r="G103" i="24"/>
  <c r="E103" i="24"/>
  <c r="C103" i="24"/>
  <c r="BV118" i="24"/>
  <c r="H118" i="24"/>
  <c r="BY118" i="24"/>
  <c r="BO118" i="24"/>
  <c r="CH118" i="24"/>
  <c r="CJ118" i="24"/>
  <c r="CP118" i="24"/>
  <c r="X118" i="24"/>
  <c r="Y118" i="24"/>
  <c r="Z118" i="24"/>
  <c r="AA118" i="24"/>
  <c r="M118" i="24"/>
  <c r="R118" i="24"/>
  <c r="W118" i="24"/>
  <c r="AJ118" i="24"/>
  <c r="AQ118" i="24"/>
  <c r="BA118" i="24"/>
  <c r="BL118" i="24"/>
  <c r="BU118" i="24"/>
  <c r="CT118" i="24"/>
  <c r="BO103" i="24"/>
  <c r="CH103" i="24"/>
  <c r="AA103" i="24" l="1"/>
  <c r="BY103" i="24"/>
  <c r="H103" i="24"/>
  <c r="BW103" i="24"/>
  <c r="AJ103" i="24"/>
  <c r="BX103" i="24"/>
  <c r="BL103" i="24"/>
  <c r="M103" i="24"/>
  <c r="Z103" i="24"/>
  <c r="I103" i="24"/>
  <c r="BU103" i="24"/>
  <c r="AQ103" i="24"/>
  <c r="W103" i="24"/>
  <c r="R103" i="24"/>
  <c r="BW118" i="24"/>
  <c r="I118" i="24"/>
  <c r="CT103" i="24"/>
  <c r="Y103" i="24"/>
  <c r="CJ103" i="24"/>
  <c r="BA103" i="24"/>
  <c r="X103" i="24"/>
  <c r="BV103" i="24"/>
  <c r="CP103" i="24"/>
  <c r="BX118" i="24" l="1"/>
</calcChain>
</file>

<file path=xl/sharedStrings.xml><?xml version="1.0" encoding="utf-8"?>
<sst xmlns="http://schemas.openxmlformats.org/spreadsheetml/2006/main" count="2611" uniqueCount="1265">
  <si>
    <t>Library Name</t>
  </si>
  <si>
    <t>Library Use Charts</t>
  </si>
  <si>
    <t>Collection Charts</t>
  </si>
  <si>
    <t>Expenditure Charts</t>
  </si>
  <si>
    <t>Libraries</t>
  </si>
  <si>
    <t>Average Statewide</t>
  </si>
  <si>
    <t>Member</t>
  </si>
  <si>
    <t>Yes</t>
  </si>
  <si>
    <t>No</t>
  </si>
  <si>
    <t>Fort Hancock ISD/Public Library</t>
  </si>
  <si>
    <t>FSCS#</t>
  </si>
  <si>
    <t>Legal Basis Code</t>
  </si>
  <si>
    <t>Population of the Legal Service Area</t>
  </si>
  <si>
    <t>1.29 Library ID</t>
  </si>
  <si>
    <t>1.30 Region</t>
  </si>
  <si>
    <t>1.1 Library Name</t>
  </si>
  <si>
    <t>1.2 County</t>
  </si>
  <si>
    <t>1.3 The local fiscal year covered by this report began</t>
  </si>
  <si>
    <t>1.4 The local fiscal year covered by this report ended</t>
  </si>
  <si>
    <t>2.1 Number of Branch Libraries</t>
  </si>
  <si>
    <t>2.2 Number of Bookmobiles</t>
  </si>
  <si>
    <t>2.4 Square Footage of the Main Library</t>
  </si>
  <si>
    <t>3.1 Salaries &amp; Wages Expenditures</t>
  </si>
  <si>
    <t>3.2 Employee Benefits Expenditures</t>
  </si>
  <si>
    <t>3.3 Total Staff Expenditures</t>
  </si>
  <si>
    <t>3.4 Print Materials Expenditures</t>
  </si>
  <si>
    <t>3.5 Electronic Materials Expenditures</t>
  </si>
  <si>
    <t>3.6 Other Materials Expenditures</t>
  </si>
  <si>
    <t>3.7 Total Collection Expenditures</t>
  </si>
  <si>
    <t>3.8 Other Operating Expenditures</t>
  </si>
  <si>
    <t>3.9 Total Direct Operating Expenditures</t>
  </si>
  <si>
    <t>3.10 Indirect Costs</t>
  </si>
  <si>
    <t>3.11 Total Operating Expenditures</t>
  </si>
  <si>
    <t>3.12 Capital Outlay</t>
  </si>
  <si>
    <t>4.1 Local Expenditures on Collections</t>
  </si>
  <si>
    <t>4.2 Local Operating Expenditures</t>
  </si>
  <si>
    <t>4.3 Local Government Expenditures</t>
  </si>
  <si>
    <t>5.1 Operating Revenue - City, Cities or Library District</t>
  </si>
  <si>
    <t>5.2 Operating Revenue - County or Counties</t>
  </si>
  <si>
    <t>5.3 Operating Revenue - School Districts</t>
  </si>
  <si>
    <t>5.4 Subtotal-Local Government Operating Revenue</t>
  </si>
  <si>
    <t>5.5 Operating Revenue-Other State Government</t>
  </si>
  <si>
    <t>5.7 Operating Revenue - Other Federal Funds</t>
  </si>
  <si>
    <t>5.9 Operating Revenue - Foundation &amp; Corporate Grants</t>
  </si>
  <si>
    <t>5.10 Operating Revenue - Other Local Sources</t>
  </si>
  <si>
    <t>5.11 Subtotal-Other Operating Revenue</t>
  </si>
  <si>
    <t>5.12 Total Operating Revenue</t>
  </si>
  <si>
    <t>5.13 Capital Revenue - City Cities or Library District</t>
  </si>
  <si>
    <t>5.14 Capital Revenue - County or Counties</t>
  </si>
  <si>
    <t>5.15 Capital Revenue - School Districts</t>
  </si>
  <si>
    <t>5.16 Capital Revenue - Other State Funds</t>
  </si>
  <si>
    <t>5.18 Capital Revenue - Other Federal Funds</t>
  </si>
  <si>
    <t>5.19 Capital Revenue - Foundation &amp; Corporate Grants</t>
  </si>
  <si>
    <t>5.20 Other Capital Revenue</t>
  </si>
  <si>
    <t>5.21 Total Capital Revenue</t>
  </si>
  <si>
    <t>6.2 Books in Print - Items</t>
  </si>
  <si>
    <t>6.4 Audio - Physical Materials - Items</t>
  </si>
  <si>
    <t>6.5 Audio - Downloadable - Titles</t>
  </si>
  <si>
    <t>6.7 Video - Physical Materials - Items</t>
  </si>
  <si>
    <t>6.8 Video - Downloadable - Titles</t>
  </si>
  <si>
    <t>6.9 Electronic Books</t>
  </si>
  <si>
    <t>6.10 Local Licensed Databases</t>
  </si>
  <si>
    <t>6.11 State Licensed Databases</t>
  </si>
  <si>
    <t>6.12 Other Licensed Databases</t>
  </si>
  <si>
    <t>6.13 Total Licensed Databases</t>
  </si>
  <si>
    <t>6.15 Collection Totals - Volumes Items or Physical Units</t>
  </si>
  <si>
    <t>6.16 Current Print Serial Subscriptions</t>
  </si>
  <si>
    <t>7.1 Reference Transactions</t>
  </si>
  <si>
    <t>7.2 Children's materials circulation - physical formats</t>
  </si>
  <si>
    <t>7.3 Circulation of Children's Materials-Digital formats</t>
  </si>
  <si>
    <t>7.4 Circulation-Physical formats</t>
  </si>
  <si>
    <t>7.5 Circulation-Digital formats</t>
  </si>
  <si>
    <t>7.6 Total Circulation</t>
  </si>
  <si>
    <t>7.7 Number of Children's programs provided by the library</t>
  </si>
  <si>
    <t>7.8 Number of Young Adult programs provided by the library</t>
  </si>
  <si>
    <t>7.9 Number of Adult programs provided by the library</t>
  </si>
  <si>
    <t>7.10 Total Number of Library Programs</t>
  </si>
  <si>
    <t>7.11 Attendance at Children's Programs provided by the library</t>
  </si>
  <si>
    <t>7.12 Attendance at Young Adult Programs provided by the library</t>
  </si>
  <si>
    <t>7.13 Attendance at Adult Programs provided by the library</t>
  </si>
  <si>
    <t>7.14 Total Attendance at Library Programs</t>
  </si>
  <si>
    <t>ALA-MLS FTEs</t>
  </si>
  <si>
    <t>Other Librarians FTEs</t>
  </si>
  <si>
    <t>All Other Paid Employees FTEs</t>
  </si>
  <si>
    <t>Total Paid Employees FTEs</t>
  </si>
  <si>
    <t>8.5 Volunteer hours</t>
  </si>
  <si>
    <t>8.6 Head Librarian's annual rate of salary</t>
  </si>
  <si>
    <t>8.7 How many hours per week is the Head Librarian currently employed in library duties?</t>
  </si>
  <si>
    <t>8.8 Has the Head Librarian obtained a minimum of 10 hours of continuing education credits within this reporting period?</t>
  </si>
  <si>
    <t>9.1 Is your library willing to borrow materials for your patrons?</t>
  </si>
  <si>
    <t>9.3 Interlibrary Loans Received From Other Libraries</t>
  </si>
  <si>
    <t>9.4 Interlibrary Loans Provided To Other Libraries</t>
  </si>
  <si>
    <t>10.6 Number of Wi-Fi Sessions</t>
  </si>
  <si>
    <t>10.7b Number of website visits.</t>
  </si>
  <si>
    <t>11.1 Total number of Hours that the Central/Main library is open during the year.</t>
  </si>
  <si>
    <t>11.2 Total number of Weeks that the Central/Main library is open during the year.</t>
  </si>
  <si>
    <t>11.3 Total hours Central/Main Library open during a Regular Week</t>
  </si>
  <si>
    <t>11.4 Total hours Central/Main Library open during a Summer Week.</t>
  </si>
  <si>
    <t>Salary and Wages Per Capita</t>
  </si>
  <si>
    <t>Materials Expend Per Capita</t>
  </si>
  <si>
    <t>Total Operating Expend. Per Capita</t>
  </si>
  <si>
    <t>Local Govt Rev. Per Capita</t>
  </si>
  <si>
    <t>Total Operating Revenue Per Capita</t>
  </si>
  <si>
    <t>BIP Per Capita</t>
  </si>
  <si>
    <t>Total Collection-Items Per Capita</t>
  </si>
  <si>
    <t>Total Circ Per Capita</t>
  </si>
  <si>
    <t>Circ per paid staff</t>
  </si>
  <si>
    <t>Circ per hour</t>
  </si>
  <si>
    <t>Circ per visit</t>
  </si>
  <si>
    <t>Collection turnover rate</t>
  </si>
  <si>
    <t>Reference per capita</t>
  </si>
  <si>
    <t>Program attendance per capita</t>
  </si>
  <si>
    <t>Visits per capita</t>
  </si>
  <si>
    <t>Pop per ALA-MLS</t>
  </si>
  <si>
    <t>Pop per total paid staff</t>
  </si>
  <si>
    <t>Total Staff expenditures as percentage of Total Operating Expend.</t>
  </si>
  <si>
    <t>Total material expenditures as percentage of Total Operating Expend.</t>
  </si>
  <si>
    <t>Other expenditures as percentage of Total Operating Expend.</t>
  </si>
  <si>
    <t>Indirect costs as percentage of Total Operating Expend.</t>
  </si>
  <si>
    <t>Branch square footage</t>
  </si>
  <si>
    <t>Total main and branch sq footage</t>
  </si>
  <si>
    <t>Total square footage per capita</t>
  </si>
  <si>
    <t>Total number of hours branch libraries are open during the year</t>
  </si>
  <si>
    <t>Total number of hours main+branches open per year</t>
  </si>
  <si>
    <t>City</t>
  </si>
  <si>
    <t>County</t>
  </si>
  <si>
    <t>Average 5,000-9,999</t>
  </si>
  <si>
    <t>Children's circ per capita-physical formats</t>
  </si>
  <si>
    <t>Children's circ per capita-digital formats</t>
  </si>
  <si>
    <t>Circulation per capita-physical formats (excludes children's)</t>
  </si>
  <si>
    <t>Circulation per capita-digital formats (excludes children's)</t>
  </si>
  <si>
    <t>Revenue Charts</t>
  </si>
  <si>
    <t xml:space="preserve"> </t>
  </si>
  <si>
    <t>Other Measures</t>
  </si>
  <si>
    <t>Legal Establishment</t>
  </si>
  <si>
    <t>Capital Outlay</t>
  </si>
  <si>
    <t>GENERAL LIBRARY INFORMATION</t>
  </si>
  <si>
    <t>OPERATING EXPENDITURES</t>
  </si>
  <si>
    <t>Salaries and Wages</t>
  </si>
  <si>
    <t>Employee Benefits</t>
  </si>
  <si>
    <t>Subtotal: Wages and Benefits</t>
  </si>
  <si>
    <t>Subtotal: Library Materials</t>
  </si>
  <si>
    <t>Other Operating Expenditures</t>
  </si>
  <si>
    <t>OPERATING REVENUE BY SOURCE</t>
  </si>
  <si>
    <t>Total Revenue</t>
  </si>
  <si>
    <t>LIBRARY COLLECTION</t>
  </si>
  <si>
    <t>Books in Print-items</t>
  </si>
  <si>
    <t>Electronic Books</t>
  </si>
  <si>
    <t>LOCAL LIBRARY SERVICES</t>
  </si>
  <si>
    <t>Librarians with ALA-MLS</t>
  </si>
  <si>
    <t>STAFFING (Full-time equivalents)</t>
  </si>
  <si>
    <t>INTERNET AND ELECTRONIC RESOURCES</t>
  </si>
  <si>
    <t>Number of Wi-Fi-Sessions</t>
  </si>
  <si>
    <t>FACILITIES</t>
  </si>
  <si>
    <t>Total Capital Revenue</t>
  </si>
  <si>
    <t>Salaries and Wages Per Capita</t>
  </si>
  <si>
    <t>Total Operating Expenditures</t>
  </si>
  <si>
    <t>LOCAL OPERATING EXPENDITURES</t>
  </si>
  <si>
    <t>Total Revenue Per Capita</t>
  </si>
  <si>
    <t>Books in Print-Items Per Capita</t>
  </si>
  <si>
    <t>Collection Turnover Rate</t>
  </si>
  <si>
    <t>Program Attendance Per Capita</t>
  </si>
  <si>
    <t>Library Visits Per Capita</t>
  </si>
  <si>
    <t>CAPITAL REVENUE</t>
  </si>
  <si>
    <t>return to top</t>
  </si>
  <si>
    <t>to get a quick summary of the data for your library</t>
  </si>
  <si>
    <t>For direct comparisons, select up to four libraries here:</t>
  </si>
  <si>
    <t>Reference Transactions Per Capita</t>
  </si>
  <si>
    <t>Population Served</t>
  </si>
  <si>
    <t>Number of Branches</t>
  </si>
  <si>
    <t>Number of Bookmobiles</t>
  </si>
  <si>
    <t>Print Materials</t>
  </si>
  <si>
    <t>Electronic Materials</t>
  </si>
  <si>
    <t>Other Materials</t>
  </si>
  <si>
    <t>Foundation and Corporate Grants</t>
  </si>
  <si>
    <t>State Revenue</t>
  </si>
  <si>
    <t>Other Local Revenue</t>
  </si>
  <si>
    <t>Square Footage Per Capita</t>
  </si>
  <si>
    <t>Physical Audio Items</t>
  </si>
  <si>
    <t>Physical Video Items</t>
  </si>
  <si>
    <t>Downloadable Audio Items</t>
  </si>
  <si>
    <t>Downloadable Video Items</t>
  </si>
  <si>
    <t>Total Collection-Items</t>
  </si>
  <si>
    <t>Current Print Subscriptions</t>
  </si>
  <si>
    <t>Number of Registered Users</t>
  </si>
  <si>
    <t>Reference Transactions</t>
  </si>
  <si>
    <t>Library Visits</t>
  </si>
  <si>
    <t>Number of Library Programs</t>
  </si>
  <si>
    <t>Total Library Program Attendance</t>
  </si>
  <si>
    <t>Other Librarians</t>
  </si>
  <si>
    <t>Other Paid Staff</t>
  </si>
  <si>
    <t>Total Paid Staff</t>
  </si>
  <si>
    <t>Population Per ALA-MLS</t>
  </si>
  <si>
    <t>Population Per Total Paid Staff</t>
  </si>
  <si>
    <t>Number of Loans Received</t>
  </si>
  <si>
    <t>Number of Loans Sent</t>
  </si>
  <si>
    <t>Number of Internet Terminals</t>
  </si>
  <si>
    <t>Total Uses of Public Internet Computers</t>
  </si>
  <si>
    <t>Number of Website Visits</t>
  </si>
  <si>
    <t>Scroll down, or use these quick links to other charts</t>
  </si>
  <si>
    <t>Average 2,000-4,999 population</t>
  </si>
  <si>
    <t>Average 10,000-14,999 population</t>
  </si>
  <si>
    <t>Average 15,000-24,999 population</t>
  </si>
  <si>
    <t>Average 25,000-49,999 population</t>
  </si>
  <si>
    <t>Average 50,000-99,999 population</t>
  </si>
  <si>
    <t>Average 100,000-249,999 population</t>
  </si>
  <si>
    <t>Average Over 250,000 population</t>
  </si>
  <si>
    <t>10.1 Does the library have a computer with Internet acces and printing/copying capability for use by public?</t>
  </si>
  <si>
    <t>8.9 Does the library have a photocopier for use by staff?</t>
  </si>
  <si>
    <t>9.1 Does your library offer to borrow materials for your patrons?</t>
  </si>
  <si>
    <t>10.2 Internet Computers Used by General Public</t>
  </si>
  <si>
    <t>10.3 Uses of Public Internet Computers Per Year</t>
  </si>
  <si>
    <t>11.4 Total hours Central/Main Library open during a Regular Week</t>
  </si>
  <si>
    <t>11.5 Total hours Central/Main Library open during a Summer Week.</t>
  </si>
  <si>
    <t>ID</t>
  </si>
  <si>
    <t>Q237</t>
  </si>
  <si>
    <t>BranchID</t>
  </si>
  <si>
    <t>Q235</t>
  </si>
  <si>
    <t>Chambers County Library</t>
  </si>
  <si>
    <t>10.275</t>
  </si>
  <si>
    <t>Branch</t>
  </si>
  <si>
    <t>West Chambers County Branch Library</t>
  </si>
  <si>
    <t>10.8</t>
  </si>
  <si>
    <t>Juanita Hargraves Memorial Branch Library</t>
  </si>
  <si>
    <t>10.9</t>
  </si>
  <si>
    <t>Bookmobile 1</t>
  </si>
  <si>
    <t>100.307</t>
  </si>
  <si>
    <t>Bookmobile</t>
  </si>
  <si>
    <t>Arcadia Park Branch Library</t>
  </si>
  <si>
    <t>100.359</t>
  </si>
  <si>
    <t>Grauwyler Park Branch Library</t>
  </si>
  <si>
    <t>100.368</t>
  </si>
  <si>
    <t>Timberglen Branch Library</t>
  </si>
  <si>
    <t>100.369</t>
  </si>
  <si>
    <t>Bookmarks @ NorthPark Center</t>
  </si>
  <si>
    <t>100.373</t>
  </si>
  <si>
    <t>Bookmobile 2</t>
  </si>
  <si>
    <t>100.374</t>
  </si>
  <si>
    <t>Prairie Creek Branch Library</t>
  </si>
  <si>
    <t>100.389</t>
  </si>
  <si>
    <t>White Rock Hills Branch Library</t>
  </si>
  <si>
    <t>100.401</t>
  </si>
  <si>
    <t>Audelia Road Branch Library</t>
  </si>
  <si>
    <t>100.74</t>
  </si>
  <si>
    <t>Lochwood Branch Library</t>
  </si>
  <si>
    <t>100.75</t>
  </si>
  <si>
    <t>Forest Green Branch Library</t>
  </si>
  <si>
    <t>100.76</t>
  </si>
  <si>
    <t>Fretz Park Branch Library</t>
  </si>
  <si>
    <t>100.77</t>
  </si>
  <si>
    <t>Hampton-Illinois Branch Library</t>
  </si>
  <si>
    <t>100.78</t>
  </si>
  <si>
    <t>Highland Hills Branch Library</t>
  </si>
  <si>
    <t>100.79</t>
  </si>
  <si>
    <t>Lakewood Branch Library</t>
  </si>
  <si>
    <t>100.80</t>
  </si>
  <si>
    <t>Paul Laurence Dunbar Lancaster-Kiest Branch Library</t>
  </si>
  <si>
    <t>100.81</t>
  </si>
  <si>
    <t>Martin Luther King Jr Library/LC</t>
  </si>
  <si>
    <t>100.82</t>
  </si>
  <si>
    <t>North Oak Cliff Branch Library</t>
  </si>
  <si>
    <t>100.83</t>
  </si>
  <si>
    <t>Oak Lawn Branch Library</t>
  </si>
  <si>
    <t>100.84</t>
  </si>
  <si>
    <t>Park Forest Branch Library</t>
  </si>
  <si>
    <t>100.85</t>
  </si>
  <si>
    <t>Pleasant Grove Branch Library</t>
  </si>
  <si>
    <t>100.86</t>
  </si>
  <si>
    <t>Polk-Wisdom Branch Library</t>
  </si>
  <si>
    <t>100.87</t>
  </si>
  <si>
    <t>Preston Royal Branch Library</t>
  </si>
  <si>
    <t>100.88</t>
  </si>
  <si>
    <t>Renner Frankford Branch Library</t>
  </si>
  <si>
    <t>100.89</t>
  </si>
  <si>
    <t>Skyline Branch Library</t>
  </si>
  <si>
    <t>100.90</t>
  </si>
  <si>
    <t>Bachman Lake Branch Library</t>
  </si>
  <si>
    <t>100.91</t>
  </si>
  <si>
    <t>Dallas West Branch Library</t>
  </si>
  <si>
    <t>100.92</t>
  </si>
  <si>
    <t>Mountain Creek Branch Library</t>
  </si>
  <si>
    <t>100.93</t>
  </si>
  <si>
    <t>Kleberg-Rylie Branch Library</t>
  </si>
  <si>
    <t>100.94</t>
  </si>
  <si>
    <t>Skillman Southwestern Branch Library</t>
  </si>
  <si>
    <t>100.95</t>
  </si>
  <si>
    <t>Denton Public Library South Branch</t>
  </si>
  <si>
    <t>109.276</t>
  </si>
  <si>
    <t>Denton Public Library North Branch</t>
  </si>
  <si>
    <t>109.335</t>
  </si>
  <si>
    <t>Cactus Branch Library</t>
  </si>
  <si>
    <t>117.300</t>
  </si>
  <si>
    <t>Britain Memorial Library</t>
  </si>
  <si>
    <t>117.96</t>
  </si>
  <si>
    <t>Alvin Library</t>
  </si>
  <si>
    <t>12.10</t>
  </si>
  <si>
    <t>Angleton Library</t>
  </si>
  <si>
    <t>12.11</t>
  </si>
  <si>
    <t>Brazoria Library</t>
  </si>
  <si>
    <t>12.13</t>
  </si>
  <si>
    <t>Clute Library</t>
  </si>
  <si>
    <t>12.14</t>
  </si>
  <si>
    <t>Freeport Library</t>
  </si>
  <si>
    <t>12.15</t>
  </si>
  <si>
    <t>Lake Jackson Library</t>
  </si>
  <si>
    <t>12.16</t>
  </si>
  <si>
    <t>Manvel Library</t>
  </si>
  <si>
    <t>12.17</t>
  </si>
  <si>
    <t>Pearland Library</t>
  </si>
  <si>
    <t>12.18</t>
  </si>
  <si>
    <t>Sweeny Library</t>
  </si>
  <si>
    <t>12.19</t>
  </si>
  <si>
    <t>West Columbia Branch Library</t>
  </si>
  <si>
    <t>12.20</t>
  </si>
  <si>
    <t>Danbury Library</t>
  </si>
  <si>
    <t>12.314</t>
  </si>
  <si>
    <t>Pearland Westside Library</t>
  </si>
  <si>
    <t>12.404</t>
  </si>
  <si>
    <t>Eagle Pass Public Children`s Library</t>
  </si>
  <si>
    <t>120.290</t>
  </si>
  <si>
    <t>Clardy Fox Branch Library</t>
  </si>
  <si>
    <t>125.100</t>
  </si>
  <si>
    <t>Judge Edward S Marquez Mission Valley Branch</t>
  </si>
  <si>
    <t>125.101</t>
  </si>
  <si>
    <t>Memorial Park Branch Library</t>
  </si>
  <si>
    <t>125.102</t>
  </si>
  <si>
    <t>Westside Branch Library</t>
  </si>
  <si>
    <t>125.104</t>
  </si>
  <si>
    <t>Ysleta Branch Library</t>
  </si>
  <si>
    <t>125.105</t>
  </si>
  <si>
    <t>Bookmobile - El Paso Public Library</t>
  </si>
  <si>
    <t>125.106</t>
  </si>
  <si>
    <t>Irving Schwartz Branch Library</t>
  </si>
  <si>
    <t>125.107</t>
  </si>
  <si>
    <t>EPCC NW Campus Community Library</t>
  </si>
  <si>
    <t>125.336</t>
  </si>
  <si>
    <t>Dorris Van Doren Regional Branch Library</t>
  </si>
  <si>
    <t>125.358</t>
  </si>
  <si>
    <t>Esperanza Acosta Moreno Regional Branch Library</t>
  </si>
  <si>
    <t>125.370</t>
  </si>
  <si>
    <t>Jose Cisneros Cielo Vista Branch Library</t>
  </si>
  <si>
    <t>125.398</t>
  </si>
  <si>
    <t>Armijo Branch Library</t>
  </si>
  <si>
    <t>125.97</t>
  </si>
  <si>
    <t>Richard Burges Regional Branch Library</t>
  </si>
  <si>
    <t>125.98</t>
  </si>
  <si>
    <t>Sarah Bain Chandler Library</t>
  </si>
  <si>
    <t>139.409</t>
  </si>
  <si>
    <t>Poth Branch Library</t>
  </si>
  <si>
    <t>139.410</t>
  </si>
  <si>
    <t>Floyd County Branch Library</t>
  </si>
  <si>
    <t>140.110</t>
  </si>
  <si>
    <t>East Berry Branch Library</t>
  </si>
  <si>
    <t>143.111</t>
  </si>
  <si>
    <t>eSkills Library</t>
  </si>
  <si>
    <t>143.112</t>
  </si>
  <si>
    <t>Northside Branch Library</t>
  </si>
  <si>
    <t>143.113</t>
  </si>
  <si>
    <t>Ridglea Branch Library</t>
  </si>
  <si>
    <t>143.114</t>
  </si>
  <si>
    <t>Riverside Branch Library</t>
  </si>
  <si>
    <t>143.115</t>
  </si>
  <si>
    <t>Seminary South Branch Library</t>
  </si>
  <si>
    <t>143.116</t>
  </si>
  <si>
    <t>Shamblee Branch Library</t>
  </si>
  <si>
    <t>143.117</t>
  </si>
  <si>
    <t>Southwest Regional Branch Library</t>
  </si>
  <si>
    <t>143.118</t>
  </si>
  <si>
    <t>Wedgwood Branch Library</t>
  </si>
  <si>
    <t>143.119</t>
  </si>
  <si>
    <t>Diamond Hill/Jarvis Branch Library</t>
  </si>
  <si>
    <t>143.120</t>
  </si>
  <si>
    <t>COOL (Cavile Outreach Opportunity Library)</t>
  </si>
  <si>
    <t>143.277</t>
  </si>
  <si>
    <t>East Regional Branch Library</t>
  </si>
  <si>
    <t>143.278</t>
  </si>
  <si>
    <t>BOLD Butler Housing Community Library</t>
  </si>
  <si>
    <t>143.297</t>
  </si>
  <si>
    <t>Summerglen Branch Library</t>
  </si>
  <si>
    <t>143.309</t>
  </si>
  <si>
    <t>Northwest Branch Library</t>
  </si>
  <si>
    <t>143.390</t>
  </si>
  <si>
    <t>Walnut Creek Branch Library</t>
  </si>
  <si>
    <t>150.122</t>
  </si>
  <si>
    <t>North Garland Branch Library</t>
  </si>
  <si>
    <t>150.124</t>
  </si>
  <si>
    <t>South Garland Branch Library</t>
  </si>
  <si>
    <t>150.317</t>
  </si>
  <si>
    <t>Live Oak County Branch Library</t>
  </si>
  <si>
    <t>153.125</t>
  </si>
  <si>
    <t>WOW!mobile</t>
  </si>
  <si>
    <t>154.402</t>
  </si>
  <si>
    <t>East Arlington Branch Library</t>
  </si>
  <si>
    <t>16.21</t>
  </si>
  <si>
    <t>Northeast Branch Library</t>
  </si>
  <si>
    <t>16.22</t>
  </si>
  <si>
    <t>Woodland West Branch Library</t>
  </si>
  <si>
    <t>16.23</t>
  </si>
  <si>
    <t>Lake Arlington Branch Library</t>
  </si>
  <si>
    <t>16.24</t>
  </si>
  <si>
    <t>Southeast Branch Library</t>
  </si>
  <si>
    <t>16.333</t>
  </si>
  <si>
    <t>Southwest Branch Library</t>
  </si>
  <si>
    <t>16.372</t>
  </si>
  <si>
    <t>Betty Warmack Branch Library</t>
  </si>
  <si>
    <t>162.323</t>
  </si>
  <si>
    <t>Tony Shotwell Life Center Branch Library</t>
  </si>
  <si>
    <t>162.365</t>
  </si>
  <si>
    <t>Waller County Library Brookshire-Pattison</t>
  </si>
  <si>
    <t>180.127</t>
  </si>
  <si>
    <t>Morrow Branch Library</t>
  </si>
  <si>
    <t>181.128</t>
  </si>
  <si>
    <t>McMillan Memorial Library</t>
  </si>
  <si>
    <t>181.129</t>
  </si>
  <si>
    <t>Tatum Public Library</t>
  </si>
  <si>
    <t>181.130</t>
  </si>
  <si>
    <t>Rusk County Library</t>
  </si>
  <si>
    <t>181.279</t>
  </si>
  <si>
    <t>Shepard-Acres Homes Branch Library</t>
  </si>
  <si>
    <t>189.131</t>
  </si>
  <si>
    <t>Henington-Alief Regional Library</t>
  </si>
  <si>
    <t>189.132</t>
  </si>
  <si>
    <t>Bracewell Branch Library</t>
  </si>
  <si>
    <t>189.133</t>
  </si>
  <si>
    <t>Carnegie Branch Library</t>
  </si>
  <si>
    <t>189.134</t>
  </si>
  <si>
    <t>Collier Regional Library</t>
  </si>
  <si>
    <t>189.135</t>
  </si>
  <si>
    <t>Clayton Library Ctr for Gen Res</t>
  </si>
  <si>
    <t>189.136</t>
  </si>
  <si>
    <t>Dixon Branch Library</t>
  </si>
  <si>
    <t>189.137</t>
  </si>
  <si>
    <t>Fifth Ward Branch Library</t>
  </si>
  <si>
    <t>189.138</t>
  </si>
  <si>
    <t>Flores Branch Library</t>
  </si>
  <si>
    <t>189.139</t>
  </si>
  <si>
    <t>Frank Branch Library</t>
  </si>
  <si>
    <t>189.140</t>
  </si>
  <si>
    <t>Heights Branch Library</t>
  </si>
  <si>
    <t>189.141</t>
  </si>
  <si>
    <t>Hillendahl Branch Library</t>
  </si>
  <si>
    <t>189.142</t>
  </si>
  <si>
    <t>Johnson Branch Library</t>
  </si>
  <si>
    <t>189.143</t>
  </si>
  <si>
    <t>Jungman Branch Library</t>
  </si>
  <si>
    <t>189.144</t>
  </si>
  <si>
    <t>McCrane-Kashmere Gardens Branch Library</t>
  </si>
  <si>
    <t>189.145</t>
  </si>
  <si>
    <t>Kendall Branch Library</t>
  </si>
  <si>
    <t>189.146</t>
  </si>
  <si>
    <t>189.147</t>
  </si>
  <si>
    <t>Looscan Branch Library</t>
  </si>
  <si>
    <t>189.148</t>
  </si>
  <si>
    <t>Mancuso Branch Library</t>
  </si>
  <si>
    <t>189.149</t>
  </si>
  <si>
    <t>Melcher Branch Library</t>
  </si>
  <si>
    <t>189.150</t>
  </si>
  <si>
    <t>Meyer Branch Library</t>
  </si>
  <si>
    <t>189.151</t>
  </si>
  <si>
    <t>Moody Branch Library</t>
  </si>
  <si>
    <t>189.152</t>
  </si>
  <si>
    <t>Oak Forest Branch Library</t>
  </si>
  <si>
    <t>189.153</t>
  </si>
  <si>
    <t>Park Place Regional Library</t>
  </si>
  <si>
    <t>189.154</t>
  </si>
  <si>
    <t>Pleasantville Branch Library</t>
  </si>
  <si>
    <t>189.155</t>
  </si>
  <si>
    <t>Ring Branch Library</t>
  </si>
  <si>
    <t>189.156</t>
  </si>
  <si>
    <t>Scenic Woods Regional Library</t>
  </si>
  <si>
    <t>189.157</t>
  </si>
  <si>
    <t>Smith Branch Library</t>
  </si>
  <si>
    <t>189.158</t>
  </si>
  <si>
    <t>Stanaker Branch Library</t>
  </si>
  <si>
    <t>189.159</t>
  </si>
  <si>
    <t>Tuttle Branch Library</t>
  </si>
  <si>
    <t>189.160</t>
  </si>
  <si>
    <t>HPL Express Vinson</t>
  </si>
  <si>
    <t>189.161</t>
  </si>
  <si>
    <t>Walter Branch Library</t>
  </si>
  <si>
    <t>189.162</t>
  </si>
  <si>
    <t>Young Branch Library</t>
  </si>
  <si>
    <t>189.163</t>
  </si>
  <si>
    <t>Freed-Montrose Branch Library</t>
  </si>
  <si>
    <t>189.164</t>
  </si>
  <si>
    <t>Robinson-Westchase Branch Library</t>
  </si>
  <si>
    <t>189.165</t>
  </si>
  <si>
    <t>Stimley-Blue Ridge Branch Library</t>
  </si>
  <si>
    <t>189.303</t>
  </si>
  <si>
    <t>McGovern-Stella Link Branch Library</t>
  </si>
  <si>
    <t>189.360</t>
  </si>
  <si>
    <t>HPL Express Discovery Green</t>
  </si>
  <si>
    <t>189.377</t>
  </si>
  <si>
    <t>HPL Express Southwest</t>
  </si>
  <si>
    <t>189.378</t>
  </si>
  <si>
    <t>African American Library</t>
  </si>
  <si>
    <t>189.391</t>
  </si>
  <si>
    <t>Houston Metropolitan Research Center</t>
  </si>
  <si>
    <t>189.392</t>
  </si>
  <si>
    <t>HPL Mobile Express</t>
  </si>
  <si>
    <t>189.393</t>
  </si>
  <si>
    <t>Crosby Branch Library</t>
  </si>
  <si>
    <t>190.166</t>
  </si>
  <si>
    <t>190.167</t>
  </si>
  <si>
    <t>Galena Park Branch Library</t>
  </si>
  <si>
    <t>190.168</t>
  </si>
  <si>
    <t>Stratford Branch Library</t>
  </si>
  <si>
    <t>190.169</t>
  </si>
  <si>
    <t>Aldine Branch Library</t>
  </si>
  <si>
    <t>190.170</t>
  </si>
  <si>
    <t>Katherine Tyra/Bear Creek Branch Library</t>
  </si>
  <si>
    <t>190.171</t>
  </si>
  <si>
    <t>Fairbanks Branch Library</t>
  </si>
  <si>
    <t>190.172</t>
  </si>
  <si>
    <t>Freeman Memorial Branch Library</t>
  </si>
  <si>
    <t>190.173</t>
  </si>
  <si>
    <t>High Meadows Branch Library</t>
  </si>
  <si>
    <t>190.174</t>
  </si>
  <si>
    <t>Jacinto City Branch Library</t>
  </si>
  <si>
    <t>190.175</t>
  </si>
  <si>
    <t>Spring Branch Library</t>
  </si>
  <si>
    <t>190.176</t>
  </si>
  <si>
    <t>West University Branch Library</t>
  </si>
  <si>
    <t>190.177</t>
  </si>
  <si>
    <t>North Channel Branch Library</t>
  </si>
  <si>
    <t>190.179</t>
  </si>
  <si>
    <t>Parker Williams Branch Library</t>
  </si>
  <si>
    <t>190.180</t>
  </si>
  <si>
    <t>Baldwin Boettcher Branch Library</t>
  </si>
  <si>
    <t>190.181</t>
  </si>
  <si>
    <t>Octavia Fields Branch Library</t>
  </si>
  <si>
    <t>190.182</t>
  </si>
  <si>
    <t>Katy Branch Library</t>
  </si>
  <si>
    <t>190.183</t>
  </si>
  <si>
    <t>Maud Smith Marks Branch Library</t>
  </si>
  <si>
    <t>190.184</t>
  </si>
  <si>
    <t>Kingwood Branch Library</t>
  </si>
  <si>
    <t>190.185</t>
  </si>
  <si>
    <t>La Porte Branch Library</t>
  </si>
  <si>
    <t>190.186</t>
  </si>
  <si>
    <t>Evelyn Meador Branch Library</t>
  </si>
  <si>
    <t>190.187</t>
  </si>
  <si>
    <t>South Houston Branch Library</t>
  </si>
  <si>
    <t>190.188</t>
  </si>
  <si>
    <t>Barbara Bush Branch Library</t>
  </si>
  <si>
    <t>190.189</t>
  </si>
  <si>
    <t>Tomball Branch Library</t>
  </si>
  <si>
    <t>190.190</t>
  </si>
  <si>
    <t>Atascocita Branch Library</t>
  </si>
  <si>
    <t>190.286</t>
  </si>
  <si>
    <t>Cy-Fair College</t>
  </si>
  <si>
    <t>190.341</t>
  </si>
  <si>
    <t>HCPL Technology Center at Lincoln Park</t>
  </si>
  <si>
    <t>190.396</t>
  </si>
  <si>
    <t>HCPL Technology Center at Finnegan Park</t>
  </si>
  <si>
    <t>190.397</t>
  </si>
  <si>
    <t>West Irving Library</t>
  </si>
  <si>
    <t>198.192</t>
  </si>
  <si>
    <t>East Branch Library</t>
  </si>
  <si>
    <t>198.281</t>
  </si>
  <si>
    <t>Valley Ranch Library</t>
  </si>
  <si>
    <t>198.284</t>
  </si>
  <si>
    <t>Abilene Public Library South Branch</t>
  </si>
  <si>
    <t>2.1</t>
  </si>
  <si>
    <t>Abilene Public Library Mockingbird</t>
  </si>
  <si>
    <t>2.384</t>
  </si>
  <si>
    <t>Austin History Center Library</t>
  </si>
  <si>
    <t>20.27</t>
  </si>
  <si>
    <t>Carver Branch Library</t>
  </si>
  <si>
    <t>20.28</t>
  </si>
  <si>
    <t>Milwood Branch Library</t>
  </si>
  <si>
    <t>20.288</t>
  </si>
  <si>
    <t>Will Hampton Branch at Oak Hill</t>
  </si>
  <si>
    <t>20.289</t>
  </si>
  <si>
    <t>Eustasio Cepeda Branch Library</t>
  </si>
  <si>
    <t>20.29</t>
  </si>
  <si>
    <t>Howson Branch Library</t>
  </si>
  <si>
    <t>20.30</t>
  </si>
  <si>
    <t>Little Walnut Creek Branch Library</t>
  </si>
  <si>
    <t>20.31</t>
  </si>
  <si>
    <t>Manchaca Road Branch Library</t>
  </si>
  <si>
    <t>20.32</t>
  </si>
  <si>
    <t>Ralph W Yarborough Branch Library</t>
  </si>
  <si>
    <t>20.33</t>
  </si>
  <si>
    <t>St John Branch Library</t>
  </si>
  <si>
    <t>20.330</t>
  </si>
  <si>
    <t>North Village Branch Library</t>
  </si>
  <si>
    <t>20.34</t>
  </si>
  <si>
    <t>Willie Mae Kirk Branch Library</t>
  </si>
  <si>
    <t>20.35</t>
  </si>
  <si>
    <t>Old Quarry Branch Library</t>
  </si>
  <si>
    <t>20.36</t>
  </si>
  <si>
    <t>Pleasant Hill Branch Library</t>
  </si>
  <si>
    <t>20.37</t>
  </si>
  <si>
    <t>Daniel E Ruiz Branch Library</t>
  </si>
  <si>
    <t>20.38</t>
  </si>
  <si>
    <t>Spicewood Springs Branch Library</t>
  </si>
  <si>
    <t>20.39</t>
  </si>
  <si>
    <t>Terrazas Branch Library</t>
  </si>
  <si>
    <t>20.40</t>
  </si>
  <si>
    <t>Twin Oaks Branch Library</t>
  </si>
  <si>
    <t>20.41</t>
  </si>
  <si>
    <t>University Hills Branch Library</t>
  </si>
  <si>
    <t>20.42</t>
  </si>
  <si>
    <t>Windsor Park Branch Library</t>
  </si>
  <si>
    <t>20.43</t>
  </si>
  <si>
    <t>Southeast Austin Community Branch Library</t>
  </si>
  <si>
    <t>20.44</t>
  </si>
  <si>
    <t>Wink Branch Library</t>
  </si>
  <si>
    <t>212.194</t>
  </si>
  <si>
    <t>Kerr Regional History Center</t>
  </si>
  <si>
    <t>213.334</t>
  </si>
  <si>
    <t>Copper Mountain Branch Library</t>
  </si>
  <si>
    <t>215.319</t>
  </si>
  <si>
    <t>Bruni Plaza Branch Library</t>
  </si>
  <si>
    <t>228.311</t>
  </si>
  <si>
    <t>Cyber Mobile</t>
  </si>
  <si>
    <t>228.386</t>
  </si>
  <si>
    <t>Inner City Branch Library</t>
  </si>
  <si>
    <t>228.405</t>
  </si>
  <si>
    <t>Santa Rita Express Branch Library</t>
  </si>
  <si>
    <t>228.406</t>
  </si>
  <si>
    <t>Barbara Fasken Branch Library</t>
  </si>
  <si>
    <t>228.407</t>
  </si>
  <si>
    <t>Sophie Christen McKendrick, Francisco Ochoa and Fernando Salinas Branch Library</t>
  </si>
  <si>
    <t>228.411</t>
  </si>
  <si>
    <t>Sundown Branch Library</t>
  </si>
  <si>
    <t>231.200</t>
  </si>
  <si>
    <t>Lakeshore Branch Library</t>
  </si>
  <si>
    <t>236.202</t>
  </si>
  <si>
    <t>Kingsland Branch Library</t>
  </si>
  <si>
    <t>236.203</t>
  </si>
  <si>
    <t>Broughton Branch Library</t>
  </si>
  <si>
    <t>238.328</t>
  </si>
  <si>
    <t>Godeke Branch Library</t>
  </si>
  <si>
    <t>240.204</t>
  </si>
  <si>
    <t>Patterson Branch Library</t>
  </si>
  <si>
    <t>240.282</t>
  </si>
  <si>
    <t>Groves Branch Library</t>
  </si>
  <si>
    <t>240.292</t>
  </si>
  <si>
    <t>Lark Branch Library</t>
  </si>
  <si>
    <t>254.320</t>
  </si>
  <si>
    <t>Palm View Branch Library</t>
  </si>
  <si>
    <t>254.321</t>
  </si>
  <si>
    <t>John and Judy Gay Library</t>
  </si>
  <si>
    <t>256.381</t>
  </si>
  <si>
    <t>Mesquite Public Library-North Branch</t>
  </si>
  <si>
    <t>262.206</t>
  </si>
  <si>
    <t>Midland Centennial Library</t>
  </si>
  <si>
    <t>264.207</t>
  </si>
  <si>
    <t>Mineola Memorial Library Bookmobile</t>
  </si>
  <si>
    <t>266.402</t>
  </si>
  <si>
    <t>Barstow Library</t>
  </si>
  <si>
    <t>269.208</t>
  </si>
  <si>
    <t>Grandfalls Library</t>
  </si>
  <si>
    <t>269.209</t>
  </si>
  <si>
    <t>Sargent Branch Library</t>
  </si>
  <si>
    <t>28.47</t>
  </si>
  <si>
    <t>Westside Community Center Library</t>
  </si>
  <si>
    <t>283.412</t>
  </si>
  <si>
    <t>Deweyville Public Library</t>
  </si>
  <si>
    <t>284.315</t>
  </si>
  <si>
    <t>Blessing Library</t>
  </si>
  <si>
    <t>295.211</t>
  </si>
  <si>
    <t>Groom Branch Library</t>
  </si>
  <si>
    <t>298.212</t>
  </si>
  <si>
    <t>Skellytown Branch Library</t>
  </si>
  <si>
    <t>298.213</t>
  </si>
  <si>
    <t>White Deer Branch Library</t>
  </si>
  <si>
    <t>298.214</t>
  </si>
  <si>
    <t>Elmo R Willard Branch Library</t>
  </si>
  <si>
    <t>30.295</t>
  </si>
  <si>
    <t>Maurine Gray Literacy Center</t>
  </si>
  <si>
    <t>30.296</t>
  </si>
  <si>
    <t>RC Miller Memorial Library</t>
  </si>
  <si>
    <t>30.51</t>
  </si>
  <si>
    <t>Tyrrell Historical Library</t>
  </si>
  <si>
    <t>30.52</t>
  </si>
  <si>
    <t>Theodore Johns Branch Library</t>
  </si>
  <si>
    <t>30.53</t>
  </si>
  <si>
    <t>Fairmont Branch Library</t>
  </si>
  <si>
    <t>300.215</t>
  </si>
  <si>
    <t>LER Schimelpfenig Library</t>
  </si>
  <si>
    <t>311.216</t>
  </si>
  <si>
    <t>Gladys Harrington Library</t>
  </si>
  <si>
    <t>311.217</t>
  </si>
  <si>
    <t>Maribelle M Davis Library</t>
  </si>
  <si>
    <t>311.298</t>
  </si>
  <si>
    <t>Christopher A Parr Library</t>
  </si>
  <si>
    <t>311.322</t>
  </si>
  <si>
    <t>Public Library Reading Room</t>
  </si>
  <si>
    <t>315.366</t>
  </si>
  <si>
    <t>Point Comfort Branch Library</t>
  </si>
  <si>
    <t>316.221</t>
  </si>
  <si>
    <t>Port O`Connor Branch Library</t>
  </si>
  <si>
    <t>316.222</t>
  </si>
  <si>
    <t>Seadrift Branch Library</t>
  </si>
  <si>
    <t>316.223</t>
  </si>
  <si>
    <t>Midkiff Public Library</t>
  </si>
  <si>
    <t>324.224</t>
  </si>
  <si>
    <t>Missouri City Branch Library</t>
  </si>
  <si>
    <t>329.226</t>
  </si>
  <si>
    <t>Albert George Branch Library</t>
  </si>
  <si>
    <t>329.227</t>
  </si>
  <si>
    <t>George Memorial Library</t>
  </si>
  <si>
    <t>329.228</t>
  </si>
  <si>
    <t>Fort Bend County Law Library</t>
  </si>
  <si>
    <t>329.229</t>
  </si>
  <si>
    <t>Bob Lutts Fulshear/Simonton Branch Library</t>
  </si>
  <si>
    <t>329.230</t>
  </si>
  <si>
    <t>Mamie George Branch Library</t>
  </si>
  <si>
    <t>329.231</t>
  </si>
  <si>
    <t>First Colony Branch Library</t>
  </si>
  <si>
    <t>329.232</t>
  </si>
  <si>
    <t>Cinco Ranch Branch Library</t>
  </si>
  <si>
    <t>329.299</t>
  </si>
  <si>
    <t>Sugar Land Branch Library</t>
  </si>
  <si>
    <t>329.302</t>
  </si>
  <si>
    <t>Sienna Branch Library</t>
  </si>
  <si>
    <t>329.382</t>
  </si>
  <si>
    <t>University Branch Library</t>
  </si>
  <si>
    <t>329.399</t>
  </si>
  <si>
    <t>Bishop Branch Library</t>
  </si>
  <si>
    <t>334.313</t>
  </si>
  <si>
    <t>Angelo West Branch Library</t>
  </si>
  <si>
    <t>343.233</t>
  </si>
  <si>
    <t>North Angelo Branch Library</t>
  </si>
  <si>
    <t>343.234</t>
  </si>
  <si>
    <t>Bazan Branch Library</t>
  </si>
  <si>
    <t>344.236</t>
  </si>
  <si>
    <t>Brook Hollow Branch Library</t>
  </si>
  <si>
    <t>344.237</t>
  </si>
  <si>
    <t>344.238</t>
  </si>
  <si>
    <t>Cody Branch Library</t>
  </si>
  <si>
    <t>344.239</t>
  </si>
  <si>
    <t>Collins Garden Branch Library</t>
  </si>
  <si>
    <t>344.240</t>
  </si>
  <si>
    <t>Cortez Branch Library</t>
  </si>
  <si>
    <t>344.241</t>
  </si>
  <si>
    <t>Johnston Branch Library</t>
  </si>
  <si>
    <t>344.242</t>
  </si>
  <si>
    <t>Landa Branch Library</t>
  </si>
  <si>
    <t>344.243</t>
  </si>
  <si>
    <t>Las Palmas Branch Library</t>
  </si>
  <si>
    <t>344.244</t>
  </si>
  <si>
    <t>McCreless Branch Library</t>
  </si>
  <si>
    <t>344.245</t>
  </si>
  <si>
    <t>Memorial Branch Library</t>
  </si>
  <si>
    <t>344.246</t>
  </si>
  <si>
    <t>Tobin Library at Oakwell</t>
  </si>
  <si>
    <t>344.247</t>
  </si>
  <si>
    <t>Pan American Branch Library</t>
  </si>
  <si>
    <t>344.248</t>
  </si>
  <si>
    <t>San Pedro Branch Library</t>
  </si>
  <si>
    <t>344.249</t>
  </si>
  <si>
    <t>Westfall Branch Library</t>
  </si>
  <si>
    <t>344.250</t>
  </si>
  <si>
    <t>Forest Hills Branch Library</t>
  </si>
  <si>
    <t>344.251</t>
  </si>
  <si>
    <t>Thousand Oaks Branch Library</t>
  </si>
  <si>
    <t>344.252</t>
  </si>
  <si>
    <t>Great Northwest Branch Library</t>
  </si>
  <si>
    <t>344.255</t>
  </si>
  <si>
    <t>Guerra Branch Library</t>
  </si>
  <si>
    <t>344.342</t>
  </si>
  <si>
    <t>Semmes Branch Library</t>
  </si>
  <si>
    <t>344.361</t>
  </si>
  <si>
    <t>Maverick Branch Library</t>
  </si>
  <si>
    <t>344.367</t>
  </si>
  <si>
    <t>John Igo Branch Library</t>
  </si>
  <si>
    <t>344.371</t>
  </si>
  <si>
    <t>Central Bookmobile Services</t>
  </si>
  <si>
    <t>344.383</t>
  </si>
  <si>
    <t>Molly Pruitt Library at Roosevelt HS</t>
  </si>
  <si>
    <t>344.388</t>
  </si>
  <si>
    <t>Mission Branch Library</t>
  </si>
  <si>
    <t>344.394</t>
  </si>
  <si>
    <t>Parman Branch Library at Stone Oak</t>
  </si>
  <si>
    <t>344.395</t>
  </si>
  <si>
    <t>Kampmann Library Portal</t>
  </si>
  <si>
    <t>344.413</t>
  </si>
  <si>
    <t>Encino Branch Library</t>
  </si>
  <si>
    <t>344.414</t>
  </si>
  <si>
    <t>Gaines County Library-Seagraves</t>
  </si>
  <si>
    <t>357.256</t>
  </si>
  <si>
    <t>Temple Public Library Bookmobile</t>
  </si>
  <si>
    <t>384.258</t>
  </si>
  <si>
    <t>East Waco Library</t>
  </si>
  <si>
    <t>398.261</t>
  </si>
  <si>
    <t>South Waco Library</t>
  </si>
  <si>
    <t>398.262</t>
  </si>
  <si>
    <t>West Waco Library &amp; Genealogy Center</t>
  </si>
  <si>
    <t>398.387</t>
  </si>
  <si>
    <t>West End Library</t>
  </si>
  <si>
    <t>400.263</t>
  </si>
  <si>
    <t>Knox Memorial Library</t>
  </si>
  <si>
    <t>400.287</t>
  </si>
  <si>
    <t>East Bernard Branch Library</t>
  </si>
  <si>
    <t>408.264</t>
  </si>
  <si>
    <t>El Campo Branch Library</t>
  </si>
  <si>
    <t>408.265</t>
  </si>
  <si>
    <t>Louise Branch Library</t>
  </si>
  <si>
    <t>408.266</t>
  </si>
  <si>
    <t>Hutchinson County Library - Fritch</t>
  </si>
  <si>
    <t>41.54</t>
  </si>
  <si>
    <t>Hutchinson County Library - Stinnett</t>
  </si>
  <si>
    <t>41.55</t>
  </si>
  <si>
    <t>Guadalupe and Lilia Martinez Zapata County Public Branch Library</t>
  </si>
  <si>
    <t>432.267</t>
  </si>
  <si>
    <t>Laura Bush Community Library</t>
  </si>
  <si>
    <t>452.380</t>
  </si>
  <si>
    <t>Southmost Branch Library</t>
  </si>
  <si>
    <t>49.362</t>
  </si>
  <si>
    <t>Orange Grove School/Public Library</t>
  </si>
  <si>
    <t>5.2</t>
  </si>
  <si>
    <t>Premont Public Library</t>
  </si>
  <si>
    <t>5.3</t>
  </si>
  <si>
    <t>Brownwood Public Library Local History &amp; Genealogy Library</t>
  </si>
  <si>
    <t>50.364</t>
  </si>
  <si>
    <t>Duval County/Freer Branch Library</t>
  </si>
  <si>
    <t>502.294</t>
  </si>
  <si>
    <t>Duval County/Benavides Branch Library</t>
  </si>
  <si>
    <t>502.308</t>
  </si>
  <si>
    <t>Carnegie Center of Brazos Valley History</t>
  </si>
  <si>
    <t>51.301</t>
  </si>
  <si>
    <t>Clara B Mounce Public Library</t>
  </si>
  <si>
    <t>51.379</t>
  </si>
  <si>
    <t>Larry J Ringer Public Library</t>
  </si>
  <si>
    <t>51.57</t>
  </si>
  <si>
    <t>517.316</t>
  </si>
  <si>
    <t>Garfield Library</t>
  </si>
  <si>
    <t>552.385</t>
  </si>
  <si>
    <t>Bertram Free Library</t>
  </si>
  <si>
    <t>56.58</t>
  </si>
  <si>
    <t>Oakalla Public Library</t>
  </si>
  <si>
    <t>56.59</t>
  </si>
  <si>
    <t>Herman Brown Free Library</t>
  </si>
  <si>
    <t>56.60</t>
  </si>
  <si>
    <t>Marble Falls Public Library</t>
  </si>
  <si>
    <t>56.61</t>
  </si>
  <si>
    <t>Carrollton Public Library @ Hebron and Josey</t>
  </si>
  <si>
    <t>64.340</t>
  </si>
  <si>
    <t>BiblioTech Central Jury Room</t>
  </si>
  <si>
    <t>649.403</t>
  </si>
  <si>
    <t>George &amp; Cynthia Woods Mitchell Library</t>
  </si>
  <si>
    <t>86.363</t>
  </si>
  <si>
    <t>Malcolm Purvis Library-Magnolia</t>
  </si>
  <si>
    <t>86.63</t>
  </si>
  <si>
    <t>Charles B Stewart-West Branch Library</t>
  </si>
  <si>
    <t>86.64</t>
  </si>
  <si>
    <t>RB Tullis Library</t>
  </si>
  <si>
    <t>86.65</t>
  </si>
  <si>
    <t>South Regional Library</t>
  </si>
  <si>
    <t>86.66</t>
  </si>
  <si>
    <t>RF Meador Branch Library</t>
  </si>
  <si>
    <t>86.67</t>
  </si>
  <si>
    <t>Dr Clotilde P Garcia Public Library</t>
  </si>
  <si>
    <t>88.376</t>
  </si>
  <si>
    <t>Neyland Public Library</t>
  </si>
  <si>
    <t>88.68</t>
  </si>
  <si>
    <t>Ben F McDonald Public Library</t>
  </si>
  <si>
    <t>88.69</t>
  </si>
  <si>
    <t>Owen R Hopkins Public Library</t>
  </si>
  <si>
    <t>88.70</t>
  </si>
  <si>
    <t>Janet F Harte Public Library</t>
  </si>
  <si>
    <t>88.71</t>
  </si>
  <si>
    <t>9.331</t>
  </si>
  <si>
    <t>9.5</t>
  </si>
  <si>
    <t>North Branch Library</t>
  </si>
  <si>
    <t>9.6</t>
  </si>
  <si>
    <t>9.7</t>
  </si>
  <si>
    <t>Encinal Library</t>
  </si>
  <si>
    <t>91.400</t>
  </si>
  <si>
    <t>Lorenzo Library</t>
  </si>
  <si>
    <t>94.72</t>
  </si>
  <si>
    <t>Ralls Library</t>
  </si>
  <si>
    <t>94.73</t>
  </si>
  <si>
    <t>Sqft:Q467</t>
  </si>
  <si>
    <t>Hrs:Q480</t>
  </si>
  <si>
    <t>Wks:Q479</t>
  </si>
  <si>
    <t>Row Labels</t>
  </si>
  <si>
    <t>Grand Total</t>
  </si>
  <si>
    <t>Values</t>
  </si>
  <si>
    <t>Sum of Sqft:Q467</t>
  </si>
  <si>
    <t>Sum of Hrs:Q480</t>
  </si>
  <si>
    <t>7.4 Children's materials circulation - physical formats</t>
  </si>
  <si>
    <t>7.5 Circulation of Children's Materials-Digital formats</t>
  </si>
  <si>
    <t>7.6 Circulation-Physical formats</t>
  </si>
  <si>
    <t>7.7 Circulation-Digital formats</t>
  </si>
  <si>
    <t>7.9 Total Circulation</t>
  </si>
  <si>
    <t>7.2 Library Visits</t>
  </si>
  <si>
    <t>7.3 Registered Users</t>
  </si>
  <si>
    <t>7.0 Does the library have a Long-Range Plan?</t>
  </si>
  <si>
    <t>10.5 Number of Wi-Fi Sessions</t>
  </si>
  <si>
    <t>Library Materials Expenditures Per Capita</t>
  </si>
  <si>
    <t>Total Operating Expenditures Per Capita</t>
  </si>
  <si>
    <t>Wages and Benefits as % of Total Operating Expenditures</t>
  </si>
  <si>
    <t>Library Materials as % of Total Operating Expenditures</t>
  </si>
  <si>
    <t>Other Operating Expenditures as % Total Operating Expenditures</t>
  </si>
  <si>
    <t>8.9  Does the library have a photocopier for use by staff?</t>
  </si>
  <si>
    <t>to see how your library compares to ones of similar size 
or to statewide measures</t>
  </si>
  <si>
    <t>1.6MailCity</t>
  </si>
  <si>
    <t>7.9 Number of Children's programs provided by the library</t>
  </si>
  <si>
    <t>7.11 Number of Young Adult programs provided by the library</t>
  </si>
  <si>
    <t>7.13 Number of Adult programs provided by the library</t>
  </si>
  <si>
    <t>7.15 Total Number of Library Programs</t>
  </si>
  <si>
    <t>7.10 Attendance at Children's Programs provided by the library</t>
  </si>
  <si>
    <t>7.14 Attendance at Adult Programs provided by the library</t>
  </si>
  <si>
    <t>7.16 Total Attendance at Library Programs</t>
  </si>
  <si>
    <t>10.6b Number of website visits.</t>
  </si>
  <si>
    <t>11.3 How many unduplicated hours is the library and its branches open per week during a regular scheduled week?</t>
  </si>
  <si>
    <t>Total Local Operating Expenditures</t>
  </si>
  <si>
    <t>Local Government Revenue Per Capita</t>
  </si>
  <si>
    <t/>
  </si>
  <si>
    <t>6.12 Other Licensed Electronic Collections/ Databases</t>
  </si>
  <si>
    <t>Library ID</t>
  </si>
  <si>
    <t>Children's circ per capita - physical formats</t>
  </si>
  <si>
    <t>Children's circ per capita - digital formats</t>
  </si>
  <si>
    <t>Circulation per capita - physical formats (excludes children's)</t>
  </si>
  <si>
    <t>Circulation per capita - digital formats (excludes children's)</t>
  </si>
  <si>
    <t>754,783</t>
  </si>
  <si>
    <t>Hours</t>
  </si>
  <si>
    <t>4,208,294</t>
  </si>
  <si>
    <t>SqFt</t>
  </si>
  <si>
    <t>Sum of Hours</t>
  </si>
  <si>
    <t>Sum of SqFt</t>
  </si>
  <si>
    <t>Branch info</t>
  </si>
  <si>
    <t>Global Totals/Average</t>
  </si>
  <si>
    <t>Federal Revenue</t>
  </si>
  <si>
    <t>Physical Material Expenditure per circulation</t>
  </si>
  <si>
    <t>Digital Material Expenditure per circulation</t>
  </si>
  <si>
    <t>Total Volunteer Hours (Per Year)</t>
  </si>
  <si>
    <t>Local-Licensed Databases</t>
  </si>
  <si>
    <t>Other Measures Charts</t>
  </si>
  <si>
    <t>6.10 Local-Licensed Electronic Collection/ Databases</t>
  </si>
  <si>
    <t>9.1 Does your library offer statewide ILL for your patrons?</t>
  </si>
  <si>
    <t>6.4 Books in Print - Items</t>
  </si>
  <si>
    <t>5.6 Operating Revenue - Other Federal Funds</t>
  </si>
  <si>
    <t>5.7 Operating Revenue - Foundation &amp; Corporate Grants</t>
  </si>
  <si>
    <t>5.8 Operating Revenue - Other Local Sources</t>
  </si>
  <si>
    <t xml:space="preserve"> Subtotal-Other Operating Revenue</t>
  </si>
  <si>
    <t>5.9 Total Operating Revenue</t>
  </si>
  <si>
    <t>5.10 Capital Revenue - City Cities or Library District</t>
  </si>
  <si>
    <t>5.12 Capital Revenue - School Districts</t>
  </si>
  <si>
    <t>5.13 Capital Revenue - Other State Funds</t>
  </si>
  <si>
    <t>5.14 Capital Revenue - Other Federal Funds</t>
  </si>
  <si>
    <t>5.15 Capital Revenue - Foundation &amp; Corporate Grants</t>
  </si>
  <si>
    <t>5.16 Other Capital Revenue</t>
  </si>
  <si>
    <t>5.17 Total Capital Revenue</t>
  </si>
  <si>
    <t>6.5 Audio - Physical Materials - Items</t>
  </si>
  <si>
    <t>6.8 Audio - Downloadable - Units</t>
  </si>
  <si>
    <t>6.6 Video - Physical Materials - Items</t>
  </si>
  <si>
    <t>6.9 Video - Downloadable - Units</t>
  </si>
  <si>
    <t>6.7 Electronic Books</t>
  </si>
  <si>
    <t>ILL/RESOURCE SHARING</t>
  </si>
  <si>
    <t>Local Government Expenditures</t>
  </si>
  <si>
    <t>Subtotal: Local Government Operating Revenue</t>
  </si>
  <si>
    <t>ALAMANCE</t>
  </si>
  <si>
    <t>HERTFORD</t>
  </si>
  <si>
    <t>ALEXANDER</t>
  </si>
  <si>
    <t>ASHE</t>
  </si>
  <si>
    <t>YANCEY</t>
  </si>
  <si>
    <t>BEAUFORT</t>
  </si>
  <si>
    <t>BLADEN</t>
  </si>
  <si>
    <t>NASH</t>
  </si>
  <si>
    <t>BRUNSWICK</t>
  </si>
  <si>
    <t>BUNCOMBE</t>
  </si>
  <si>
    <t>BURKE</t>
  </si>
  <si>
    <t>CABARRUS</t>
  </si>
  <si>
    <t>CALDWELL</t>
  </si>
  <si>
    <t>CASWELL</t>
  </si>
  <si>
    <t>CATAWBA</t>
  </si>
  <si>
    <t>ORANGE</t>
  </si>
  <si>
    <t>MECKLENBURG</t>
  </si>
  <si>
    <t>CHATHAM</t>
  </si>
  <si>
    <t>CLEVELAND</t>
  </si>
  <si>
    <t>COLUMBUS</t>
  </si>
  <si>
    <t>CRAVEN</t>
  </si>
  <si>
    <t>CUMBERLAND</t>
  </si>
  <si>
    <t>DAVIDSON</t>
  </si>
  <si>
    <t>DAVIE</t>
  </si>
  <si>
    <t>DUPLIN</t>
  </si>
  <si>
    <t>DURHAM</t>
  </si>
  <si>
    <t>PASQUOTANK</t>
  </si>
  <si>
    <t>EDGECOMBE</t>
  </si>
  <si>
    <t>PITT</t>
  </si>
  <si>
    <t>SWAIN</t>
  </si>
  <si>
    <t>FORSYTH</t>
  </si>
  <si>
    <t>FRANKLIN</t>
  </si>
  <si>
    <t>GASTON</t>
  </si>
  <si>
    <t>Guilford</t>
  </si>
  <si>
    <t>GRANVILLE</t>
  </si>
  <si>
    <t>GUILFORD</t>
  </si>
  <si>
    <t>HALIFAX</t>
  </si>
  <si>
    <t>HARNETT</t>
  </si>
  <si>
    <t>HAYWOOD</t>
  </si>
  <si>
    <t>HENDERSON</t>
  </si>
  <si>
    <t>Johnston</t>
  </si>
  <si>
    <t>IREDELL</t>
  </si>
  <si>
    <t>LEE</t>
  </si>
  <si>
    <t>LINCOLN</t>
  </si>
  <si>
    <t>MADISON</t>
  </si>
  <si>
    <t>MCDOWELL</t>
  </si>
  <si>
    <t>CHEROKEE</t>
  </si>
  <si>
    <t>LENOIR</t>
  </si>
  <si>
    <t>NEW HANOVER</t>
  </si>
  <si>
    <t>SURRY</t>
  </si>
  <si>
    <t>ONSLOW</t>
  </si>
  <si>
    <t>PENDER</t>
  </si>
  <si>
    <t>VANCE</t>
  </si>
  <si>
    <t>PERSON</t>
  </si>
  <si>
    <t>CHOWAN, PERQUIMANS,</t>
  </si>
  <si>
    <t>POLK</t>
  </si>
  <si>
    <t>JOHNSTON</t>
  </si>
  <si>
    <t>RANDOLPH</t>
  </si>
  <si>
    <t>ROBESON</t>
  </si>
  <si>
    <t>ROCKINGHAM</t>
  </si>
  <si>
    <t>ROWAN</t>
  </si>
  <si>
    <t>RUTHERFORD</t>
  </si>
  <si>
    <t>SAMPSON</t>
  </si>
  <si>
    <t>RICHMOND</t>
  </si>
  <si>
    <t>SCOTLAND</t>
  </si>
  <si>
    <t>MOORE</t>
  </si>
  <si>
    <t>STANLY</t>
  </si>
  <si>
    <t>TRANSYLVANIA</t>
  </si>
  <si>
    <t>UNION</t>
  </si>
  <si>
    <t>WAKE</t>
  </si>
  <si>
    <t>WARREN</t>
  </si>
  <si>
    <t>WAYNE</t>
  </si>
  <si>
    <t>WILSON</t>
  </si>
  <si>
    <t>Regional</t>
  </si>
  <si>
    <t>Municipal</t>
  </si>
  <si>
    <t>NC0103</t>
  </si>
  <si>
    <t>NC0001</t>
  </si>
  <si>
    <t>NC0016</t>
  </si>
  <si>
    <t>NC0002</t>
  </si>
  <si>
    <t>NC0003</t>
  </si>
  <si>
    <t>NC0004</t>
  </si>
  <si>
    <t>NC0017</t>
  </si>
  <si>
    <t>NC0046</t>
  </si>
  <si>
    <t>NC0018</t>
  </si>
  <si>
    <t>NC0019</t>
  </si>
  <si>
    <t>NC0020</t>
  </si>
  <si>
    <t>NC0021</t>
  </si>
  <si>
    <t>NC0022</t>
  </si>
  <si>
    <t>NC0107</t>
  </si>
  <si>
    <t>NC0023</t>
  </si>
  <si>
    <t>NC0071</t>
  </si>
  <si>
    <t>NC0045</t>
  </si>
  <si>
    <t>NC0104</t>
  </si>
  <si>
    <t>NC0024</t>
  </si>
  <si>
    <t>NC0025</t>
  </si>
  <si>
    <t>NC0006</t>
  </si>
  <si>
    <t>NC0026</t>
  </si>
  <si>
    <t>NC0027</t>
  </si>
  <si>
    <t>NC0028</t>
  </si>
  <si>
    <t>NC0029</t>
  </si>
  <si>
    <t>NC0030</t>
  </si>
  <si>
    <t>NC0007</t>
  </si>
  <si>
    <t>NC0031</t>
  </si>
  <si>
    <t>NC0075</t>
  </si>
  <si>
    <t>NC0008</t>
  </si>
  <si>
    <t>NC0032</t>
  </si>
  <si>
    <t>NC0033</t>
  </si>
  <si>
    <t>NC0105</t>
  </si>
  <si>
    <t>NC0099</t>
  </si>
  <si>
    <t>NC0111</t>
  </si>
  <si>
    <t>NC0034</t>
  </si>
  <si>
    <t>NC0035</t>
  </si>
  <si>
    <t>NC0036</t>
  </si>
  <si>
    <t>NC0037</t>
  </si>
  <si>
    <t>NC0102</t>
  </si>
  <si>
    <t>NC0038</t>
  </si>
  <si>
    <t>NC0039</t>
  </si>
  <si>
    <t>NC0079</t>
  </si>
  <si>
    <t>NC0080</t>
  </si>
  <si>
    <t>NC0110</t>
  </si>
  <si>
    <t>NC0040</t>
  </si>
  <si>
    <t>NC0100</t>
  </si>
  <si>
    <t>NC0042</t>
  </si>
  <si>
    <t>NC0106</t>
  </si>
  <si>
    <t>NC0043</t>
  </si>
  <si>
    <t>NC0044</t>
  </si>
  <si>
    <t>NC0083</t>
  </si>
  <si>
    <t>NC0011</t>
  </si>
  <si>
    <t>NC0012</t>
  </si>
  <si>
    <t>NC0047</t>
  </si>
  <si>
    <t>NC0013</t>
  </si>
  <si>
    <t>NC0048</t>
  </si>
  <si>
    <t>NC0108</t>
  </si>
  <si>
    <t>NC0049</t>
  </si>
  <si>
    <t>NC0062</t>
  </si>
  <si>
    <t>NC0109</t>
  </si>
  <si>
    <t>NC0014</t>
  </si>
  <si>
    <t>NC0051</t>
  </si>
  <si>
    <t>NC0041</t>
  </si>
  <si>
    <t>NC0052</t>
  </si>
  <si>
    <t>NC0088</t>
  </si>
  <si>
    <t>NC0053</t>
  </si>
  <si>
    <t>NC0054</t>
  </si>
  <si>
    <t>NC0055</t>
  </si>
  <si>
    <t>NC0056</t>
  </si>
  <si>
    <t>NC0057</t>
  </si>
  <si>
    <t>NC0015</t>
  </si>
  <si>
    <t>NC0058</t>
  </si>
  <si>
    <t>NC0050</t>
  </si>
  <si>
    <t>NC0093</t>
  </si>
  <si>
    <t>NC0059</t>
  </si>
  <si>
    <t>NC0060</t>
  </si>
  <si>
    <t>NC0061</t>
  </si>
  <si>
    <t>NC0063</t>
  </si>
  <si>
    <t>NC0101</t>
  </si>
  <si>
    <t>NC0065</t>
  </si>
  <si>
    <t>NC0066</t>
  </si>
  <si>
    <t>7.4 Children's materials circulation - all formats</t>
  </si>
  <si>
    <t>-1</t>
  </si>
  <si>
    <t>Children's Circulation</t>
  </si>
  <si>
    <t>Physical Item Usage</t>
  </si>
  <si>
    <t>Digital Item Usage</t>
  </si>
  <si>
    <t>Total Collection Use</t>
  </si>
  <si>
    <t>Director's Salary</t>
  </si>
  <si>
    <t xml:space="preserve">ALAMANCE </t>
  </si>
  <si>
    <t xml:space="preserve">ALBEMARLE REGIONAL </t>
  </si>
  <si>
    <t xml:space="preserve">ALEXANDER </t>
  </si>
  <si>
    <t xml:space="preserve">APPALACHIAN REGIONAL </t>
  </si>
  <si>
    <t>AMY REGIONAL</t>
  </si>
  <si>
    <t>BHM REGIONAL</t>
  </si>
  <si>
    <t xml:space="preserve">BLADEN </t>
  </si>
  <si>
    <t>BRASWELL (Nash)</t>
  </si>
  <si>
    <t>CHAPEL HILL</t>
  </si>
  <si>
    <t>CHARLOTTE MECKLENBURG</t>
  </si>
  <si>
    <t>CPC REGIONAL</t>
  </si>
  <si>
    <t>E. ALBEMARLE REGIONAL</t>
  </si>
  <si>
    <t>FARMVILLE</t>
  </si>
  <si>
    <t>FONTANA REGIONAL</t>
  </si>
  <si>
    <t>GIBSONVILLE</t>
  </si>
  <si>
    <t>BROWN (Washington)</t>
  </si>
  <si>
    <t>HAROLD D. COOLEY (Nashville)</t>
  </si>
  <si>
    <t>HICKORY</t>
  </si>
  <si>
    <t>HIGH POINT</t>
  </si>
  <si>
    <t>HOCUTT ELLINGTON (Clayton)</t>
  </si>
  <si>
    <t>JACOB MAUNEY (Kings Mountain)</t>
  </si>
  <si>
    <t xml:space="preserve">MCDOWELL </t>
  </si>
  <si>
    <t>MOORESVILLE</t>
  </si>
  <si>
    <t>NANTAHALA REGIONAL</t>
  </si>
  <si>
    <t>NEUSE REGIONAL</t>
  </si>
  <si>
    <t>NW Regional</t>
  </si>
  <si>
    <t>H. LESLIE PERRY (Vance)</t>
  </si>
  <si>
    <t>PETTIGREW REGIONAL</t>
  </si>
  <si>
    <t>ROANOKE RAPIDS</t>
  </si>
  <si>
    <t>SAMPSON-CLINTON</t>
  </si>
  <si>
    <t>SANDHILL REGIONAL</t>
  </si>
  <si>
    <t xml:space="preserve">PITT (SHEPPARD) </t>
  </si>
  <si>
    <t>SOUTHERN PINES</t>
  </si>
  <si>
    <t>Materials Expenditures</t>
  </si>
  <si>
    <t>5.1 Operating Revenue - Municipal</t>
  </si>
  <si>
    <t>5.2 Operating Revenue - County</t>
  </si>
  <si>
    <t>5.11 Capital Revenue - Local</t>
  </si>
  <si>
    <t>Comparison Library 1:</t>
  </si>
  <si>
    <t>Comparison Library 2:</t>
  </si>
  <si>
    <t>Comparison Library 3:</t>
  </si>
  <si>
    <t>Comparison Library 4:</t>
  </si>
  <si>
    <t>Collection Use Per Capita</t>
  </si>
  <si>
    <t>Collection Use Per Paid Staff Member</t>
  </si>
  <si>
    <t>Collection Use Per Hour</t>
  </si>
  <si>
    <t>Collection Use Per Library Visit</t>
  </si>
  <si>
    <t>Then click on one or more of  these links:</t>
  </si>
  <si>
    <t xml:space="preserve"> Then click this link:</t>
  </si>
  <si>
    <t>Choose Your Library's  from the drop-down menu here:</t>
  </si>
  <si>
    <t>2.4 Total Square footage</t>
  </si>
  <si>
    <t>These charts are licensed under a Creative Commons Attribution-NonCommercial-ShareAlike 4.0 International License, based on the work of Connecticut State Library at  http://libguides.ctstatelibrary.org/dld/stats/chartmakers and Texas State Library and Archives Commission</t>
  </si>
  <si>
    <t>Total Square Footage</t>
  </si>
  <si>
    <t>Total Public Service Hours</t>
  </si>
  <si>
    <t>ALAMANCE COUNTY PUBLIC LIBRARIES</t>
  </si>
  <si>
    <t>ALBEMARLE REGIONAL LIBRARY</t>
  </si>
  <si>
    <t>ALEXANDER COUNTY LIBRARY</t>
  </si>
  <si>
    <t>APPALACHIAN REGIONAL LIBRARY</t>
  </si>
  <si>
    <t>AVERY-MITCHELL-YANCEY REGIONAL LIBRARY</t>
  </si>
  <si>
    <t>BEAUFORT-HYDE-MARTIN REGIONAL LIBRARY</t>
  </si>
  <si>
    <t>BLADEN COUNTY PUBLIC LIBRARY</t>
  </si>
  <si>
    <t>BRUNSWICK COUNTY LIBRARY</t>
  </si>
  <si>
    <t>BUNCOMBE COUNTY PUBLIC LIBRARIES</t>
  </si>
  <si>
    <t>BURKE COUNTY PUBLIC LIBRARY</t>
  </si>
  <si>
    <t>CABARRUS COUNTY PUBLIC LIBRARY</t>
  </si>
  <si>
    <t>CALDWELL COUNTY PUBLIC LIBRARY</t>
  </si>
  <si>
    <t>CASWELL COUNTY PUBLIC LIBRARY</t>
  </si>
  <si>
    <t>CATAWBA COUNTY LIBRARY</t>
  </si>
  <si>
    <t>CHAPEL HILL PUBLIC LIBRARY</t>
  </si>
  <si>
    <t>CHARLOTTE MECKLENBURG LIBRARY</t>
  </si>
  <si>
    <t>CHATHAM COUNTY PUBLIC LIBRARIES</t>
  </si>
  <si>
    <t>CLEVELAND COUNTY MEMORIAL LIBRARY</t>
  </si>
  <si>
    <t>COLUMBUS COUNTY PUBLIC LIBRARY</t>
  </si>
  <si>
    <t>CRAVEN-PAMLICO-CARTERET REGIONAL LIBRARY</t>
  </si>
  <si>
    <t>CUMBERLAND COUNTY PUBLIC LIBRARY &amp; INFORMATION CENTER</t>
  </si>
  <si>
    <t>DAVIDSON COUNTY PUBLIC LIBRARY SYSTEM</t>
  </si>
  <si>
    <t>DAVIE COUNTY PUBLIC LIBRARY</t>
  </si>
  <si>
    <t>DUPLIN COUNTY LIBRARY</t>
  </si>
  <si>
    <t>DURHAM COUNTY LIBRARY</t>
  </si>
  <si>
    <t>EAST ALBEMARLE REGIONAL LIBRARY</t>
  </si>
  <si>
    <t>EDGECOMBE COUNTY MEMORIAL LIBRARY</t>
  </si>
  <si>
    <t>FARMVILLE PUBLIC LIBRARY</t>
  </si>
  <si>
    <t>FONTANA REGIONAL LIBRARY</t>
  </si>
  <si>
    <t>FORSYTH COUNTY PUBLIC LIBRARY</t>
  </si>
  <si>
    <t>FRANKLIN COUNTY LIBRARY</t>
  </si>
  <si>
    <t>GASTON COUNTY PUBLIC LIBRARY</t>
  </si>
  <si>
    <t>GEORGE H. AND LAURA E. BROWN PUBLIC LIBRARY</t>
  </si>
  <si>
    <t>GIBSONVILLE PUBLIC LIBRARY</t>
  </si>
  <si>
    <t>GRANVILLE COUNTY LIBRARY SYSTEM</t>
  </si>
  <si>
    <t>GREENSBORO PUBLIC LIBRARY</t>
  </si>
  <si>
    <t>HALIFAX COUNTY LIBRARY SYSTEM</t>
  </si>
  <si>
    <t>HARNETT COUNTY PUBLIC LIBRARY</t>
  </si>
  <si>
    <t>HAROLD D. COOLEY LIBRARY</t>
  </si>
  <si>
    <t>HAYWOOD COUNTY PUBLIC LIBRARY</t>
  </si>
  <si>
    <t>HENDERSON COUNTY PUBLIC LIBRARY</t>
  </si>
  <si>
    <t>HICKORY PUBLIC LIBRARY</t>
  </si>
  <si>
    <t>HIGH POINT PUBLIC LIBRARY</t>
  </si>
  <si>
    <t>HOCUTT ELLINGTON MEMORIAL LIBRARY</t>
  </si>
  <si>
    <t>IREDELL COUNTY LIBRARY</t>
  </si>
  <si>
    <t>JACOB MAUNEY MEMORIAL LIBRARY</t>
  </si>
  <si>
    <t>LEE COUNTY LIBRARY</t>
  </si>
  <si>
    <t>LINCOLN COUNTY PUBLIC LIBRARY</t>
  </si>
  <si>
    <t>MADISON COUNTY PUBLIC LIBRARY</t>
  </si>
  <si>
    <t>MCDOWELL COUNTY PUBLIC LIBRARY</t>
  </si>
  <si>
    <t>MOORESVILLE PUBLIC LIBRARY</t>
  </si>
  <si>
    <t>NANTAHALA REGIONAL LIBRARY</t>
  </si>
  <si>
    <t>NEUSE REGIONAL LIBRARY</t>
  </si>
  <si>
    <t>NEW HANOVER COUNTY PUBLIC LIBRARY</t>
  </si>
  <si>
    <t>NORTHWESTERN REGIONAL LIBRARY</t>
  </si>
  <si>
    <t>ONSLOW COUNTY PUBLIC LIBRARY</t>
  </si>
  <si>
    <t>PENDER COUNTY PUBLIC LIBRARY</t>
  </si>
  <si>
    <t>PERSON COUNTY PUBLIC LIBRARY</t>
  </si>
  <si>
    <t>PETTIGREW REGIONAL LIBRARY</t>
  </si>
  <si>
    <t>POLK COUNTY PUBLIC LIBRARY</t>
  </si>
  <si>
    <t>PUBLIC LIBRARY OF JOHNSTON COUNTY &amp; SMITHFIELD</t>
  </si>
  <si>
    <t>RANDOLPH PUBLIC LIBRARY</t>
  </si>
  <si>
    <t>ROANOKE RAPIDS PUBLIC LIBRARY</t>
  </si>
  <si>
    <t>ROBESON COUNTY PUBLIC LIBRARY</t>
  </si>
  <si>
    <t>ROCKINGHAM COUNTY PUBLIC LIBRARY</t>
  </si>
  <si>
    <t>ROWAN PUBLIC LIBRARY</t>
  </si>
  <si>
    <t>RUTHERFORD COUNTY LIBRARY</t>
  </si>
  <si>
    <t>SANDHILL REGIONAL LIBRARY SYSTEM</t>
  </si>
  <si>
    <t>SCOTLAND COUNTY MEMORIAL LIBRARY</t>
  </si>
  <si>
    <t>SHEPPARD MEMORIAL LIBRARY</t>
  </si>
  <si>
    <t>SOUTHERN PINES PUBLIC LIBRARY</t>
  </si>
  <si>
    <t>STANLY COUNTY PUBLIC LIBRARY</t>
  </si>
  <si>
    <t>TRANSYLVANIA COUNTY LIBRARY</t>
  </si>
  <si>
    <t>UNION COUNTY PUBLIC LIBRARY</t>
  </si>
  <si>
    <t>WAKE COUNTY PUBLIC LIBRARIES</t>
  </si>
  <si>
    <t>WARREN COUNTY MEMORIAL LIBRARY</t>
  </si>
  <si>
    <t>WAYNE COUNTY PUBLIC LIBRARY</t>
  </si>
  <si>
    <t>WILSON COUNTY PUBLIC LIBRARY</t>
  </si>
  <si>
    <t>BRASWELL MEMORIAL LIBRARY</t>
  </si>
  <si>
    <t>ORANGE COUNTY PUBLIC LIBRARY</t>
  </si>
  <si>
    <t>H. LESLIE PERRY MEMORIAL LIBRARY</t>
  </si>
  <si>
    <t>SAMPSON-CLINTON PUBLIC LIBRARY</t>
  </si>
  <si>
    <t>Fiscal Year 2020 Public Library Data</t>
  </si>
  <si>
    <t>Customized Library Data and Comparison Charts for Fiscal Year 2020</t>
  </si>
  <si>
    <t>For more information contact: Amanda Johnson, Data Analysis &amp; Communication Consultant, State Library of North Carolina
amanda.johnson@ncdcr.gov</t>
  </si>
  <si>
    <t>rev 12.10.20vg</t>
  </si>
  <si>
    <t>2020 Quick Report</t>
  </si>
  <si>
    <t>2020 Charts</t>
  </si>
  <si>
    <t>2020 Comparison Charts</t>
  </si>
  <si>
    <t>Library Comparison Charts for Fiscal Year (FY) 2020</t>
  </si>
  <si>
    <t>Library Data Charts for Fiscal Year (FY) 2020</t>
  </si>
  <si>
    <t>NW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</si>
</sst>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[&lt;=9999999]###\-####;\(###\)\ ###\-####"/>
    <numFmt numFmtId="167" formatCode="[&lt;=999999999999999]###\-####;\(###\)\ ###\-####\ \x#####"/>
    <numFmt numFmtId="168" formatCode="[&lt;=99999]00000;[&lt;=999999999]00000\-0000"/>
    <numFmt numFmtId="169" formatCode="_(* #,##0_);_(* \(#,##0\);_(* &quot;-&quot;??_);_(@_)"/>
    <numFmt numFmtId="170" formatCode="&quot;$&quot;#,##0.00"/>
  </numFmts>
  <fonts count="114">
    <font>
      <sz val="11"/>
      <color theme="1"/>
      <name val="Book Antiqua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Book Antiqua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Book Antiqua"/>
      <family val="2"/>
      <scheme val="minor"/>
    </font>
    <font>
      <b/>
      <sz val="16"/>
      <color theme="1"/>
      <name val="Book Antiqua"/>
      <family val="2"/>
      <scheme val="minor"/>
    </font>
    <font>
      <b/>
      <sz val="11"/>
      <color theme="1"/>
      <name val="Calibri"/>
      <family val="2"/>
    </font>
    <font>
      <sz val="11"/>
      <name val="Book Antiqua"/>
      <family val="2"/>
      <scheme val="minor"/>
    </font>
    <font>
      <b/>
      <sz val="22"/>
      <color theme="1"/>
      <name val="Book Antiqua"/>
      <family val="2"/>
      <scheme val="minor"/>
    </font>
    <font>
      <b/>
      <sz val="18"/>
      <color theme="1"/>
      <name val="Book Antiqua"/>
      <family val="2"/>
      <scheme val="minor"/>
    </font>
    <font>
      <b/>
      <u/>
      <sz val="16"/>
      <color theme="10"/>
      <name val="Calibri"/>
      <family val="2"/>
    </font>
    <font>
      <b/>
      <sz val="11"/>
      <color theme="1"/>
      <name val="Book Antiqua"/>
      <family val="2"/>
      <scheme val="minor"/>
    </font>
    <font>
      <b/>
      <sz val="18"/>
      <color theme="3"/>
      <name val="Lucida Sans"/>
      <family val="2"/>
      <scheme val="major"/>
    </font>
    <font>
      <b/>
      <sz val="15"/>
      <color theme="3"/>
      <name val="Book Antiqua"/>
      <family val="2"/>
      <scheme val="minor"/>
    </font>
    <font>
      <b/>
      <sz val="13"/>
      <color theme="3"/>
      <name val="Book Antiqua"/>
      <family val="2"/>
      <scheme val="minor"/>
    </font>
    <font>
      <b/>
      <sz val="11"/>
      <color theme="3"/>
      <name val="Book Antiqua"/>
      <family val="2"/>
      <scheme val="minor"/>
    </font>
    <font>
      <sz val="11"/>
      <color rgb="FF006100"/>
      <name val="Book Antiqua"/>
      <family val="2"/>
      <scheme val="minor"/>
    </font>
    <font>
      <sz val="11"/>
      <color rgb="FF9C0006"/>
      <name val="Book Antiqua"/>
      <family val="2"/>
      <scheme val="minor"/>
    </font>
    <font>
      <sz val="11"/>
      <color rgb="FF9C6500"/>
      <name val="Book Antiqua"/>
      <family val="2"/>
      <scheme val="minor"/>
    </font>
    <font>
      <sz val="11"/>
      <color rgb="FF3F3F76"/>
      <name val="Book Antiqua"/>
      <family val="2"/>
      <scheme val="minor"/>
    </font>
    <font>
      <b/>
      <sz val="11"/>
      <color rgb="FF3F3F3F"/>
      <name val="Book Antiqua"/>
      <family val="2"/>
      <scheme val="minor"/>
    </font>
    <font>
      <b/>
      <sz val="11"/>
      <color rgb="FFFA7D00"/>
      <name val="Book Antiqua"/>
      <family val="2"/>
      <scheme val="minor"/>
    </font>
    <font>
      <sz val="11"/>
      <color rgb="FFFA7D00"/>
      <name val="Book Antiqua"/>
      <family val="2"/>
      <scheme val="minor"/>
    </font>
    <font>
      <b/>
      <sz val="11"/>
      <color theme="0"/>
      <name val="Book Antiqua"/>
      <family val="2"/>
      <scheme val="minor"/>
    </font>
    <font>
      <sz val="11"/>
      <color rgb="FFFF0000"/>
      <name val="Book Antiqua"/>
      <family val="2"/>
      <scheme val="minor"/>
    </font>
    <font>
      <i/>
      <sz val="11"/>
      <color rgb="FF7F7F7F"/>
      <name val="Book Antiqua"/>
      <family val="2"/>
      <scheme val="minor"/>
    </font>
    <font>
      <sz val="11"/>
      <color theme="0"/>
      <name val="Book Antiqua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sz val="14"/>
      <color theme="1"/>
      <name val="Book Antiqua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2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0" tint="-0.34998626667073579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u/>
      <sz val="10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theme="1"/>
      <name val="Book Antiqua"/>
      <family val="2"/>
      <scheme val="minor"/>
    </font>
    <font>
      <sz val="9"/>
      <color theme="1"/>
      <name val="Book Antiqua"/>
      <family val="2"/>
      <scheme val="minor"/>
    </font>
    <font>
      <b/>
      <sz val="8"/>
      <color theme="0" tint="-0.499984740745262"/>
      <name val="Book Antiqua"/>
      <family val="1"/>
    </font>
    <font>
      <sz val="8"/>
      <color theme="0" tint="-0.499984740745262"/>
      <name val="Book Antiqua"/>
      <family val="1"/>
    </font>
    <font>
      <sz val="14"/>
      <name val="Arial Narrow"/>
      <family val="2"/>
    </font>
    <font>
      <i/>
      <sz val="8"/>
      <color theme="1"/>
      <name val="Book Antiqua"/>
      <family val="1"/>
      <scheme val="minor"/>
    </font>
    <font>
      <b/>
      <sz val="14"/>
      <color theme="1"/>
      <name val="Book Antiqua"/>
      <family val="1"/>
    </font>
    <font>
      <u/>
      <sz val="8"/>
      <color theme="10"/>
      <name val="Calibri"/>
      <family val="2"/>
    </font>
    <font>
      <b/>
      <sz val="8"/>
      <color theme="1"/>
      <name val="Book Antiqua"/>
      <family val="2"/>
      <scheme val="minor"/>
    </font>
    <font>
      <sz val="8"/>
      <color theme="1"/>
      <name val="Book Antiqua"/>
      <family val="2"/>
      <scheme val="minor"/>
    </font>
    <font>
      <u/>
      <sz val="8"/>
      <color theme="0" tint="-0.34998626667073579"/>
      <name val="Calibri"/>
      <family val="2"/>
    </font>
    <font>
      <sz val="8"/>
      <color theme="1"/>
      <name val="Book Antiqua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theme="0" tint="-4.9989318521683403E-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ook Antiqua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Book Antiqua"/>
      <family val="2"/>
      <scheme val="minor"/>
    </font>
    <font>
      <b/>
      <sz val="14"/>
      <color theme="0"/>
      <name val="Arial"/>
      <family val="2"/>
    </font>
    <font>
      <b/>
      <sz val="26"/>
      <color theme="0"/>
      <name val="Arial"/>
      <family val="2"/>
    </font>
    <font>
      <b/>
      <sz val="16"/>
      <color rgb="FF214F6B"/>
      <name val="Calibri"/>
      <family val="2"/>
    </font>
    <font>
      <sz val="11"/>
      <color rgb="FF214F6B"/>
      <name val="Calibri"/>
      <family val="2"/>
    </font>
    <font>
      <b/>
      <sz val="14"/>
      <color rgb="FF214F6B"/>
      <name val="Book Antiqua"/>
      <family val="1"/>
    </font>
    <font>
      <sz val="9"/>
      <color theme="0"/>
      <name val="Book Antiqua"/>
      <family val="2"/>
      <scheme val="minor"/>
    </font>
    <font>
      <sz val="8"/>
      <color theme="0"/>
      <name val="Book Antiqua"/>
      <family val="2"/>
      <scheme val="minor"/>
    </font>
    <font>
      <b/>
      <sz val="20"/>
      <color theme="0"/>
      <name val="Calibri"/>
      <family val="2"/>
    </font>
    <font>
      <b/>
      <sz val="16"/>
      <color theme="0"/>
      <name val="Calibri"/>
      <family val="2"/>
    </font>
    <font>
      <u/>
      <sz val="14"/>
      <color theme="0"/>
      <name val="Calibri"/>
      <family val="2"/>
    </font>
    <font>
      <b/>
      <sz val="14"/>
      <color theme="0"/>
      <name val="Calibri"/>
      <family val="2"/>
    </font>
    <font>
      <b/>
      <sz val="8"/>
      <color theme="0"/>
      <name val="Calibri"/>
      <family val="2"/>
    </font>
    <font>
      <b/>
      <sz val="8"/>
      <color theme="0"/>
      <name val="Book Antiqua"/>
      <family val="1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theme="0"/>
      <name val="Book Antiqua"/>
      <family val="1"/>
    </font>
    <font>
      <sz val="20"/>
      <color theme="0"/>
      <name val="Book Antiqua"/>
      <family val="2"/>
      <scheme val="minor"/>
    </font>
    <font>
      <sz val="20"/>
      <color theme="0"/>
      <name val="Calibri"/>
      <family val="2"/>
    </font>
    <font>
      <u/>
      <sz val="20"/>
      <color theme="0"/>
      <name val="Calibri"/>
      <family val="2"/>
    </font>
    <font>
      <b/>
      <u/>
      <sz val="11"/>
      <color theme="10"/>
      <name val="Calibri"/>
      <family val="2"/>
    </font>
    <font>
      <b/>
      <sz val="22"/>
      <color rgb="FF214F6B"/>
      <name val="Gotham Black"/>
      <family val="3"/>
    </font>
    <font>
      <b/>
      <sz val="24"/>
      <color rgb="FF214F6B"/>
      <name val="Gotham Black"/>
      <family val="3"/>
    </font>
    <font>
      <sz val="14"/>
      <color rgb="FF214F6B"/>
      <name val="Calibri"/>
      <family val="2"/>
    </font>
    <font>
      <sz val="16"/>
      <color rgb="FF214F6B"/>
      <name val="Calibri"/>
      <family val="2"/>
    </font>
    <font>
      <sz val="12"/>
      <color rgb="FF214F6B"/>
      <name val="Calibri"/>
      <family val="2"/>
    </font>
    <font>
      <b/>
      <sz val="22"/>
      <color theme="0"/>
      <name val="Calibri"/>
      <family val="2"/>
    </font>
    <font>
      <sz val="12"/>
      <color theme="0"/>
      <name val="Calibri"/>
      <family val="2"/>
    </font>
    <font>
      <u/>
      <sz val="10"/>
      <color theme="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4F0EE"/>
        <bgColor indexed="64"/>
      </patternFill>
    </fill>
    <fill>
      <patternFill patternType="solid">
        <fgColor rgb="FF214F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214F6B"/>
      </left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thin">
        <color rgb="FF214F6B"/>
      </left>
      <right/>
      <top/>
      <bottom/>
      <diagonal/>
    </border>
    <border>
      <left style="thin">
        <color rgb="FF214F6B"/>
      </left>
      <right style="double">
        <color indexed="64"/>
      </right>
      <top style="thin">
        <color rgb="FF214F6B"/>
      </top>
      <bottom style="thin">
        <color rgb="FF214F6B"/>
      </bottom>
      <diagonal/>
    </border>
    <border>
      <left style="double">
        <color indexed="64"/>
      </left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thin">
        <color rgb="FF214F6B"/>
      </left>
      <right/>
      <top style="thin">
        <color rgb="FF214F6B"/>
      </top>
      <bottom style="thin">
        <color rgb="FF214F6B"/>
      </bottom>
      <diagonal/>
    </border>
    <border>
      <left/>
      <right/>
      <top style="thin">
        <color rgb="FF214F6B"/>
      </top>
      <bottom style="thin">
        <color rgb="FF214F6B"/>
      </bottom>
      <diagonal/>
    </border>
    <border>
      <left/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204E6B"/>
      </top>
      <bottom/>
      <diagonal/>
    </border>
    <border>
      <left/>
      <right/>
      <top/>
      <bottom style="medium">
        <color rgb="FF204E6B"/>
      </bottom>
      <diagonal/>
    </border>
  </borders>
  <cellStyleXfs count="75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3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2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14" fontId="28" fillId="0" borderId="0" applyFont="0" applyFill="0" applyBorder="0" applyAlignment="0" applyProtection="0"/>
    <xf numFmtId="20" fontId="28" fillId="0" borderId="0" applyFont="0" applyFill="0" applyBorder="0" applyAlignment="0" applyProtection="0"/>
    <xf numFmtId="22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9" fontId="28" fillId="0" borderId="0" applyFont="0" applyFill="0" applyBorder="0" applyAlignment="0" applyProtection="0"/>
    <xf numFmtId="18" fontId="28" fillId="0" borderId="0" applyFont="0" applyFill="0" applyBorder="0" applyAlignment="0" applyProtection="0"/>
    <xf numFmtId="0" fontId="28" fillId="0" borderId="0" applyNumberFormat="0" applyFont="0" applyFill="0" applyBorder="0" applyProtection="0">
      <alignment horizontal="left" vertical="center"/>
    </xf>
    <xf numFmtId="0" fontId="28" fillId="0" borderId="0" applyNumberFormat="0" applyFont="0" applyFill="0" applyBorder="0" applyProtection="0">
      <alignment horizontal="left" vertical="center"/>
    </xf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30" fillId="0" borderId="0"/>
    <xf numFmtId="4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44" fontId="3" fillId="0" borderId="0" applyFont="0" applyFill="0" applyBorder="0" applyAlignment="0" applyProtection="0"/>
    <xf numFmtId="0" fontId="53" fillId="0" borderId="0"/>
    <xf numFmtId="0" fontId="53" fillId="0" borderId="0"/>
    <xf numFmtId="0" fontId="33" fillId="0" borderId="0"/>
    <xf numFmtId="0" fontId="68" fillId="0" borderId="0"/>
    <xf numFmtId="0" fontId="33" fillId="0" borderId="0"/>
    <xf numFmtId="0" fontId="83" fillId="0" borderId="0"/>
  </cellStyleXfs>
  <cellXfs count="390">
    <xf numFmtId="0" fontId="0" fillId="0" borderId="0" xfId="0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18" xfId="0" applyFont="1" applyBorder="1"/>
    <xf numFmtId="0" fontId="35" fillId="0" borderId="20" xfId="0" applyFont="1" applyBorder="1"/>
    <xf numFmtId="3" fontId="35" fillId="0" borderId="21" xfId="0" applyNumberFormat="1" applyFont="1" applyBorder="1"/>
    <xf numFmtId="3" fontId="34" fillId="0" borderId="21" xfId="0" applyNumberFormat="1" applyFont="1" applyBorder="1"/>
    <xf numFmtId="4" fontId="35" fillId="0" borderId="21" xfId="0" applyNumberFormat="1" applyFont="1" applyBorder="1"/>
    <xf numFmtId="0" fontId="35" fillId="0" borderId="21" xfId="0" applyFont="1" applyBorder="1"/>
    <xf numFmtId="0" fontId="39" fillId="0" borderId="20" xfId="0" applyFont="1" applyBorder="1"/>
    <xf numFmtId="164" fontId="35" fillId="0" borderId="21" xfId="0" applyNumberFormat="1" applyFont="1" applyBorder="1"/>
    <xf numFmtId="0" fontId="35" fillId="0" borderId="22" xfId="0" applyFont="1" applyBorder="1"/>
    <xf numFmtId="0" fontId="54" fillId="35" borderId="24" xfId="70" applyFont="1" applyFill="1" applyBorder="1" applyAlignment="1">
      <alignment horizontal="center"/>
    </xf>
    <xf numFmtId="0" fontId="54" fillId="0" borderId="14" xfId="70" applyFont="1" applyBorder="1"/>
    <xf numFmtId="1" fontId="54" fillId="0" borderId="14" xfId="70" applyNumberFormat="1" applyFont="1" applyBorder="1" applyAlignment="1">
      <alignment horizontal="right"/>
    </xf>
    <xf numFmtId="0" fontId="0" fillId="0" borderId="0" xfId="0" pivotButton="1"/>
    <xf numFmtId="1" fontId="0" fillId="0" borderId="0" xfId="0" applyNumberFormat="1" applyAlignment="1">
      <alignment horizontal="left"/>
    </xf>
    <xf numFmtId="3" fontId="35" fillId="0" borderId="23" xfId="0" applyNumberFormat="1" applyFont="1" applyBorder="1"/>
    <xf numFmtId="169" fontId="35" fillId="0" borderId="21" xfId="1" applyNumberFormat="1" applyFont="1" applyBorder="1"/>
    <xf numFmtId="43" fontId="35" fillId="0" borderId="21" xfId="1" applyFont="1" applyBorder="1"/>
    <xf numFmtId="169" fontId="35" fillId="0" borderId="23" xfId="1" applyNumberFormat="1" applyFont="1" applyBorder="1"/>
    <xf numFmtId="164" fontId="34" fillId="0" borderId="21" xfId="0" applyNumberFormat="1" applyFont="1" applyBorder="1"/>
    <xf numFmtId="170" fontId="35" fillId="0" borderId="21" xfId="1" applyNumberFormat="1" applyFont="1" applyBorder="1"/>
    <xf numFmtId="164" fontId="35" fillId="0" borderId="23" xfId="0" applyNumberFormat="1" applyFont="1" applyBorder="1"/>
    <xf numFmtId="4" fontId="35" fillId="0" borderId="23" xfId="0" applyNumberFormat="1" applyFont="1" applyBorder="1"/>
    <xf numFmtId="170" fontId="35" fillId="0" borderId="21" xfId="0" applyNumberFormat="1" applyFont="1" applyBorder="1"/>
    <xf numFmtId="9" fontId="35" fillId="0" borderId="21" xfId="3" applyFont="1" applyBorder="1"/>
    <xf numFmtId="0" fontId="35" fillId="0" borderId="21" xfId="0" applyFont="1" applyBorder="1" applyAlignment="1">
      <alignment horizontal="right"/>
    </xf>
    <xf numFmtId="0" fontId="35" fillId="0" borderId="23" xfId="0" applyFont="1" applyBorder="1"/>
    <xf numFmtId="3" fontId="35" fillId="0" borderId="21" xfId="0" applyNumberFormat="1" applyFont="1" applyBorder="1" applyAlignment="1">
      <alignment horizontal="right"/>
    </xf>
    <xf numFmtId="169" fontId="35" fillId="0" borderId="21" xfId="1" applyNumberFormat="1" applyFont="1" applyBorder="1" applyAlignment="1">
      <alignment horizontal="right"/>
    </xf>
    <xf numFmtId="169" fontId="67" fillId="0" borderId="14" xfId="1" applyNumberFormat="1" applyFont="1" applyBorder="1" applyAlignment="1">
      <alignment horizontal="right" wrapText="1"/>
    </xf>
    <xf numFmtId="0" fontId="67" fillId="35" borderId="24" xfId="67" applyFont="1" applyFill="1" applyBorder="1" applyAlignment="1">
      <alignment horizontal="center"/>
    </xf>
    <xf numFmtId="1" fontId="67" fillId="0" borderId="14" xfId="67" applyNumberFormat="1" applyFont="1" applyBorder="1" applyAlignment="1">
      <alignment horizontal="right" wrapText="1"/>
    </xf>
    <xf numFmtId="3" fontId="67" fillId="0" borderId="14" xfId="67" applyNumberFormat="1" applyFont="1" applyBorder="1" applyAlignment="1">
      <alignment horizontal="right" wrapText="1"/>
    </xf>
    <xf numFmtId="169" fontId="70" fillId="33" borderId="13" xfId="1" applyNumberFormat="1" applyFont="1" applyFill="1" applyBorder="1" applyAlignment="1">
      <alignment horizontal="center" wrapText="1"/>
    </xf>
    <xf numFmtId="2" fontId="70" fillId="33" borderId="13" xfId="1" applyNumberFormat="1" applyFont="1" applyFill="1" applyBorder="1" applyAlignment="1">
      <alignment horizontal="center" wrapText="1"/>
    </xf>
    <xf numFmtId="169" fontId="71" fillId="0" borderId="0" xfId="1" applyNumberFormat="1" applyFont="1"/>
    <xf numFmtId="2" fontId="71" fillId="0" borderId="0" xfId="1" applyNumberFormat="1" applyFont="1"/>
    <xf numFmtId="169" fontId="70" fillId="33" borderId="13" xfId="1" applyNumberFormat="1" applyFont="1" applyFill="1" applyBorder="1" applyAlignment="1">
      <alignment horizontal="left" wrapText="1"/>
    </xf>
    <xf numFmtId="2" fontId="70" fillId="33" borderId="13" xfId="1" applyNumberFormat="1" applyFont="1" applyFill="1" applyBorder="1" applyAlignment="1">
      <alignment horizontal="left" wrapText="1"/>
    </xf>
    <xf numFmtId="0" fontId="67" fillId="35" borderId="24" xfId="73" applyFont="1" applyFill="1" applyBorder="1" applyAlignment="1">
      <alignment horizontal="center"/>
    </xf>
    <xf numFmtId="3" fontId="67" fillId="0" borderId="14" xfId="73" applyNumberFormat="1" applyFont="1" applyBorder="1" applyAlignment="1">
      <alignment horizontal="right" wrapText="1"/>
    </xf>
    <xf numFmtId="0" fontId="33" fillId="0" borderId="0" xfId="73"/>
    <xf numFmtId="3" fontId="67" fillId="0" borderId="14" xfId="73" applyNumberFormat="1" applyFont="1" applyBorder="1" applyAlignment="1">
      <alignment horizontal="left" wrapText="1"/>
    </xf>
    <xf numFmtId="3" fontId="43" fillId="0" borderId="0" xfId="0" applyNumberFormat="1" applyFont="1" applyAlignment="1">
      <alignment horizontal="right" wrapText="1"/>
    </xf>
    <xf numFmtId="3" fontId="43" fillId="0" borderId="0" xfId="0" pivotButton="1" applyNumberFormat="1" applyFont="1" applyAlignment="1">
      <alignment horizontal="right" wrapText="1"/>
    </xf>
    <xf numFmtId="3" fontId="43" fillId="0" borderId="0" xfId="0" applyNumberFormat="1" applyFont="1" applyAlignment="1">
      <alignment horizontal="left" wrapText="1"/>
    </xf>
    <xf numFmtId="3" fontId="43" fillId="0" borderId="0" xfId="0" pivotButton="1" applyNumberFormat="1" applyFont="1" applyAlignment="1">
      <alignment horizontal="left" wrapText="1"/>
    </xf>
    <xf numFmtId="169" fontId="70" fillId="33" borderId="28" xfId="1" applyNumberFormat="1" applyFont="1" applyFill="1" applyBorder="1" applyAlignment="1">
      <alignment horizontal="center" wrapText="1"/>
    </xf>
    <xf numFmtId="2" fontId="70" fillId="33" borderId="28" xfId="1" applyNumberFormat="1" applyFont="1" applyFill="1" applyBorder="1" applyAlignment="1">
      <alignment horizontal="center" wrapText="1"/>
    </xf>
    <xf numFmtId="169" fontId="67" fillId="0" borderId="29" xfId="1" applyNumberFormat="1" applyFont="1" applyBorder="1" applyAlignment="1">
      <alignment horizontal="right" wrapText="1"/>
    </xf>
    <xf numFmtId="169" fontId="72" fillId="0" borderId="14" xfId="1" applyNumberFormat="1" applyFont="1" applyBorder="1" applyAlignment="1">
      <alignment horizontal="right" wrapText="1"/>
    </xf>
    <xf numFmtId="164" fontId="72" fillId="0" borderId="14" xfId="71" applyNumberFormat="1" applyFont="1" applyBorder="1" applyAlignment="1">
      <alignment horizontal="right" wrapText="1"/>
    </xf>
    <xf numFmtId="0" fontId="72" fillId="0" borderId="14" xfId="71" applyFont="1" applyBorder="1" applyAlignment="1">
      <alignment horizontal="center" wrapText="1"/>
    </xf>
    <xf numFmtId="0" fontId="72" fillId="0" borderId="14" xfId="72" applyFont="1" applyBorder="1" applyAlignment="1">
      <alignment horizontal="center" wrapText="1"/>
    </xf>
    <xf numFmtId="0" fontId="72" fillId="0" borderId="14" xfId="72" applyFont="1" applyBorder="1"/>
    <xf numFmtId="0" fontId="72" fillId="0" borderId="14" xfId="72" applyFont="1" applyBorder="1" applyAlignment="1">
      <alignment wrapText="1"/>
    </xf>
    <xf numFmtId="0" fontId="72" fillId="0" borderId="14" xfId="72" applyFont="1" applyBorder="1" applyAlignment="1">
      <alignment horizontal="center"/>
    </xf>
    <xf numFmtId="43" fontId="72" fillId="0" borderId="14" xfId="1" applyFont="1" applyBorder="1" applyAlignment="1">
      <alignment horizontal="right" wrapText="1"/>
    </xf>
    <xf numFmtId="164" fontId="72" fillId="0" borderId="14" xfId="1" applyNumberFormat="1" applyFont="1" applyBorder="1" applyAlignment="1">
      <alignment horizontal="right" wrapText="1"/>
    </xf>
    <xf numFmtId="0" fontId="70" fillId="33" borderId="28" xfId="45" applyFont="1" applyFill="1" applyBorder="1" applyAlignment="1">
      <alignment horizontal="center"/>
    </xf>
    <xf numFmtId="0" fontId="70" fillId="33" borderId="28" xfId="45" applyFont="1" applyFill="1" applyBorder="1" applyAlignment="1">
      <alignment horizontal="center" wrapText="1"/>
    </xf>
    <xf numFmtId="2" fontId="70" fillId="33" borderId="28" xfId="45" applyNumberFormat="1" applyFont="1" applyFill="1" applyBorder="1" applyAlignment="1">
      <alignment horizontal="center" wrapText="1"/>
    </xf>
    <xf numFmtId="10" fontId="70" fillId="33" borderId="28" xfId="3" applyNumberFormat="1" applyFont="1" applyFill="1" applyBorder="1" applyAlignment="1">
      <alignment horizontal="center" wrapText="1"/>
    </xf>
    <xf numFmtId="2" fontId="70" fillId="34" borderId="28" xfId="1" applyNumberFormat="1" applyFont="1" applyFill="1" applyBorder="1" applyAlignment="1">
      <alignment horizontal="center" wrapText="1"/>
    </xf>
    <xf numFmtId="169" fontId="70" fillId="33" borderId="2" xfId="1" applyNumberFormat="1" applyFont="1" applyFill="1" applyBorder="1" applyAlignment="1">
      <alignment horizontal="center" wrapText="1"/>
    </xf>
    <xf numFmtId="0" fontId="70" fillId="33" borderId="2" xfId="45" applyFont="1" applyFill="1" applyBorder="1" applyAlignment="1">
      <alignment horizontal="center" wrapText="1"/>
    </xf>
    <xf numFmtId="43" fontId="70" fillId="33" borderId="28" xfId="1" applyFont="1" applyFill="1" applyBorder="1" applyAlignment="1">
      <alignment horizontal="center" wrapText="1"/>
    </xf>
    <xf numFmtId="0" fontId="71" fillId="0" borderId="0" xfId="59" applyFont="1">
      <alignment horizontal="left" vertical="center"/>
    </xf>
    <xf numFmtId="164" fontId="71" fillId="0" borderId="0" xfId="45" applyNumberFormat="1" applyFont="1"/>
    <xf numFmtId="170" fontId="70" fillId="0" borderId="0" xfId="45" applyNumberFormat="1" applyFont="1"/>
    <xf numFmtId="10" fontId="70" fillId="0" borderId="0" xfId="3" applyNumberFormat="1" applyFont="1"/>
    <xf numFmtId="2" fontId="70" fillId="0" borderId="0" xfId="48" applyNumberFormat="1" applyFont="1"/>
    <xf numFmtId="43" fontId="70" fillId="0" borderId="0" xfId="1" applyFont="1"/>
    <xf numFmtId="164" fontId="70" fillId="0" borderId="0" xfId="48" applyNumberFormat="1" applyFont="1"/>
    <xf numFmtId="169" fontId="70" fillId="0" borderId="0" xfId="1" applyNumberFormat="1" applyFont="1"/>
    <xf numFmtId="169" fontId="71" fillId="0" borderId="0" xfId="1" applyNumberFormat="1" applyFont="1" applyAlignment="1">
      <alignment wrapText="1"/>
    </xf>
    <xf numFmtId="2" fontId="71" fillId="0" borderId="0" xfId="45" applyNumberFormat="1" applyFont="1"/>
    <xf numFmtId="10" fontId="71" fillId="0" borderId="0" xfId="3" applyNumberFormat="1" applyFont="1"/>
    <xf numFmtId="2" fontId="71" fillId="0" borderId="0" xfId="48" applyNumberFormat="1" applyFont="1"/>
    <xf numFmtId="169" fontId="71" fillId="0" borderId="0" xfId="1" applyNumberFormat="1" applyFont="1" applyAlignment="1">
      <alignment horizontal="right" vertical="center"/>
    </xf>
    <xf numFmtId="2" fontId="71" fillId="0" borderId="0" xfId="1" applyNumberFormat="1" applyFont="1" applyAlignment="1">
      <alignment horizontal="left" vertical="center"/>
    </xf>
    <xf numFmtId="0" fontId="71" fillId="0" borderId="0" xfId="59" applyFont="1" applyAlignment="1">
      <alignment horizontal="center" vertical="center"/>
    </xf>
    <xf numFmtId="169" fontId="71" fillId="0" borderId="0" xfId="1" applyNumberFormat="1" applyFont="1" applyAlignment="1">
      <alignment horizontal="left" vertical="center"/>
    </xf>
    <xf numFmtId="14" fontId="71" fillId="0" borderId="0" xfId="52" applyFont="1"/>
    <xf numFmtId="169" fontId="70" fillId="33" borderId="25" xfId="1" applyNumberFormat="1" applyFont="1" applyFill="1" applyBorder="1" applyAlignment="1">
      <alignment horizontal="left"/>
    </xf>
    <xf numFmtId="169" fontId="70" fillId="33" borderId="26" xfId="1" applyNumberFormat="1" applyFont="1" applyFill="1" applyBorder="1" applyAlignment="1">
      <alignment horizontal="left"/>
    </xf>
    <xf numFmtId="169" fontId="70" fillId="33" borderId="27" xfId="1" applyNumberFormat="1" applyFont="1" applyFill="1" applyBorder="1" applyAlignment="1">
      <alignment horizontal="left"/>
    </xf>
    <xf numFmtId="0" fontId="70" fillId="33" borderId="13" xfId="45" applyFont="1" applyFill="1" applyBorder="1" applyAlignment="1">
      <alignment horizontal="center"/>
    </xf>
    <xf numFmtId="0" fontId="70" fillId="33" borderId="13" xfId="45" applyFont="1" applyFill="1" applyBorder="1" applyAlignment="1">
      <alignment horizontal="center" wrapText="1"/>
    </xf>
    <xf numFmtId="2" fontId="70" fillId="33" borderId="13" xfId="45" applyNumberFormat="1" applyFont="1" applyFill="1" applyBorder="1" applyAlignment="1">
      <alignment horizontal="center" wrapText="1"/>
    </xf>
    <xf numFmtId="10" fontId="70" fillId="33" borderId="13" xfId="3" applyNumberFormat="1" applyFont="1" applyFill="1" applyBorder="1" applyAlignment="1">
      <alignment horizontal="center" wrapText="1"/>
    </xf>
    <xf numFmtId="2" fontId="70" fillId="34" borderId="13" xfId="1" applyNumberFormat="1" applyFont="1" applyFill="1" applyBorder="1" applyAlignment="1">
      <alignment horizontal="center" wrapText="1"/>
    </xf>
    <xf numFmtId="43" fontId="70" fillId="33" borderId="13" xfId="1" applyFont="1" applyFill="1" applyBorder="1" applyAlignment="1">
      <alignment horizontal="center" wrapText="1"/>
    </xf>
    <xf numFmtId="0" fontId="70" fillId="0" borderId="0" xfId="0" applyFont="1" applyAlignment="1">
      <alignment horizontal="right"/>
    </xf>
    <xf numFmtId="0" fontId="73" fillId="0" borderId="1" xfId="0" applyFont="1" applyBorder="1" applyAlignment="1">
      <alignment horizontal="right" vertical="center"/>
    </xf>
    <xf numFmtId="169" fontId="70" fillId="33" borderId="13" xfId="1" applyNumberFormat="1" applyFont="1" applyFill="1" applyBorder="1" applyAlignment="1">
      <alignment horizontal="left"/>
    </xf>
    <xf numFmtId="0" fontId="70" fillId="33" borderId="13" xfId="45" applyFont="1" applyFill="1" applyBorder="1" applyAlignment="1">
      <alignment horizontal="left" wrapText="1"/>
    </xf>
    <xf numFmtId="2" fontId="70" fillId="33" borderId="13" xfId="45" applyNumberFormat="1" applyFont="1" applyFill="1" applyBorder="1" applyAlignment="1">
      <alignment horizontal="left" wrapText="1"/>
    </xf>
    <xf numFmtId="10" fontId="70" fillId="33" borderId="13" xfId="3" applyNumberFormat="1" applyFont="1" applyFill="1" applyBorder="1" applyAlignment="1">
      <alignment horizontal="left" wrapText="1"/>
    </xf>
    <xf numFmtId="170" fontId="70" fillId="33" borderId="13" xfId="45" applyNumberFormat="1" applyFont="1" applyFill="1" applyBorder="1" applyAlignment="1">
      <alignment horizontal="left" wrapText="1"/>
    </xf>
    <xf numFmtId="169" fontId="70" fillId="33" borderId="13" xfId="1" applyNumberFormat="1" applyFont="1" applyFill="1" applyBorder="1" applyAlignment="1">
      <alignment horizontal="right" wrapText="1"/>
    </xf>
    <xf numFmtId="2" fontId="70" fillId="34" borderId="13" xfId="1" applyNumberFormat="1" applyFont="1" applyFill="1" applyBorder="1" applyAlignment="1">
      <alignment horizontal="left" wrapText="1"/>
    </xf>
    <xf numFmtId="0" fontId="70" fillId="33" borderId="13" xfId="45" applyFont="1" applyFill="1" applyBorder="1" applyAlignment="1">
      <alignment horizontal="left"/>
    </xf>
    <xf numFmtId="43" fontId="70" fillId="33" borderId="13" xfId="45" applyNumberFormat="1" applyFont="1" applyFill="1" applyBorder="1" applyAlignment="1">
      <alignment horizontal="left" wrapText="1"/>
    </xf>
    <xf numFmtId="0" fontId="41" fillId="0" borderId="0" xfId="0" applyFont="1" applyAlignment="1">
      <alignment horizontal="center"/>
    </xf>
    <xf numFmtId="169" fontId="41" fillId="0" borderId="0" xfId="1" applyNumberFormat="1" applyFont="1"/>
    <xf numFmtId="2" fontId="41" fillId="0" borderId="0" xfId="0" applyNumberFormat="1" applyFont="1"/>
    <xf numFmtId="170" fontId="41" fillId="0" borderId="0" xfId="0" applyNumberFormat="1" applyFont="1"/>
    <xf numFmtId="10" fontId="41" fillId="0" borderId="0" xfId="3" applyNumberFormat="1" applyFont="1"/>
    <xf numFmtId="170" fontId="41" fillId="0" borderId="0" xfId="68" applyNumberFormat="1" applyFont="1"/>
    <xf numFmtId="169" fontId="67" fillId="0" borderId="29" xfId="1" applyNumberFormat="1" applyFont="1" applyBorder="1" applyAlignment="1">
      <alignment horizontal="right"/>
    </xf>
    <xf numFmtId="0" fontId="41" fillId="0" borderId="0" xfId="0" applyFont="1"/>
    <xf numFmtId="164" fontId="67" fillId="0" borderId="14" xfId="69" applyNumberFormat="1" applyFont="1" applyBorder="1" applyAlignment="1">
      <alignment horizontal="right"/>
    </xf>
    <xf numFmtId="169" fontId="67" fillId="0" borderId="14" xfId="1" applyNumberFormat="1" applyFont="1" applyBorder="1" applyAlignment="1">
      <alignment horizontal="right"/>
    </xf>
    <xf numFmtId="170" fontId="74" fillId="0" borderId="0" xfId="0" applyNumberFormat="1" applyFont="1"/>
    <xf numFmtId="0" fontId="74" fillId="0" borderId="0" xfId="0" applyFont="1"/>
    <xf numFmtId="0" fontId="67" fillId="0" borderId="0" xfId="67" applyFont="1" applyAlignment="1">
      <alignment horizontal="center" wrapText="1"/>
    </xf>
    <xf numFmtId="1" fontId="41" fillId="0" borderId="0" xfId="0" applyNumberFormat="1" applyFont="1"/>
    <xf numFmtId="169" fontId="41" fillId="0" borderId="0" xfId="1" applyNumberFormat="1" applyFont="1" applyAlignment="1">
      <alignment wrapText="1"/>
    </xf>
    <xf numFmtId="2" fontId="41" fillId="0" borderId="0" xfId="1" applyNumberFormat="1" applyFont="1"/>
    <xf numFmtId="169" fontId="41" fillId="0" borderId="0" xfId="1" applyNumberFormat="1" applyFont="1" applyAlignment="1">
      <alignment horizontal="right"/>
    </xf>
    <xf numFmtId="0" fontId="41" fillId="0" borderId="0" xfId="0" applyFont="1" applyAlignment="1">
      <alignment horizontal="center" wrapText="1"/>
    </xf>
    <xf numFmtId="164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/>
    <xf numFmtId="3" fontId="41" fillId="0" borderId="0" xfId="0" applyNumberFormat="1" applyFont="1" applyAlignment="1">
      <alignment horizontal="center"/>
    </xf>
    <xf numFmtId="3" fontId="41" fillId="0" borderId="0" xfId="0" applyNumberFormat="1" applyFont="1" applyAlignment="1">
      <alignment horizontal="center" wrapText="1"/>
    </xf>
    <xf numFmtId="169" fontId="41" fillId="0" borderId="3" xfId="1" applyNumberFormat="1" applyFont="1" applyBorder="1"/>
    <xf numFmtId="164" fontId="41" fillId="0" borderId="3" xfId="0" applyNumberFormat="1" applyFont="1" applyBorder="1"/>
    <xf numFmtId="170" fontId="41" fillId="0" borderId="3" xfId="0" applyNumberFormat="1" applyFont="1" applyBorder="1"/>
    <xf numFmtId="10" fontId="41" fillId="0" borderId="3" xfId="0" applyNumberFormat="1" applyFont="1" applyBorder="1"/>
    <xf numFmtId="3" fontId="41" fillId="0" borderId="3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3" xfId="0" applyNumberFormat="1" applyFont="1" applyBorder="1" applyAlignment="1">
      <alignment horizontal="center" wrapText="1"/>
    </xf>
    <xf numFmtId="0" fontId="41" fillId="0" borderId="3" xfId="0" applyFont="1" applyBorder="1" applyAlignment="1">
      <alignment horizontal="center"/>
    </xf>
    <xf numFmtId="0" fontId="41" fillId="0" borderId="3" xfId="0" applyFont="1" applyBorder="1"/>
    <xf numFmtId="2" fontId="41" fillId="0" borderId="3" xfId="0" applyNumberFormat="1" applyFont="1" applyBorder="1"/>
    <xf numFmtId="1" fontId="41" fillId="0" borderId="0" xfId="0" applyNumberFormat="1" applyFont="1" applyAlignment="1">
      <alignment horizontal="center"/>
    </xf>
    <xf numFmtId="169" fontId="67" fillId="0" borderId="14" xfId="1" applyNumberFormat="1" applyFont="1" applyBorder="1"/>
    <xf numFmtId="4" fontId="41" fillId="0" borderId="0" xfId="0" applyNumberFormat="1" applyFont="1" applyAlignment="1">
      <alignment horizontal="center"/>
    </xf>
    <xf numFmtId="169" fontId="41" fillId="0" borderId="0" xfId="1" applyNumberFormat="1" applyFont="1" applyAlignment="1">
      <alignment horizontal="center"/>
    </xf>
    <xf numFmtId="169" fontId="41" fillId="0" borderId="0" xfId="1" applyNumberFormat="1" applyFont="1" applyAlignment="1">
      <alignment horizontal="center" wrapText="1"/>
    </xf>
    <xf numFmtId="2" fontId="41" fillId="0" borderId="0" xfId="1" applyNumberFormat="1" applyFont="1" applyAlignment="1">
      <alignment horizontal="right"/>
    </xf>
    <xf numFmtId="2" fontId="41" fillId="0" borderId="0" xfId="0" applyNumberFormat="1" applyFont="1" applyAlignment="1">
      <alignment horizontal="center"/>
    </xf>
    <xf numFmtId="2" fontId="41" fillId="0" borderId="0" xfId="1" applyNumberFormat="1" applyFont="1" applyAlignment="1">
      <alignment horizontal="center" wrapText="1"/>
    </xf>
    <xf numFmtId="1" fontId="75" fillId="0" borderId="0" xfId="0" applyNumberFormat="1" applyFont="1"/>
    <xf numFmtId="10" fontId="75" fillId="0" borderId="0" xfId="3" applyNumberFormat="1" applyFont="1"/>
    <xf numFmtId="170" fontId="75" fillId="0" borderId="0" xfId="0" applyNumberFormat="1" applyFont="1"/>
    <xf numFmtId="169" fontId="75" fillId="0" borderId="0" xfId="1" applyNumberFormat="1" applyFont="1"/>
    <xf numFmtId="1" fontId="75" fillId="0" borderId="0" xfId="0" applyNumberFormat="1" applyFont="1" applyAlignment="1">
      <alignment horizontal="center"/>
    </xf>
    <xf numFmtId="169" fontId="75" fillId="0" borderId="0" xfId="1" applyNumberFormat="1" applyFont="1" applyAlignment="1">
      <alignment horizontal="center"/>
    </xf>
    <xf numFmtId="1" fontId="75" fillId="0" borderId="0" xfId="1" applyNumberFormat="1" applyFont="1" applyAlignment="1">
      <alignment horizontal="center" wrapText="1"/>
    </xf>
    <xf numFmtId="164" fontId="41" fillId="0" borderId="0" xfId="1" applyNumberFormat="1" applyFont="1"/>
    <xf numFmtId="0" fontId="77" fillId="0" borderId="14" xfId="67" applyFont="1" applyBorder="1"/>
    <xf numFmtId="3" fontId="77" fillId="0" borderId="14" xfId="67" applyNumberFormat="1" applyFont="1" applyBorder="1" applyAlignment="1">
      <alignment horizontal="right"/>
    </xf>
    <xf numFmtId="2" fontId="72" fillId="0" borderId="14" xfId="1" applyNumberFormat="1" applyFont="1" applyBorder="1" applyAlignment="1">
      <alignment horizontal="right" wrapText="1"/>
    </xf>
    <xf numFmtId="2" fontId="75" fillId="0" borderId="0" xfId="1" applyNumberFormat="1" applyFont="1"/>
    <xf numFmtId="2" fontId="75" fillId="0" borderId="0" xfId="0" applyNumberFormat="1" applyFont="1"/>
    <xf numFmtId="170" fontId="70" fillId="33" borderId="28" xfId="45" applyNumberFormat="1" applyFont="1" applyFill="1" applyBorder="1" applyAlignment="1">
      <alignment horizontal="center" wrapText="1"/>
    </xf>
    <xf numFmtId="170" fontId="71" fillId="0" borderId="0" xfId="45" applyNumberFormat="1" applyFont="1"/>
    <xf numFmtId="170" fontId="70" fillId="33" borderId="13" xfId="45" applyNumberFormat="1" applyFont="1" applyFill="1" applyBorder="1" applyAlignment="1">
      <alignment horizontal="center" wrapText="1"/>
    </xf>
    <xf numFmtId="164" fontId="70" fillId="33" borderId="28" xfId="45" applyNumberFormat="1" applyFont="1" applyFill="1" applyBorder="1" applyAlignment="1">
      <alignment horizontal="center" wrapText="1"/>
    </xf>
    <xf numFmtId="164" fontId="70" fillId="33" borderId="13" xfId="45" applyNumberFormat="1" applyFont="1" applyFill="1" applyBorder="1" applyAlignment="1">
      <alignment horizontal="center" wrapText="1"/>
    </xf>
    <xf numFmtId="164" fontId="75" fillId="0" borderId="0" xfId="0" applyNumberFormat="1" applyFont="1"/>
    <xf numFmtId="164" fontId="70" fillId="33" borderId="13" xfId="45" applyNumberFormat="1" applyFont="1" applyFill="1" applyBorder="1" applyAlignment="1">
      <alignment horizontal="left" wrapText="1"/>
    </xf>
    <xf numFmtId="2" fontId="70" fillId="0" borderId="0" xfId="1" applyNumberFormat="1" applyFont="1"/>
    <xf numFmtId="43" fontId="41" fillId="0" borderId="0" xfId="1" applyFont="1"/>
    <xf numFmtId="170" fontId="72" fillId="0" borderId="14" xfId="1" applyNumberFormat="1" applyFont="1" applyBorder="1" applyAlignment="1">
      <alignment horizontal="right" wrapText="1"/>
    </xf>
    <xf numFmtId="169" fontId="75" fillId="0" borderId="0" xfId="1" applyNumberFormat="1" applyFont="1" applyAlignment="1">
      <alignment wrapText="1"/>
    </xf>
    <xf numFmtId="164" fontId="41" fillId="0" borderId="0" xfId="3" applyNumberFormat="1" applyFont="1"/>
    <xf numFmtId="2" fontId="71" fillId="0" borderId="0" xfId="59" applyNumberFormat="1" applyFont="1">
      <alignment horizontal="left" vertical="center"/>
    </xf>
    <xf numFmtId="2" fontId="75" fillId="0" borderId="0" xfId="1" applyNumberFormat="1" applyFont="1" applyAlignment="1">
      <alignment horizontal="right"/>
    </xf>
    <xf numFmtId="43" fontId="71" fillId="0" borderId="0" xfId="1" applyFont="1"/>
    <xf numFmtId="43" fontId="41" fillId="0" borderId="3" xfId="1" applyFont="1" applyBorder="1"/>
    <xf numFmtId="43" fontId="41" fillId="0" borderId="0" xfId="1" applyFont="1" applyAlignment="1">
      <alignment horizontal="center"/>
    </xf>
    <xf numFmtId="43" fontId="75" fillId="0" borderId="0" xfId="1" applyFont="1" applyAlignment="1">
      <alignment horizontal="center"/>
    </xf>
    <xf numFmtId="43" fontId="70" fillId="33" borderId="13" xfId="1" applyFont="1" applyFill="1" applyBorder="1" applyAlignment="1">
      <alignment horizontal="left" wrapText="1"/>
    </xf>
    <xf numFmtId="43" fontId="67" fillId="0" borderId="14" xfId="1" applyFont="1" applyBorder="1" applyAlignment="1">
      <alignment horizontal="right"/>
    </xf>
    <xf numFmtId="43" fontId="75" fillId="0" borderId="0" xfId="1" applyFont="1"/>
    <xf numFmtId="169" fontId="71" fillId="0" borderId="0" xfId="1" applyNumberFormat="1" applyFont="1" applyAlignment="1">
      <alignment horizontal="center" vertical="center"/>
    </xf>
    <xf numFmtId="169" fontId="41" fillId="0" borderId="3" xfId="1" applyNumberFormat="1" applyFont="1" applyBorder="1" applyAlignment="1">
      <alignment horizontal="center"/>
    </xf>
    <xf numFmtId="2" fontId="70" fillId="0" borderId="0" xfId="52" applyNumberFormat="1" applyFont="1"/>
    <xf numFmtId="2" fontId="71" fillId="0" borderId="0" xfId="52" applyNumberFormat="1" applyFont="1"/>
    <xf numFmtId="2" fontId="71" fillId="0" borderId="0" xfId="1" applyNumberFormat="1" applyFont="1" applyAlignment="1">
      <alignment horizontal="right" vertical="center"/>
    </xf>
    <xf numFmtId="2" fontId="41" fillId="0" borderId="15" xfId="0" applyNumberFormat="1" applyFont="1" applyBorder="1"/>
    <xf numFmtId="2" fontId="41" fillId="0" borderId="16" xfId="0" applyNumberFormat="1" applyFont="1" applyBorder="1"/>
    <xf numFmtId="2" fontId="41" fillId="0" borderId="0" xfId="0" applyNumberFormat="1" applyFont="1" applyAlignment="1">
      <alignment horizontal="right"/>
    </xf>
    <xf numFmtId="2" fontId="70" fillId="33" borderId="13" xfId="1" applyNumberFormat="1" applyFont="1" applyFill="1" applyBorder="1" applyAlignment="1">
      <alignment horizontal="right" wrapText="1"/>
    </xf>
    <xf numFmtId="0" fontId="78" fillId="0" borderId="0" xfId="0" applyFont="1"/>
    <xf numFmtId="169" fontId="78" fillId="0" borderId="0" xfId="1" applyNumberFormat="1" applyFont="1"/>
    <xf numFmtId="0" fontId="35" fillId="0" borderId="0" xfId="0" applyFont="1" applyAlignment="1">
      <alignment wrapText="1"/>
    </xf>
    <xf numFmtId="0" fontId="35" fillId="0" borderId="20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0" fontId="36" fillId="0" borderId="20" xfId="0" applyFont="1" applyBorder="1" applyAlignment="1">
      <alignment horizontal="left" wrapText="1"/>
    </xf>
    <xf numFmtId="0" fontId="39" fillId="0" borderId="20" xfId="0" applyFont="1" applyBorder="1" applyAlignment="1">
      <alignment wrapText="1"/>
    </xf>
    <xf numFmtId="14" fontId="41" fillId="0" borderId="0" xfId="1" applyNumberFormat="1" applyFont="1"/>
    <xf numFmtId="14" fontId="41" fillId="0" borderId="0" xfId="0" applyNumberFormat="1" applyFont="1"/>
    <xf numFmtId="170" fontId="41" fillId="0" borderId="0" xfId="0" applyNumberFormat="1" applyFont="1" applyAlignment="1">
      <alignment horizontal="right"/>
    </xf>
    <xf numFmtId="170" fontId="70" fillId="33" borderId="28" xfId="1" applyNumberFormat="1" applyFont="1" applyFill="1" applyBorder="1" applyAlignment="1">
      <alignment horizontal="center" wrapText="1"/>
    </xf>
    <xf numFmtId="170" fontId="70" fillId="0" borderId="0" xfId="52" applyNumberFormat="1" applyFont="1"/>
    <xf numFmtId="170" fontId="41" fillId="0" borderId="15" xfId="0" applyNumberFormat="1" applyFont="1" applyBorder="1"/>
    <xf numFmtId="170" fontId="41" fillId="0" borderId="16" xfId="0" applyNumberFormat="1" applyFont="1" applyBorder="1"/>
    <xf numFmtId="0" fontId="84" fillId="0" borderId="14" xfId="74" applyFont="1" applyFill="1" applyBorder="1" applyAlignment="1">
      <alignment wrapText="1"/>
    </xf>
    <xf numFmtId="3" fontId="84" fillId="0" borderId="14" xfId="74" applyNumberFormat="1" applyFont="1" applyFill="1" applyBorder="1" applyAlignment="1">
      <alignment horizontal="right" wrapText="1"/>
    </xf>
    <xf numFmtId="1" fontId="84" fillId="0" borderId="14" xfId="74" applyNumberFormat="1" applyFont="1" applyFill="1" applyBorder="1" applyAlignment="1">
      <alignment horizontal="right" wrapText="1"/>
    </xf>
    <xf numFmtId="164" fontId="84" fillId="0" borderId="14" xfId="74" applyNumberFormat="1" applyFont="1" applyFill="1" applyBorder="1" applyAlignment="1">
      <alignment horizontal="right" wrapText="1"/>
    </xf>
    <xf numFmtId="0" fontId="84" fillId="0" borderId="14" xfId="74" applyFont="1" applyFill="1" applyBorder="1" applyAlignment="1">
      <alignment horizontal="center" wrapText="1"/>
    </xf>
    <xf numFmtId="4" fontId="84" fillId="0" borderId="14" xfId="74" applyNumberFormat="1" applyFont="1" applyFill="1" applyBorder="1" applyAlignment="1">
      <alignment horizontal="right" wrapText="1"/>
    </xf>
    <xf numFmtId="0" fontId="84" fillId="0" borderId="14" xfId="74" applyFont="1" applyFill="1" applyBorder="1" applyAlignment="1">
      <alignment horizontal="center"/>
    </xf>
    <xf numFmtId="169" fontId="41" fillId="0" borderId="0" xfId="1" applyNumberFormat="1" applyFont="1" applyAlignment="1"/>
    <xf numFmtId="43" fontId="41" fillId="0" borderId="0" xfId="1" applyNumberFormat="1" applyFont="1"/>
    <xf numFmtId="43" fontId="67" fillId="0" borderId="14" xfId="1" applyNumberFormat="1" applyFont="1" applyBorder="1" applyAlignment="1">
      <alignment horizontal="right" wrapText="1"/>
    </xf>
    <xf numFmtId="169" fontId="67" fillId="0" borderId="33" xfId="1" applyNumberFormat="1" applyFont="1" applyBorder="1" applyAlignment="1">
      <alignment horizontal="right" wrapText="1"/>
    </xf>
    <xf numFmtId="0" fontId="35" fillId="0" borderId="0" xfId="0" applyFont="1" applyBorder="1"/>
    <xf numFmtId="0" fontId="35" fillId="0" borderId="1" xfId="0" applyFont="1" applyBorder="1"/>
    <xf numFmtId="0" fontId="32" fillId="0" borderId="14" xfId="74" applyFont="1" applyFill="1" applyBorder="1" applyAlignment="1">
      <alignment wrapText="1"/>
    </xf>
    <xf numFmtId="169" fontId="70" fillId="37" borderId="28" xfId="1" applyNumberFormat="1" applyFont="1" applyFill="1" applyBorder="1" applyAlignment="1">
      <alignment horizontal="center" wrapText="1"/>
    </xf>
    <xf numFmtId="164" fontId="70" fillId="37" borderId="28" xfId="45" applyNumberFormat="1" applyFont="1" applyFill="1" applyBorder="1" applyAlignment="1">
      <alignment horizontal="center" wrapText="1"/>
    </xf>
    <xf numFmtId="164" fontId="70" fillId="36" borderId="28" xfId="45" applyNumberFormat="1" applyFont="1" applyFill="1" applyBorder="1" applyAlignment="1">
      <alignment horizontal="center" wrapText="1"/>
    </xf>
    <xf numFmtId="164" fontId="0" fillId="0" borderId="0" xfId="0" applyNumberFormat="1"/>
    <xf numFmtId="3" fontId="28" fillId="0" borderId="0" xfId="48"/>
    <xf numFmtId="169" fontId="70" fillId="38" borderId="28" xfId="1" applyNumberFormat="1" applyFont="1" applyFill="1" applyBorder="1" applyAlignment="1">
      <alignment horizontal="center" wrapText="1"/>
    </xf>
    <xf numFmtId="0" fontId="70" fillId="37" borderId="28" xfId="45" applyFont="1" applyFill="1" applyBorder="1" applyAlignment="1">
      <alignment horizontal="center" wrapText="1"/>
    </xf>
    <xf numFmtId="2" fontId="70" fillId="37" borderId="28" xfId="45" applyNumberFormat="1" applyFont="1" applyFill="1" applyBorder="1" applyAlignment="1">
      <alignment horizontal="center" wrapText="1"/>
    </xf>
    <xf numFmtId="169" fontId="70" fillId="37" borderId="2" xfId="1" applyNumberFormat="1" applyFont="1" applyFill="1" applyBorder="1" applyAlignment="1">
      <alignment horizontal="center" wrapText="1"/>
    </xf>
    <xf numFmtId="0" fontId="70" fillId="37" borderId="28" xfId="45" applyFont="1" applyFill="1" applyBorder="1" applyAlignment="1">
      <alignment horizontal="center"/>
    </xf>
    <xf numFmtId="14" fontId="84" fillId="0" borderId="14" xfId="74" applyNumberFormat="1" applyFont="1" applyFill="1" applyBorder="1" applyAlignment="1">
      <alignment wrapText="1"/>
    </xf>
    <xf numFmtId="0" fontId="84" fillId="0" borderId="14" xfId="3" applyNumberFormat="1" applyFont="1" applyFill="1" applyBorder="1" applyAlignment="1">
      <alignment horizontal="right" wrapText="1"/>
    </xf>
    <xf numFmtId="0" fontId="35" fillId="0" borderId="17" xfId="0" applyFont="1" applyBorder="1"/>
    <xf numFmtId="0" fontId="35" fillId="0" borderId="19" xfId="0" applyFont="1" applyBorder="1"/>
    <xf numFmtId="0" fontId="60" fillId="0" borderId="32" xfId="0" applyFont="1" applyFill="1" applyBorder="1" applyAlignment="1">
      <alignment vertical="top"/>
    </xf>
    <xf numFmtId="0" fontId="69" fillId="0" borderId="0" xfId="0" applyFont="1" applyFill="1" applyBorder="1"/>
    <xf numFmtId="0" fontId="81" fillId="0" borderId="0" xfId="0" applyFont="1" applyFill="1" applyBorder="1"/>
    <xf numFmtId="0" fontId="43" fillId="0" borderId="0" xfId="0" applyFont="1" applyFill="1"/>
    <xf numFmtId="0" fontId="0" fillId="0" borderId="0" xfId="0" applyFill="1"/>
    <xf numFmtId="0" fontId="2" fillId="0" borderId="0" xfId="0" applyFont="1" applyFill="1"/>
    <xf numFmtId="0" fontId="60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43" fillId="0" borderId="0" xfId="0" applyFont="1" applyFill="1" applyBorder="1"/>
    <xf numFmtId="0" fontId="81" fillId="0" borderId="0" xfId="0" applyFont="1" applyFill="1"/>
    <xf numFmtId="0" fontId="76" fillId="0" borderId="0" xfId="0" applyFont="1" applyFill="1"/>
    <xf numFmtId="0" fontId="10" fillId="0" borderId="0" xfId="0" applyFont="1" applyFill="1"/>
    <xf numFmtId="0" fontId="47" fillId="0" borderId="0" xfId="0" applyFont="1" applyFill="1" applyAlignment="1">
      <alignment horizontal="left"/>
    </xf>
    <xf numFmtId="2" fontId="0" fillId="0" borderId="0" xfId="0" applyNumberFormat="1" applyFill="1"/>
    <xf numFmtId="0" fontId="47" fillId="0" borderId="0" xfId="0" applyFont="1" applyFill="1" applyBorder="1" applyAlignment="1">
      <alignment horizontal="right"/>
    </xf>
    <xf numFmtId="0" fontId="49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wrapText="1"/>
    </xf>
    <xf numFmtId="0" fontId="46" fillId="0" borderId="0" xfId="0" applyFont="1" applyFill="1"/>
    <xf numFmtId="2" fontId="40" fillId="0" borderId="0" xfId="0" applyNumberFormat="1" applyFont="1" applyFill="1"/>
    <xf numFmtId="0" fontId="40" fillId="0" borderId="0" xfId="0" applyFont="1" applyFill="1"/>
    <xf numFmtId="0" fontId="59" fillId="0" borderId="0" xfId="0" applyFont="1" applyFill="1"/>
    <xf numFmtId="0" fontId="41" fillId="0" borderId="0" xfId="0" applyFont="1" applyFill="1" applyAlignment="1">
      <alignment horizontal="left" wrapText="1"/>
    </xf>
    <xf numFmtId="0" fontId="41" fillId="0" borderId="0" xfId="0" applyFont="1" applyFill="1"/>
    <xf numFmtId="0" fontId="82" fillId="0" borderId="0" xfId="0" applyFont="1" applyFill="1"/>
    <xf numFmtId="0" fontId="52" fillId="0" borderId="0" xfId="2" applyFont="1" applyFill="1" applyAlignment="1" applyProtection="1"/>
    <xf numFmtId="0" fontId="7" fillId="0" borderId="0" xfId="0" applyFont="1" applyFill="1" applyAlignment="1">
      <alignment horizontal="right"/>
    </xf>
    <xf numFmtId="9" fontId="3" fillId="0" borderId="0" xfId="3" applyFill="1"/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5" fontId="1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3" fontId="1" fillId="0" borderId="0" xfId="0" applyNumberFormat="1" applyFont="1" applyFill="1" applyAlignment="1">
      <alignment horizontal="center" vertical="center"/>
    </xf>
    <xf numFmtId="5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7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3" fontId="2" fillId="0" borderId="0" xfId="0" applyNumberFormat="1" applyFont="1" applyFill="1"/>
    <xf numFmtId="0" fontId="89" fillId="0" borderId="0" xfId="0" applyFont="1" applyFill="1"/>
    <xf numFmtId="0" fontId="6" fillId="41" borderId="0" xfId="0" applyFont="1" applyFill="1"/>
    <xf numFmtId="0" fontId="0" fillId="41" borderId="0" xfId="0" applyFill="1"/>
    <xf numFmtId="0" fontId="46" fillId="41" borderId="0" xfId="0" applyFont="1" applyFill="1"/>
    <xf numFmtId="0" fontId="10" fillId="41" borderId="0" xfId="0" applyFont="1" applyFill="1" applyAlignment="1">
      <alignment horizontal="center"/>
    </xf>
    <xf numFmtId="0" fontId="55" fillId="41" borderId="0" xfId="0" applyFont="1" applyFill="1" applyAlignment="1">
      <alignment horizontal="center"/>
    </xf>
    <xf numFmtId="0" fontId="63" fillId="41" borderId="0" xfId="0" applyFont="1" applyFill="1" applyAlignment="1">
      <alignment horizontal="center"/>
    </xf>
    <xf numFmtId="0" fontId="6" fillId="41" borderId="0" xfId="0" applyFont="1" applyFill="1" applyAlignment="1">
      <alignment horizontal="center"/>
    </xf>
    <xf numFmtId="0" fontId="9" fillId="41" borderId="0" xfId="0" applyFont="1" applyFill="1"/>
    <xf numFmtId="0" fontId="40" fillId="41" borderId="0" xfId="0" applyFont="1" applyFill="1" applyAlignment="1">
      <alignment horizontal="center" vertical="center"/>
    </xf>
    <xf numFmtId="0" fontId="5" fillId="41" borderId="0" xfId="0" applyFont="1" applyFill="1" applyAlignment="1">
      <alignment horizontal="center" vertical="center"/>
    </xf>
    <xf numFmtId="0" fontId="56" fillId="41" borderId="0" xfId="0" applyFont="1" applyFill="1"/>
    <xf numFmtId="0" fontId="64" fillId="41" borderId="0" xfId="0" applyFont="1" applyFill="1"/>
    <xf numFmtId="0" fontId="47" fillId="41" borderId="0" xfId="0" applyFont="1" applyFill="1"/>
    <xf numFmtId="0" fontId="4" fillId="41" borderId="0" xfId="2" applyFill="1" applyAlignment="1" applyProtection="1"/>
    <xf numFmtId="0" fontId="48" fillId="41" borderId="0" xfId="2" applyFont="1" applyFill="1" applyAlignment="1" applyProtection="1"/>
    <xf numFmtId="0" fontId="65" fillId="41" borderId="0" xfId="2" applyFont="1" applyFill="1" applyAlignment="1" applyProtection="1"/>
    <xf numFmtId="0" fontId="6" fillId="41" borderId="0" xfId="0" applyFont="1" applyFill="1" applyBorder="1" applyAlignment="1">
      <alignment horizontal="center"/>
    </xf>
    <xf numFmtId="0" fontId="63" fillId="41" borderId="0" xfId="0" applyFont="1" applyFill="1" applyBorder="1" applyAlignment="1">
      <alignment horizontal="center"/>
    </xf>
    <xf numFmtId="0" fontId="5" fillId="41" borderId="38" xfId="0" applyFont="1" applyFill="1" applyBorder="1" applyAlignment="1">
      <alignment horizontal="center" vertical="center"/>
    </xf>
    <xf numFmtId="0" fontId="0" fillId="41" borderId="0" xfId="0" applyFill="1" applyBorder="1"/>
    <xf numFmtId="0" fontId="88" fillId="41" borderId="0" xfId="0" applyFont="1" applyFill="1" applyBorder="1" applyAlignment="1">
      <alignment horizontal="center" vertical="center"/>
    </xf>
    <xf numFmtId="0" fontId="88" fillId="41" borderId="0" xfId="0" applyFont="1" applyFill="1" applyBorder="1" applyAlignment="1">
      <alignment horizontal="left" vertical="center"/>
    </xf>
    <xf numFmtId="0" fontId="61" fillId="41" borderId="0" xfId="0" applyFont="1" applyFill="1"/>
    <xf numFmtId="0" fontId="43" fillId="41" borderId="0" xfId="0" applyFont="1" applyFill="1"/>
    <xf numFmtId="0" fontId="42" fillId="41" borderId="0" xfId="0" applyFont="1" applyFill="1"/>
    <xf numFmtId="0" fontId="42" fillId="41" borderId="0" xfId="0" applyFont="1" applyFill="1" applyAlignment="1">
      <alignment horizontal="center"/>
    </xf>
    <xf numFmtId="0" fontId="44" fillId="41" borderId="0" xfId="0" applyFont="1" applyFill="1" applyAlignment="1">
      <alignment horizontal="center"/>
    </xf>
    <xf numFmtId="0" fontId="79" fillId="41" borderId="0" xfId="0" applyFont="1" applyFill="1" applyAlignment="1">
      <alignment horizontal="center"/>
    </xf>
    <xf numFmtId="0" fontId="57" fillId="41" borderId="0" xfId="0" applyFont="1" applyFill="1" applyAlignment="1">
      <alignment horizontal="center"/>
    </xf>
    <xf numFmtId="0" fontId="49" fillId="41" borderId="0" xfId="0" applyFont="1" applyFill="1"/>
    <xf numFmtId="0" fontId="80" fillId="41" borderId="0" xfId="0" applyFont="1" applyFill="1"/>
    <xf numFmtId="0" fontId="57" fillId="41" borderId="0" xfId="0" applyFont="1" applyFill="1"/>
    <xf numFmtId="0" fontId="49" fillId="41" borderId="0" xfId="0" applyFont="1" applyFill="1" applyAlignment="1">
      <alignment horizontal="center" vertical="center"/>
    </xf>
    <xf numFmtId="0" fontId="11" fillId="41" borderId="0" xfId="2" applyFont="1" applyFill="1" applyAlignment="1" applyProtection="1"/>
    <xf numFmtId="0" fontId="79" fillId="41" borderId="0" xfId="0" applyFont="1" applyFill="1"/>
    <xf numFmtId="0" fontId="50" fillId="41" borderId="0" xfId="0" applyFont="1" applyFill="1"/>
    <xf numFmtId="0" fontId="51" fillId="41" borderId="0" xfId="0" applyFont="1" applyFill="1"/>
    <xf numFmtId="0" fontId="66" fillId="41" borderId="0" xfId="0" applyFont="1" applyFill="1"/>
    <xf numFmtId="0" fontId="58" fillId="41" borderId="0" xfId="0" applyFont="1" applyFill="1"/>
    <xf numFmtId="0" fontId="41" fillId="41" borderId="0" xfId="0" applyFont="1" applyFill="1"/>
    <xf numFmtId="0" fontId="62" fillId="41" borderId="0" xfId="2" applyFont="1" applyFill="1" applyAlignment="1" applyProtection="1"/>
    <xf numFmtId="0" fontId="45" fillId="41" borderId="0" xfId="0" applyFont="1" applyFill="1"/>
    <xf numFmtId="0" fontId="27" fillId="40" borderId="0" xfId="0" applyFont="1" applyFill="1"/>
    <xf numFmtId="0" fontId="91" fillId="40" borderId="0" xfId="0" applyFont="1" applyFill="1"/>
    <xf numFmtId="0" fontId="92" fillId="40" borderId="0" xfId="0" applyFont="1" applyFill="1"/>
    <xf numFmtId="0" fontId="27" fillId="40" borderId="0" xfId="0" applyFont="1" applyFill="1" applyBorder="1"/>
    <xf numFmtId="0" fontId="91" fillId="40" borderId="0" xfId="0" applyFont="1" applyFill="1" applyBorder="1"/>
    <xf numFmtId="0" fontId="92" fillId="40" borderId="0" xfId="0" applyFont="1" applyFill="1" applyBorder="1"/>
    <xf numFmtId="0" fontId="95" fillId="40" borderId="0" xfId="2" applyFont="1" applyFill="1" applyBorder="1" applyAlignment="1" applyProtection="1"/>
    <xf numFmtId="0" fontId="96" fillId="40" borderId="0" xfId="0" applyFont="1" applyFill="1" applyBorder="1"/>
    <xf numFmtId="0" fontId="97" fillId="40" borderId="0" xfId="0" applyFont="1" applyFill="1" applyBorder="1"/>
    <xf numFmtId="0" fontId="98" fillId="40" borderId="0" xfId="0" applyFont="1" applyFill="1" applyBorder="1"/>
    <xf numFmtId="0" fontId="99" fillId="40" borderId="0" xfId="0" applyFont="1" applyFill="1" applyBorder="1"/>
    <xf numFmtId="0" fontId="100" fillId="40" borderId="0" xfId="0" applyFont="1" applyFill="1" applyBorder="1"/>
    <xf numFmtId="0" fontId="101" fillId="40" borderId="0" xfId="0" applyFont="1" applyFill="1" applyBorder="1"/>
    <xf numFmtId="0" fontId="94" fillId="40" borderId="0" xfId="0" applyFont="1" applyFill="1" applyBorder="1"/>
    <xf numFmtId="0" fontId="93" fillId="40" borderId="0" xfId="0" applyFont="1" applyFill="1" applyBorder="1"/>
    <xf numFmtId="0" fontId="103" fillId="40" borderId="0" xfId="0" applyFont="1" applyFill="1" applyBorder="1"/>
    <xf numFmtId="0" fontId="104" fillId="40" borderId="0" xfId="2" applyFont="1" applyFill="1" applyBorder="1" applyAlignment="1" applyProtection="1"/>
    <xf numFmtId="0" fontId="108" fillId="0" borderId="0" xfId="0" applyFont="1" applyFill="1" applyBorder="1" applyAlignment="1">
      <alignment horizontal="right" wrapText="1"/>
    </xf>
    <xf numFmtId="0" fontId="110" fillId="0" borderId="0" xfId="0" applyFont="1" applyFill="1" applyAlignment="1">
      <alignment horizontal="right"/>
    </xf>
    <xf numFmtId="0" fontId="109" fillId="0" borderId="0" xfId="0" applyFont="1" applyFill="1" applyAlignment="1">
      <alignment horizontal="right"/>
    </xf>
    <xf numFmtId="0" fontId="47" fillId="0" borderId="34" xfId="0" applyFont="1" applyFill="1" applyBorder="1" applyAlignment="1">
      <alignment horizontal="center" vertical="center"/>
    </xf>
    <xf numFmtId="0" fontId="110" fillId="0" borderId="34" xfId="0" applyFont="1" applyFill="1" applyBorder="1" applyAlignment="1">
      <alignment horizontal="center" vertical="center"/>
    </xf>
    <xf numFmtId="0" fontId="29" fillId="33" borderId="44" xfId="0" applyFont="1" applyFill="1" applyBorder="1" applyAlignment="1">
      <alignment horizontal="left"/>
    </xf>
    <xf numFmtId="164" fontId="70" fillId="43" borderId="28" xfId="45" applyNumberFormat="1" applyFont="1" applyFill="1" applyBorder="1" applyAlignment="1">
      <alignment horizontal="center" wrapText="1"/>
    </xf>
    <xf numFmtId="169" fontId="70" fillId="43" borderId="28" xfId="1" applyNumberFormat="1" applyFont="1" applyFill="1" applyBorder="1" applyAlignment="1">
      <alignment horizontal="center" wrapText="1"/>
    </xf>
    <xf numFmtId="0" fontId="4" fillId="0" borderId="34" xfId="2" applyFill="1" applyBorder="1" applyAlignment="1" applyProtection="1">
      <alignment horizontal="center" vertical="center"/>
    </xf>
    <xf numFmtId="164" fontId="70" fillId="34" borderId="28" xfId="45" applyNumberFormat="1" applyFont="1" applyFill="1" applyBorder="1" applyAlignment="1">
      <alignment horizontal="center" wrapText="1"/>
    </xf>
    <xf numFmtId="3" fontId="85" fillId="0" borderId="0" xfId="48" applyFont="1" applyBorder="1"/>
    <xf numFmtId="3" fontId="85" fillId="0" borderId="45" xfId="48" applyFont="1" applyBorder="1"/>
    <xf numFmtId="3" fontId="85" fillId="0" borderId="46" xfId="48" applyFont="1" applyBorder="1"/>
    <xf numFmtId="0" fontId="112" fillId="40" borderId="0" xfId="0" applyFont="1" applyFill="1" applyAlignment="1">
      <alignment horizontal="left" wrapText="1"/>
    </xf>
    <xf numFmtId="0" fontId="113" fillId="42" borderId="0" xfId="2" applyFont="1" applyFill="1" applyAlignment="1" applyProtection="1">
      <alignment horizontal="left" wrapText="1"/>
    </xf>
    <xf numFmtId="0" fontId="109" fillId="0" borderId="0" xfId="0" applyFont="1" applyFill="1" applyAlignment="1">
      <alignment horizontal="left"/>
    </xf>
    <xf numFmtId="0" fontId="111" fillId="40" borderId="0" xfId="0" applyFont="1" applyFill="1" applyAlignment="1">
      <alignment horizontal="center"/>
    </xf>
    <xf numFmtId="0" fontId="89" fillId="0" borderId="30" xfId="0" applyFont="1" applyFill="1" applyBorder="1" applyAlignment="1">
      <alignment horizontal="left" wrapText="1"/>
    </xf>
    <xf numFmtId="0" fontId="89" fillId="0" borderId="31" xfId="0" applyFont="1" applyFill="1" applyBorder="1" applyAlignment="1">
      <alignment horizontal="left" wrapText="1"/>
    </xf>
    <xf numFmtId="0" fontId="89" fillId="0" borderId="35" xfId="0" applyFont="1" applyFill="1" applyBorder="1" applyAlignment="1">
      <alignment horizontal="left" wrapText="1"/>
    </xf>
    <xf numFmtId="0" fontId="89" fillId="0" borderId="36" xfId="0" applyFont="1" applyFill="1" applyBorder="1" applyAlignment="1">
      <alignment horizontal="left" wrapText="1"/>
    </xf>
    <xf numFmtId="0" fontId="89" fillId="0" borderId="3" xfId="0" applyFont="1" applyFill="1" applyBorder="1" applyAlignment="1">
      <alignment horizontal="left" wrapText="1"/>
    </xf>
    <xf numFmtId="0" fontId="89" fillId="0" borderId="16" xfId="0" applyFont="1" applyFill="1" applyBorder="1" applyAlignment="1">
      <alignment horizontal="left" wrapText="1"/>
    </xf>
    <xf numFmtId="0" fontId="4" fillId="0" borderId="34" xfId="2" applyFill="1" applyBorder="1" applyAlignment="1" applyProtection="1">
      <alignment horizontal="center" vertical="center"/>
    </xf>
    <xf numFmtId="0" fontId="108" fillId="0" borderId="0" xfId="0" applyFont="1" applyFill="1" applyBorder="1" applyAlignment="1">
      <alignment horizontal="right" vertical="center" wrapText="1"/>
    </xf>
    <xf numFmtId="0" fontId="34" fillId="39" borderId="17" xfId="0" applyFont="1" applyFill="1" applyBorder="1" applyAlignment="1">
      <alignment horizontal="center"/>
    </xf>
    <xf numFmtId="0" fontId="34" fillId="39" borderId="19" xfId="0" applyFont="1" applyFill="1" applyBorder="1" applyAlignment="1">
      <alignment horizontal="center"/>
    </xf>
    <xf numFmtId="0" fontId="34" fillId="39" borderId="20" xfId="0" applyFont="1" applyFill="1" applyBorder="1" applyAlignment="1">
      <alignment horizontal="center"/>
    </xf>
    <xf numFmtId="0" fontId="34" fillId="39" borderId="21" xfId="0" applyFont="1" applyFill="1" applyBorder="1" applyAlignment="1">
      <alignment horizontal="center"/>
    </xf>
    <xf numFmtId="0" fontId="87" fillId="40" borderId="17" xfId="0" applyFont="1" applyFill="1" applyBorder="1" applyAlignment="1">
      <alignment horizontal="center"/>
    </xf>
    <xf numFmtId="0" fontId="87" fillId="40" borderId="18" xfId="0" applyFont="1" applyFill="1" applyBorder="1" applyAlignment="1">
      <alignment horizontal="center"/>
    </xf>
    <xf numFmtId="0" fontId="87" fillId="40" borderId="19" xfId="0" applyFont="1" applyFill="1" applyBorder="1" applyAlignment="1">
      <alignment horizontal="center"/>
    </xf>
    <xf numFmtId="0" fontId="86" fillId="40" borderId="20" xfId="0" applyFont="1" applyFill="1" applyBorder="1" applyAlignment="1">
      <alignment horizontal="center"/>
    </xf>
    <xf numFmtId="0" fontId="86" fillId="40" borderId="0" xfId="0" applyFont="1" applyFill="1" applyBorder="1" applyAlignment="1">
      <alignment horizontal="center"/>
    </xf>
    <xf numFmtId="0" fontId="86" fillId="40" borderId="21" xfId="0" applyFont="1" applyFill="1" applyBorder="1" applyAlignment="1">
      <alignment horizontal="center"/>
    </xf>
    <xf numFmtId="0" fontId="93" fillId="40" borderId="0" xfId="0" applyFont="1" applyFill="1" applyBorder="1" applyAlignment="1">
      <alignment horizontal="left" vertical="center"/>
    </xf>
    <xf numFmtId="0" fontId="88" fillId="41" borderId="0" xfId="0" applyFont="1" applyFill="1" applyAlignment="1">
      <alignment horizontal="center"/>
    </xf>
    <xf numFmtId="0" fontId="107" fillId="41" borderId="0" xfId="0" applyFont="1" applyFill="1" applyAlignment="1">
      <alignment horizontal="center"/>
    </xf>
    <xf numFmtId="0" fontId="105" fillId="41" borderId="39" xfId="2" applyFont="1" applyFill="1" applyBorder="1" applyAlignment="1" applyProtection="1">
      <alignment horizontal="center" vertical="center"/>
    </xf>
    <xf numFmtId="0" fontId="105" fillId="41" borderId="40" xfId="2" applyFont="1" applyFill="1" applyBorder="1" applyAlignment="1" applyProtection="1">
      <alignment horizontal="center" vertical="center"/>
    </xf>
    <xf numFmtId="0" fontId="105" fillId="41" borderId="41" xfId="2" applyFont="1" applyFill="1" applyBorder="1" applyAlignment="1" applyProtection="1">
      <alignment horizontal="center" vertical="center"/>
    </xf>
    <xf numFmtId="0" fontId="105" fillId="41" borderId="42" xfId="2" applyFont="1" applyFill="1" applyBorder="1" applyAlignment="1" applyProtection="1">
      <alignment horizontal="center" vertical="center"/>
    </xf>
    <xf numFmtId="0" fontId="105" fillId="41" borderId="43" xfId="2" applyFont="1" applyFill="1" applyBorder="1" applyAlignment="1" applyProtection="1">
      <alignment horizontal="center" vertical="center"/>
    </xf>
    <xf numFmtId="49" fontId="99" fillId="40" borderId="0" xfId="0" applyNumberFormat="1" applyFont="1" applyFill="1" applyAlignment="1">
      <alignment horizontal="right" vertical="center" wrapText="1"/>
    </xf>
    <xf numFmtId="0" fontId="93" fillId="40" borderId="0" xfId="0" applyFont="1" applyFill="1" applyBorder="1" applyAlignment="1">
      <alignment horizontal="left"/>
    </xf>
    <xf numFmtId="0" fontId="93" fillId="40" borderId="0" xfId="0" applyFont="1" applyFill="1" applyBorder="1" applyAlignment="1">
      <alignment horizontal="center" vertical="center"/>
    </xf>
    <xf numFmtId="0" fontId="106" fillId="41" borderId="0" xfId="0" applyFont="1" applyFill="1" applyAlignment="1">
      <alignment horizontal="center"/>
    </xf>
    <xf numFmtId="0" fontId="90" fillId="41" borderId="0" xfId="0" applyFont="1" applyFill="1" applyAlignment="1">
      <alignment horizontal="center"/>
    </xf>
    <xf numFmtId="0" fontId="93" fillId="40" borderId="0" xfId="0" applyFont="1" applyFill="1" applyBorder="1"/>
    <xf numFmtId="0" fontId="102" fillId="40" borderId="0" xfId="0" applyFont="1" applyFill="1" applyBorder="1"/>
    <xf numFmtId="0" fontId="105" fillId="41" borderId="37" xfId="2" applyFont="1" applyFill="1" applyBorder="1" applyAlignment="1" applyProtection="1">
      <alignment horizontal="center" vertical="center"/>
    </xf>
    <xf numFmtId="0" fontId="50" fillId="41" borderId="0" xfId="0" applyFont="1" applyFill="1" applyAlignment="1">
      <alignment horizontal="center"/>
    </xf>
    <xf numFmtId="0" fontId="11" fillId="41" borderId="0" xfId="2" applyFont="1" applyFill="1" applyAlignment="1" applyProtection="1">
      <alignment horizontal="left"/>
    </xf>
  </cellXfs>
  <cellStyles count="7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65" xr:uid="{00000000-0005-0000-0000-00001C000000}"/>
    <cellStyle name="Currency" xfId="68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 xr:uid="{00000000-0005-0000-0000-000029000000}"/>
    <cellStyle name="Normal 3" xfId="64" xr:uid="{00000000-0005-0000-0000-00002A000000}"/>
    <cellStyle name="Normal_2016Data" xfId="71" xr:uid="{00000000-0005-0000-0000-00002B000000}"/>
    <cellStyle name="Normal_2016Data_1" xfId="72" xr:uid="{00000000-0005-0000-0000-00002C000000}"/>
    <cellStyle name="Normal_2018Data" xfId="74" xr:uid="{CDFC4CBD-6B8C-4C26-80DF-466172C69769}"/>
    <cellStyle name="Normal_branch" xfId="70" xr:uid="{00000000-0005-0000-0000-00002D000000}"/>
    <cellStyle name="Normal_BranchInfo" xfId="73" xr:uid="{00000000-0005-0000-0000-00002E000000}"/>
    <cellStyle name="Normal_Sheet1" xfId="67" xr:uid="{00000000-0005-0000-0000-00002F000000}"/>
    <cellStyle name="Normal_Sheet1_2" xfId="69" xr:uid="{00000000-0005-0000-0000-000030000000}"/>
    <cellStyle name="Note" xfId="18" builtinId="10" customBuiltin="1"/>
    <cellStyle name="Output" xfId="13" builtinId="21" customBuiltin="1"/>
    <cellStyle name="Percent" xfId="3" builtinId="5"/>
    <cellStyle name="Percent 2" xfId="66" xr:uid="{00000000-0005-0000-0000-000034000000}"/>
    <cellStyle name="sCurrency" xfId="49" xr:uid="{00000000-0005-0000-0000-000035000000}"/>
    <cellStyle name="sDate" xfId="54" xr:uid="{00000000-0005-0000-0000-000036000000}"/>
    <cellStyle name="sDecimal" xfId="47" xr:uid="{00000000-0005-0000-0000-000037000000}"/>
    <cellStyle name="sInteger" xfId="48" xr:uid="{00000000-0005-0000-0000-000038000000}"/>
    <cellStyle name="sLongDate" xfId="55" xr:uid="{00000000-0005-0000-0000-000039000000}"/>
    <cellStyle name="sLongTime" xfId="57" xr:uid="{00000000-0005-0000-0000-00003A000000}"/>
    <cellStyle name="sMediumDate" xfId="56" xr:uid="{00000000-0005-0000-0000-00003B000000}"/>
    <cellStyle name="sMediumTime" xfId="58" xr:uid="{00000000-0005-0000-0000-00003C000000}"/>
    <cellStyle name="sNumber" xfId="46" xr:uid="{00000000-0005-0000-0000-00003D000000}"/>
    <cellStyle name="sPercent" xfId="50" xr:uid="{00000000-0005-0000-0000-00003E000000}"/>
    <cellStyle name="sPhone" xfId="61" xr:uid="{00000000-0005-0000-0000-00003F000000}"/>
    <cellStyle name="sPhoneExt" xfId="62" xr:uid="{00000000-0005-0000-0000-000040000000}"/>
    <cellStyle name="sRichText" xfId="60" xr:uid="{00000000-0005-0000-0000-000041000000}"/>
    <cellStyle name="sShortDate" xfId="52" xr:uid="{00000000-0005-0000-0000-000042000000}"/>
    <cellStyle name="sShortTime" xfId="53" xr:uid="{00000000-0005-0000-0000-000043000000}"/>
    <cellStyle name="sStandard" xfId="51" xr:uid="{00000000-0005-0000-0000-000044000000}"/>
    <cellStyle name="sText" xfId="59" xr:uid="{00000000-0005-0000-0000-000045000000}"/>
    <cellStyle name="sZip" xfId="63" xr:uid="{00000000-0005-0000-0000-000046000000}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name val="Calibri"/>
        <scheme val="none"/>
      </font>
      <numFmt numFmtId="3" formatCode="#,##0"/>
      <alignment horizontal="right" wrapText="1" readingOrder="0"/>
    </dxf>
  </dxfs>
  <tableStyles count="0" defaultTableStyle="TableStyleMedium9" defaultPivotStyle="PivotStyleLight16"/>
  <colors>
    <mruColors>
      <color rgb="FF5EA3CE"/>
      <color rgb="FF214F6B"/>
      <color rgb="FFAAE0DC"/>
      <color rgb="FF36938C"/>
      <color rgb="FFD4F0EE"/>
      <color rgb="FFFFCC66"/>
      <color rgb="FF00CC99"/>
      <color rgb="FFFF9966"/>
      <color rgb="FF6ABAD0"/>
      <color rgb="FF9383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Library Visits Per Capita FY2020</a:t>
            </a:r>
          </a:p>
        </c:rich>
      </c:tx>
      <c:layout>
        <c:manualLayout>
          <c:xMode val="edge"/>
          <c:yMode val="edge"/>
          <c:x val="0.15494734241698974"/>
          <c:y val="5.63816728486729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98217410323709"/>
          <c:y val="0.23172462817147871"/>
          <c:w val="0.82982338145231849"/>
          <c:h val="0.570655803441243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1A6-4F57-9996-652C60F3756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A41-4A87-8CA4-AFF27E0A517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41-4A87-8CA4-AFF27E0A5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'2020Data'!$CJ$102:$CJ$104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2.1109883695462304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6-4F57-9996-652C60F37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906560"/>
        <c:axId val="213908096"/>
      </c:barChart>
      <c:catAx>
        <c:axId val="2139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908096"/>
        <c:crosses val="autoZero"/>
        <c:auto val="1"/>
        <c:lblAlgn val="ctr"/>
        <c:lblOffset val="100"/>
        <c:noMultiLvlLbl val="0"/>
      </c:catAx>
      <c:valAx>
        <c:axId val="2139080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390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Collection Turnover Rate FY2020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91492162550889E-2"/>
          <c:y val="0.22246536891221941"/>
          <c:w val="0.87167223292134965"/>
          <c:h val="0.570655803441243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CE-4751-9E34-BBD07EBEBC1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4319-4567-BB0E-612860F7942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319-4567-BB0E-612860F7942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'2020Data'!$BY$102:$BY$104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1.275205534905776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E-4751-9E34-BBD07EBEBC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88800"/>
        <c:axId val="221390336"/>
      </c:barChart>
      <c:catAx>
        <c:axId val="2213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90336"/>
        <c:crosses val="autoZero"/>
        <c:auto val="1"/>
        <c:lblAlgn val="ctr"/>
        <c:lblOffset val="100"/>
        <c:noMultiLvlLbl val="0"/>
      </c:catAx>
      <c:valAx>
        <c:axId val="221390336"/>
        <c:scaling>
          <c:orientation val="minMax"/>
        </c:scaling>
        <c:delete val="1"/>
        <c:axPos val="l"/>
        <c:numFmt formatCode="0.00%" sourceLinked="0"/>
        <c:majorTickMark val="none"/>
        <c:minorTickMark val="none"/>
        <c:tickLblPos val="none"/>
        <c:crossAx val="221388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Operating Revenue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layout>
        <c:manualLayout>
          <c:xMode val="edge"/>
          <c:yMode val="edge"/>
          <c:x val="0.19976463121219754"/>
          <c:y val="6.036101083032491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49-4103-88BB-34FCB405D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849-4103-88BB-34FCB405D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C849-4103-88BB-34FCB405D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'2020Data'!$AQ$102:$AQ$104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25.179342187007585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9-4103-88BB-34FCB405D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8784768"/>
        <c:axId val="208786560"/>
      </c:barChart>
      <c:catAx>
        <c:axId val="2087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786560"/>
        <c:crosses val="autoZero"/>
        <c:auto val="1"/>
        <c:lblAlgn val="ctr"/>
        <c:lblOffset val="100"/>
        <c:noMultiLvlLbl val="0"/>
      </c:catAx>
      <c:valAx>
        <c:axId val="20878656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878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Total Local Government Revenue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08-4D07-AF3B-2E6A23743F2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8-4D07-AF3B-2E6A23743F2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FE08-4D07-AF3B-2E6A23743F23}"/>
              </c:ext>
            </c:extLst>
          </c:dPt>
          <c:dLbls>
            <c:dLbl>
              <c:idx val="0"/>
              <c:spPr>
                <a:effectLst>
                  <a:glow rad="101600">
                    <a:srgbClr val="00B050">
                      <a:alpha val="60000"/>
                    </a:srgbClr>
                  </a:glow>
                </a:effectLst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214F6B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08-4D07-AF3B-2E6A23743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'2020Data'!$AJ$102:$AJ$104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38.540649192355723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8-4D07-AF3B-2E6A23743F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8964224"/>
        <c:axId val="208970112"/>
      </c:barChart>
      <c:catAx>
        <c:axId val="2089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970112"/>
        <c:crosses val="autoZero"/>
        <c:auto val="1"/>
        <c:lblAlgn val="ctr"/>
        <c:lblOffset val="100"/>
        <c:noMultiLvlLbl val="0"/>
      </c:catAx>
      <c:valAx>
        <c:axId val="20897011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896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Total Operating Expenditures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9E8-4B2D-87E9-6CA0FA2F52F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9E8-4B2D-87E9-6CA0FA2F52F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29E8-4B2D-87E9-6CA0FA2F52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'2020Data'!$W$102:$W$104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23.785876426428075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8-4B2D-87E9-6CA0FA2F52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9396864"/>
        <c:axId val="209398400"/>
      </c:barChart>
      <c:catAx>
        <c:axId val="209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398400"/>
        <c:crosses val="autoZero"/>
        <c:auto val="1"/>
        <c:lblAlgn val="ctr"/>
        <c:lblOffset val="100"/>
        <c:noMultiLvlLbl val="0"/>
      </c:catAx>
      <c:valAx>
        <c:axId val="20939840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939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Salaries/Wages Expenditures</a:t>
            </a:r>
          </a:p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0B6-42EC-A2B2-563893A2253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B6-42EC-A2B2-563893A2253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B6-42EC-A2B2-563893A22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'2020Data'!$M$102:$M$104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17.287800632851209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6-42EC-A2B2-563893A22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9415552"/>
        <c:axId val="209417344"/>
      </c:barChart>
      <c:catAx>
        <c:axId val="2094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>
                <a:solidFill>
                  <a:srgbClr val="214F6B"/>
                </a:solidFill>
              </a:defRPr>
            </a:pPr>
            <a:endParaRPr lang="en-US"/>
          </a:p>
        </c:txPr>
        <c:crossAx val="209417344"/>
        <c:crosses val="autoZero"/>
        <c:auto val="1"/>
        <c:lblAlgn val="ctr"/>
        <c:lblOffset val="100"/>
        <c:noMultiLvlLbl val="0"/>
      </c:catAx>
      <c:valAx>
        <c:axId val="20941734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941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Library Materials Expenditures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EA3C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64-48BB-BCC2-21614EE83A8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4-48BB-BCC2-21614EE83A8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64-48BB-BCC2-21614EE83A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'2020Data'!$R$102:$R$104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2.4316584674325834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4-48BB-BCC2-21614EE83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1175296"/>
        <c:axId val="211176832"/>
      </c:barChart>
      <c:catAx>
        <c:axId val="2111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76832"/>
        <c:crosses val="autoZero"/>
        <c:auto val="1"/>
        <c:lblAlgn val="ctr"/>
        <c:lblOffset val="100"/>
        <c:noMultiLvlLbl val="0"/>
      </c:catAx>
      <c:valAx>
        <c:axId val="21117683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1117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Library Materials Expenditures as a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Operating Expenditures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631-4E89-92FC-34BAEE7A8FE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631-4E89-92FC-34BAEE7A8FE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631-4E89-92FC-34BAEE7A8F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'2020Data'!$Y$102:$Y$104</c:f>
              <c:numCache>
                <c:formatCode>0.00%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0.10030630260243596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1-4E89-92FC-34BAEE7A8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1210624"/>
        <c:axId val="211212160"/>
      </c:barChart>
      <c:catAx>
        <c:axId val="21121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212160"/>
        <c:crosses val="autoZero"/>
        <c:auto val="1"/>
        <c:lblAlgn val="ctr"/>
        <c:lblOffset val="100"/>
        <c:noMultiLvlLbl val="0"/>
      </c:catAx>
      <c:valAx>
        <c:axId val="2112121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12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Other Operating Expenditures as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Total Operating Expenditures FY2020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E1-440F-8F15-E8A5C33BAFD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EE1-440F-8F15-E8A5C33BAFD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7EE1-440F-8F15-E8A5C33BAFD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'2020Data'!$Z$102:$Z$104</c:f>
              <c:numCache>
                <c:formatCode>0.00%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0.16707952841077636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E1-440F-8F15-E8A5C33BAF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793408"/>
        <c:axId val="213803392"/>
      </c:barChart>
      <c:catAx>
        <c:axId val="21379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</a:defRPr>
            </a:pPr>
            <a:endParaRPr lang="en-US"/>
          </a:p>
        </c:txPr>
        <c:crossAx val="213803392"/>
        <c:crosses val="autoZero"/>
        <c:auto val="1"/>
        <c:lblAlgn val="ctr"/>
        <c:lblOffset val="100"/>
        <c:noMultiLvlLbl val="0"/>
      </c:catAx>
      <c:valAx>
        <c:axId val="2138033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3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 Staff Expenditures as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Operating Expenditures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98-48F4-96C0-554565BCA8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498-48F4-96C0-554565BCA8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D498-48F4-96C0-554565BCA8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'2020Data'!$X$102:$X$104</c:f>
              <c:numCache>
                <c:formatCode>0.00%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0.73261416898678755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8-48F4-96C0-554565BCA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582976"/>
        <c:axId val="213584512"/>
      </c:barChart>
      <c:catAx>
        <c:axId val="2135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584512"/>
        <c:crosses val="autoZero"/>
        <c:auto val="1"/>
        <c:lblAlgn val="ctr"/>
        <c:lblOffset val="100"/>
        <c:noMultiLvlLbl val="0"/>
      </c:catAx>
      <c:valAx>
        <c:axId val="2135845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358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 Full-Time Equivalent Library Employees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5A5-44C3-9C16-B0AAFCD17E3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5A5-44C3-9C16-B0AAFCD17E3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C5A5-44C3-9C16-B0AAFCD17E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'2020Data'!$CS$102:$CS$104</c:f>
              <c:numCache>
                <c:formatCode>_(* #,##0.00_);_(* \(#,##0.00\);_(* "-"??_);_(@_)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38.054878048780481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5-44C3-9C16-B0AAFCD17E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610496"/>
        <c:axId val="213612032"/>
      </c:barChart>
      <c:catAx>
        <c:axId val="21361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612032"/>
        <c:crosses val="autoZero"/>
        <c:auto val="1"/>
        <c:lblAlgn val="ctr"/>
        <c:lblOffset val="100"/>
        <c:noMultiLvlLbl val="0"/>
      </c:catAx>
      <c:valAx>
        <c:axId val="2136120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1361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Collection Use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25-46EE-A8F4-B76DB24D246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527-48C6-B167-A143F9A4BE8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27-48C6-B167-A143F9A4B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'2020Data'!$BU$102:$BU$104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4.175997303907768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5-46EE-A8F4-B76DB24D2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7362688"/>
        <c:axId val="213954944"/>
      </c:barChart>
      <c:catAx>
        <c:axId val="207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954944"/>
        <c:crosses val="autoZero"/>
        <c:auto val="1"/>
        <c:lblAlgn val="ctr"/>
        <c:lblOffset val="100"/>
        <c:noMultiLvlLbl val="0"/>
      </c:catAx>
      <c:valAx>
        <c:axId val="21395494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0736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Population per ALA-MLS Librarian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79-4C11-88BB-F7C82A93CCA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079-4C11-88BB-F7C82A93CCA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2079-4C11-88BB-F7C82A93CC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'2020Data'!$CP$102:$CP$104</c:f>
              <c:numCache>
                <c:formatCode>_(* #,##0_);_(* \(#,##0\);_(* "-"??_);_(@_)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16297.159833081027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79-4C11-88BB-F7C82A93CC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636992"/>
        <c:axId val="213638528"/>
      </c:barChart>
      <c:catAx>
        <c:axId val="21363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</a:defRPr>
            </a:pPr>
            <a:endParaRPr lang="en-US"/>
          </a:p>
        </c:txPr>
        <c:crossAx val="213638528"/>
        <c:crosses val="autoZero"/>
        <c:auto val="1"/>
        <c:lblAlgn val="ctr"/>
        <c:lblOffset val="100"/>
        <c:noMultiLvlLbl val="0"/>
      </c:catAx>
      <c:valAx>
        <c:axId val="21363852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1363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Unduplicated*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Hours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Open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in a Typical Week FY2020</a:t>
            </a:r>
          </a:p>
        </c:rich>
      </c:tx>
      <c:layout>
        <c:manualLayout>
          <c:xMode val="edge"/>
          <c:yMode val="edge"/>
          <c:x val="0.2209764631461382"/>
          <c:y val="2.07462158403899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1-4F15-B756-DB5458CCD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0D1-4F15-B756-DB5458CCD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E0D1-4F15-B756-DB5458CCD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'2020Data'!$DH$102:$DH$104</c:f>
              <c:numCache>
                <c:formatCode>_(* #,##0_);_(* \(#,##0\);_(* "-"??_);_(@_)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0.13459697965437967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1-4F15-B756-DB5458CCD6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299072"/>
        <c:axId val="221300608"/>
      </c:barChart>
      <c:catAx>
        <c:axId val="2212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00608"/>
        <c:crosses val="autoZero"/>
        <c:auto val="1"/>
        <c:lblAlgn val="ctr"/>
        <c:lblOffset val="100"/>
        <c:noMultiLvlLbl val="0"/>
      </c:catAx>
      <c:valAx>
        <c:axId val="2213006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2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Population</a:t>
            </a:r>
            <a:r>
              <a:rPr lang="en-US" sz="1400" baseline="0">
                <a:solidFill>
                  <a:srgbClr val="214F6B"/>
                </a:solidFill>
              </a:rPr>
              <a:t> per Total Paid Staff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E1-44BC-8242-951577CACB6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8E1-44BC-8242-951577CACB6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8E1-44BC-8242-951577CAC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'2020Data'!$CT$102:$CT$104</c:f>
              <c:numCache>
                <c:formatCode>_(* #,##0_);_(* \(#,##0\);_(* "-"??_);_(@_)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3525.7294518176614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1-44BC-8242-951577CACB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452928"/>
        <c:axId val="221467008"/>
      </c:barChart>
      <c:catAx>
        <c:axId val="22145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467008"/>
        <c:crosses val="autoZero"/>
        <c:auto val="1"/>
        <c:lblAlgn val="ctr"/>
        <c:lblOffset val="100"/>
        <c:noMultiLvlLbl val="0"/>
      </c:catAx>
      <c:valAx>
        <c:axId val="2214670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45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Reference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4E9-483C-AF7C-043A3965B3E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3EE-43CE-BA9C-ACA407885E3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83EE-43CE-BA9C-ACA407885E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'2020Data'!$BO$102:$BO$104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0.47751293359349556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9-483C-AF7C-043A3965B3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0982400"/>
        <c:axId val="210983936"/>
      </c:barChart>
      <c:catAx>
        <c:axId val="2109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0983936"/>
        <c:crosses val="autoZero"/>
        <c:auto val="1"/>
        <c:lblAlgn val="ctr"/>
        <c:lblOffset val="100"/>
        <c:noMultiLvlLbl val="0"/>
      </c:catAx>
      <c:valAx>
        <c:axId val="2109839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098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Library Square Footage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3950617283950615E-2"/>
          <c:y val="0.19460207612456748"/>
          <c:w val="0.96604938271604934"/>
          <c:h val="0.63351006729695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A5-4498-95D5-B049A420A1E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5-4498-95D5-B049A420A1E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A5-4498-95D5-B049A420A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'2020Data'!$I$102:$I$104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0.55860402439024393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5-4498-95D5-B049A420A1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009600"/>
        <c:axId val="222015488"/>
      </c:barChart>
      <c:catAx>
        <c:axId val="2220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015488"/>
        <c:crosses val="autoZero"/>
        <c:auto val="1"/>
        <c:lblAlgn val="ctr"/>
        <c:lblOffset val="100"/>
        <c:noMultiLvlLbl val="0"/>
      </c:catAx>
      <c:valAx>
        <c:axId val="2220154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00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Physical</a:t>
            </a:r>
            <a:r>
              <a:rPr lang="en-US" sz="1400" baseline="0">
                <a:solidFill>
                  <a:srgbClr val="214F6B"/>
                </a:solidFill>
              </a:rPr>
              <a:t> Material Expenditure per Physical Circulation</a:t>
            </a:r>
            <a:r>
              <a:rPr lang="en-US" sz="1400">
                <a:solidFill>
                  <a:srgbClr val="214F6B"/>
                </a:solidFill>
              </a:rPr>
              <a:t>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9-4A92-BBA3-0F9366F75B6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C69-4A92-BBA3-0F9366F75B6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C69-4A92-BBA3-0F9366F75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'2020Data'!$EA$102:$EA$104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0.49983097653631681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9-4A92-BBA3-0F9366F75B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Digital</a:t>
            </a:r>
            <a:r>
              <a:rPr lang="en-US" sz="1400" baseline="0">
                <a:solidFill>
                  <a:srgbClr val="214F6B"/>
                </a:solidFill>
              </a:rPr>
              <a:t> Material Expenditure per 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 baseline="0">
                <a:solidFill>
                  <a:srgbClr val="214F6B"/>
                </a:solidFill>
              </a:rPr>
              <a:t>Digital Circulation</a:t>
            </a:r>
            <a:r>
              <a:rPr lang="en-US" sz="1400">
                <a:solidFill>
                  <a:srgbClr val="214F6B"/>
                </a:solidFill>
              </a:rPr>
              <a:t>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0E-45A8-9692-EBD9A53A89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A0E-45A8-9692-EBD9A53A89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A0E-45A8-9692-EBD9A53A89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'2020Data'!$EB$102:$EB$104</c:f>
              <c:numCache>
                <c:formatCode>"$"#,##0.00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0.53005193551369711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0E-45A8-9692-EBD9A53A89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Annual</a:t>
            </a:r>
            <a:r>
              <a:rPr lang="en-US" sz="1400" baseline="0">
                <a:solidFill>
                  <a:srgbClr val="214F6B"/>
                </a:solidFill>
              </a:rPr>
              <a:t> Volunteer Hours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layout>
        <c:manualLayout>
          <c:xMode val="edge"/>
          <c:yMode val="edge"/>
          <c:x val="0.25098587213635332"/>
          <c:y val="4.506392335269281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7D-470D-96BC-8992EDF2771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27D-470D-96BC-8992EDF2771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27D-470D-96BC-8992EDF277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'2020Data'!$CU$102:$CU$104</c:f>
              <c:numCache>
                <c:formatCode>_(* #,##0_);_(* \(#,##0\);_(* "-"??_);_(@_)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2097.8565822784808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7D-470D-96BC-8992EDF27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Library Visits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4F9-41CF-9CE2-2F6F8384F45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22-4E17-A6DB-46AB4F37940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22-4E17-A6DB-46AB4F37940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822-4E17-A6DB-46AB4F37940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22-4E17-A6DB-46AB4F37940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F9-41CF-9CE2-2F6F8384F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'2020Data'!$CJ$113:$CJ$118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2.1109883695462304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9-41CF-9CE2-2F6F8384F4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421568"/>
        <c:axId val="221423104"/>
      </c:barChart>
      <c:catAx>
        <c:axId val="22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423104"/>
        <c:crosses val="autoZero"/>
        <c:auto val="1"/>
        <c:lblAlgn val="ctr"/>
        <c:lblOffset val="100"/>
        <c:noMultiLvlLbl val="0"/>
      </c:catAx>
      <c:valAx>
        <c:axId val="22142310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42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Use </a:t>
            </a:r>
            <a:r>
              <a:rPr lang="en-US" sz="1600">
                <a:solidFill>
                  <a:srgbClr val="214F6B"/>
                </a:solidFill>
              </a:rPr>
              <a:t>Per Capita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04-4831-B359-04222EA06730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96C9-41A5-ADD2-ACA2B27A7F7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96C9-41A5-ADD2-ACA2B27A7F73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96C9-41A5-ADD2-ACA2B27A7F7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96C9-41A5-ADD2-ACA2B27A7F7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304-4831-B359-04222EA067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'2020Data'!$BU$113:$BU$118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4.175997303907768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4-4831-B359-04222EA067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193536"/>
        <c:axId val="222195072"/>
      </c:barChart>
      <c:catAx>
        <c:axId val="2221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195072"/>
        <c:crosses val="autoZero"/>
        <c:auto val="1"/>
        <c:lblAlgn val="ctr"/>
        <c:lblOffset val="100"/>
        <c:noMultiLvlLbl val="0"/>
      </c:catAx>
      <c:valAx>
        <c:axId val="22219507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19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Program</a:t>
            </a:r>
            <a:r>
              <a:rPr lang="en-US" sz="1400" baseline="0">
                <a:solidFill>
                  <a:srgbClr val="214F6B"/>
                </a:solidFill>
              </a:rPr>
              <a:t> Attendance</a:t>
            </a:r>
            <a:r>
              <a:rPr lang="en-US" sz="1400">
                <a:solidFill>
                  <a:srgbClr val="214F6B"/>
                </a:solidFill>
              </a:rPr>
              <a:t> Per Capita FY2020</a:t>
            </a:r>
          </a:p>
        </c:rich>
      </c:tx>
      <c:layout>
        <c:manualLayout>
          <c:xMode val="edge"/>
          <c:yMode val="edge"/>
          <c:x val="0.17467658586636095"/>
          <c:y val="5.365080819687154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F2C-4B3B-959A-1DA2FCB4952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35EC-4532-823B-9C45E9EF6E1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5EC-4532-823B-9C45E9EF6E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'2020Data'!$CH$102:$CH$104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0.25037138726775787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C-4B3B-959A-1DA2FCB495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687552"/>
        <c:axId val="215689088"/>
      </c:barChart>
      <c:catAx>
        <c:axId val="21568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689088"/>
        <c:crosses val="autoZero"/>
        <c:auto val="1"/>
        <c:lblAlgn val="ctr"/>
        <c:lblOffset val="100"/>
        <c:noMultiLvlLbl val="0"/>
      </c:catAx>
      <c:valAx>
        <c:axId val="2156890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68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Program Attendance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0B3-4C19-B09D-F6A23221AF7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3CC7-474E-9D0E-27A231D4E3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CC7-474E-9D0E-27A231D4E3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3CC7-474E-9D0E-27A231D4E3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3CC7-474E-9D0E-27A231D4E3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0B3-4C19-B09D-F6A23221AF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'2020Data'!$CH$113:$CH$118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0.25037138726775787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3-4C19-B09D-F6A23221A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28480"/>
        <c:axId val="222230016"/>
      </c:barChart>
      <c:catAx>
        <c:axId val="22222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230016"/>
        <c:crosses val="autoZero"/>
        <c:auto val="1"/>
        <c:lblAlgn val="ctr"/>
        <c:lblOffset val="100"/>
        <c:noMultiLvlLbl val="0"/>
      </c:catAx>
      <c:valAx>
        <c:axId val="2222300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22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Reference Questions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083047311393914E-2"/>
          <c:y val="0.12163119683008659"/>
          <c:w val="0.87273500765917267"/>
          <c:h val="0.714395320827569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3F6-40CA-B259-99E4C5662CF5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94DF-426E-BE70-15E0BA072546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94DF-426E-BE70-15E0BA072546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94DF-426E-BE70-15E0BA072546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94DF-426E-BE70-15E0BA07254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3F6-40CA-B259-99E4C5662C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'2020Data'!$BO$113:$BO$118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0.47751293359349556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6-40CA-B259-99E4C5662C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50880"/>
        <c:axId val="222252416"/>
      </c:barChart>
      <c:catAx>
        <c:axId val="2222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252416"/>
        <c:crosses val="autoZero"/>
        <c:auto val="1"/>
        <c:lblAlgn val="ctr"/>
        <c:lblOffset val="100"/>
        <c:noMultiLvlLbl val="0"/>
      </c:catAx>
      <c:valAx>
        <c:axId val="2222524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Population per Professional Librarian (MLS)</a:t>
            </a:r>
          </a:p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  <a:latin typeface="Calibri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E2-4184-AB34-0C4F9F917065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E842-4817-B6AB-3E05656DDC7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1369-497A-9D51-296A3D6A5300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1369-497A-9D51-296A3D6A5300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E842-4817-B6AB-3E05656DDC7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5E2-4184-AB34-0C4F9F917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'2020Data'!$CP$113:$CP$118</c:f>
              <c:numCache>
                <c:formatCode>_(* #,##0_);_(* \(#,##0\);_(*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16297.159833081027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184-AB34-0C4F9F9170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94016"/>
        <c:axId val="222295552"/>
      </c:barChart>
      <c:catAx>
        <c:axId val="22229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22295552"/>
        <c:crosses val="autoZero"/>
        <c:auto val="1"/>
        <c:lblAlgn val="ctr"/>
        <c:lblOffset val="100"/>
        <c:noMultiLvlLbl val="0"/>
      </c:catAx>
      <c:valAx>
        <c:axId val="222295552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29401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Public Service</a:t>
            </a:r>
            <a:r>
              <a:rPr lang="en-US" sz="1600" baseline="0">
                <a:solidFill>
                  <a:srgbClr val="214F6B"/>
                </a:solidFill>
              </a:rPr>
              <a:t> Hours Per Capita</a:t>
            </a:r>
            <a:r>
              <a:rPr lang="en-US" sz="1600">
                <a:solidFill>
                  <a:srgbClr val="214F6B"/>
                </a:solidFill>
              </a:rPr>
              <a:t>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8923654920073189"/>
          <c:y val="4.183750613548900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8B-421B-A9BF-FE01B0E65068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6A41-4D3E-9DC8-B28EF167B85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6A41-4D3E-9DC8-B28EF167B85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6A41-4D3E-9DC8-B28EF167B85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A41-4D3E-9DC8-B28EF167B85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08B-421B-A9BF-FE01B0E6506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'2020Data'!$DH$113:$DH$118</c:f>
              <c:numCache>
                <c:formatCode>_(* #,##0_);_(* \(#,##0\);_(*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0.13459697965437967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B-421B-A9BF-FE01B0E650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324608"/>
        <c:axId val="222326144"/>
      </c:barChart>
      <c:catAx>
        <c:axId val="2223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326144"/>
        <c:crosses val="autoZero"/>
        <c:auto val="1"/>
        <c:lblAlgn val="ctr"/>
        <c:lblOffset val="100"/>
        <c:noMultiLvlLbl val="0"/>
      </c:catAx>
      <c:valAx>
        <c:axId val="22232614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32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Population per Total Paid Staff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412027631044291E-2"/>
          <c:y val="0.23991138334860504"/>
          <c:w val="0.9553027224705406"/>
          <c:h val="0.65736568385026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BB-48BF-9BE8-436DE523BBD0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E747-4DF0-82D0-58D3B214B96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E747-4DF0-82D0-58D3B214B96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E747-4DF0-82D0-58D3B214B96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E747-4DF0-82D0-58D3B214B9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0BB-48BF-9BE8-436DE523BB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'2020Data'!$CT$113:$CT$118</c:f>
              <c:numCache>
                <c:formatCode>_(* #,##0_);_(* \(#,##0\);_(*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3525.7294518176614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B-48BF-9BE8-436DE523B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351360"/>
        <c:axId val="222352896"/>
      </c:barChart>
      <c:catAx>
        <c:axId val="2223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2352896"/>
        <c:crosses val="autoZero"/>
        <c:auto val="1"/>
        <c:lblAlgn val="ctr"/>
        <c:lblOffset val="100"/>
        <c:noMultiLvlLbl val="0"/>
      </c:catAx>
      <c:valAx>
        <c:axId val="222352896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351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Colletion Use Per Paid Staff </a:t>
            </a:r>
            <a:r>
              <a:rPr lang="en-US" sz="1600" b="1" i="0" u="none" strike="noStrike" kern="1200" baseline="0">
                <a:solidFill>
                  <a:srgbClr val="214F6B"/>
                </a:solidFill>
                <a:latin typeface="Calibri"/>
                <a:ea typeface="Calibri"/>
                <a:cs typeface="Calibri"/>
              </a:rPr>
              <a:t>FY2020</a:t>
            </a:r>
            <a:endParaRPr lang="en-US" sz="1400" b="1" i="0" u="none" strike="noStrike" kern="1200" baseline="0">
              <a:solidFill>
                <a:srgbClr val="214F6B"/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25659988108181037"/>
          <c:y val="2.73452401159696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6BE-4427-818F-5B5D481424E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2C7-40D2-A28C-CA7C08953889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C2C7-40D2-A28C-CA7C08953889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C2C7-40D2-A28C-CA7C08953889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C2C7-40D2-A28C-CA7C0895388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6BE-4427-818F-5B5D481424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'2020Data'!$BV$113:$BV$118</c:f>
              <c:numCache>
                <c:formatCode>_(* #,##0_);_(* \(#,##0\);_(*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12440.601421887757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E-4427-818F-5B5D481424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402432"/>
        <c:axId val="222403968"/>
      </c:barChart>
      <c:catAx>
        <c:axId val="2224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403968"/>
        <c:crosses val="autoZero"/>
        <c:auto val="1"/>
        <c:lblAlgn val="ctr"/>
        <c:lblOffset val="100"/>
        <c:noMultiLvlLbl val="0"/>
      </c:catAx>
      <c:valAx>
        <c:axId val="22240396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4024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Books In Print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446277548639755E-2"/>
          <c:y val="0.15647106779274225"/>
          <c:w val="0.89627329917093657"/>
          <c:h val="0.64445287955426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46-48E1-8C30-B77FA530F0D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925C-40C8-B804-EAB41553712C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925C-40C8-B804-EAB41553712C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925C-40C8-B804-EAB41553712C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925C-40C8-B804-EAB41553712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746-48E1-8C30-B77FA530F0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'2020Data'!$BA$113:$BA$118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1.8180562645258997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6-48E1-8C30-B77FA530F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485952"/>
        <c:axId val="223487488"/>
      </c:barChart>
      <c:catAx>
        <c:axId val="2234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487488"/>
        <c:crosses val="autoZero"/>
        <c:auto val="1"/>
        <c:lblAlgn val="ctr"/>
        <c:lblOffset val="100"/>
        <c:noMultiLvlLbl val="0"/>
      </c:catAx>
      <c:valAx>
        <c:axId val="2234874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348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Use</a:t>
            </a:r>
            <a:r>
              <a:rPr lang="en-US" sz="1600">
                <a:solidFill>
                  <a:srgbClr val="214F6B"/>
                </a:solidFill>
              </a:rPr>
              <a:t> per Library Visit </a:t>
            </a:r>
            <a:r>
              <a:rPr lang="en-US" sz="1600" b="1" i="0" baseline="0">
                <a:solidFill>
                  <a:srgbClr val="214F6B"/>
                </a:solidFill>
              </a:rPr>
              <a:t>FY2020</a:t>
            </a:r>
            <a:endParaRPr lang="en-US" sz="1800" b="0" i="0" baseline="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3173483019542382"/>
          <c:y val="2.725739079082737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D2-44EB-B09B-9DD659F4905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B68C-4668-8F60-9534BAAE42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B68C-4668-8F60-9534BAAE42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B68C-4668-8F60-9534BAAE42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B68C-4668-8F60-9534BAAE42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8D2-44EB-B09B-9DD659F49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'2020Data'!$BX$113:$BX$118</c:f>
              <c:numCache>
                <c:formatCode>_(* #,##0.00_);_(* \(#,##0.00\);_(*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0.00">
                  <c:v>1.9800662230484027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4EB-B09B-9DD659F490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555584"/>
        <c:axId val="223557120"/>
      </c:barChart>
      <c:catAx>
        <c:axId val="2235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3557120"/>
        <c:crosses val="autoZero"/>
        <c:auto val="1"/>
        <c:lblAlgn val="ctr"/>
        <c:lblOffset val="100"/>
        <c:noMultiLvlLbl val="0"/>
      </c:catAx>
      <c:valAx>
        <c:axId val="2235571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2355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Collection Turnover Rate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C6-4412-8B2D-4642B7D0D20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8C46-43FB-A826-BBBE86844D6C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8C46-43FB-A826-BBBE86844D6C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8C46-43FB-A826-BBBE86844D6C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8C46-43FB-A826-BBBE86844D6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8C6-4412-8B2D-4642B7D0D20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'2020Data'!$BY$113:$BY$118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1.275205534905776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6-4412-8B2D-4642B7D0D2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578368"/>
        <c:axId val="223584256"/>
      </c:barChart>
      <c:catAx>
        <c:axId val="2235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3584256"/>
        <c:crosses val="autoZero"/>
        <c:auto val="1"/>
        <c:lblAlgn val="ctr"/>
        <c:lblOffset val="100"/>
        <c:noMultiLvlLbl val="0"/>
      </c:catAx>
      <c:valAx>
        <c:axId val="223584256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one"/>
        <c:crossAx val="22357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 Use Per Capita Physical (lighter) vs. Digital (darker)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 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60-40A5-93A9-96DA416682D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E3C5-4E64-9292-E3FB2641E72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3C5-4E64-9292-E3FB2641E723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E3C5-4E64-9292-E3FB2641E72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3C5-4E64-9292-E3FB2641E72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260-40A5-93A9-96DA41668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'2020Data'!$DY$113:$DY$118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2.739861546619986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0-40A5-93A9-96DA416682DF}"/>
            </c:ext>
          </c:extLst>
        </c:ser>
        <c:ser>
          <c:idx val="1"/>
          <c:order val="1"/>
          <c:tx>
            <c:v>Digital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6938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0-40A5-93A9-96DA416682DF}"/>
              </c:ext>
            </c:extLst>
          </c:dPt>
          <c:dPt>
            <c:idx val="1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C5-4E64-9292-E3FB2641E723}"/>
              </c:ext>
            </c:extLst>
          </c:dPt>
          <c:dPt>
            <c:idx val="2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3C5-4E64-9292-E3FB2641E723}"/>
              </c:ext>
            </c:extLst>
          </c:dPt>
          <c:dPt>
            <c:idx val="3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C5-4E64-9292-E3FB2641E723}"/>
              </c:ext>
            </c:extLst>
          </c:dPt>
          <c:dPt>
            <c:idx val="4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3C5-4E64-9292-E3FB2641E72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60-40A5-93A9-96DA41668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'2020Data'!$DZ$113:$DZ$118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1.4361357572877798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60-40A5-93A9-96DA416682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42880"/>
        <c:axId val="226852864"/>
      </c:barChart>
      <c:catAx>
        <c:axId val="22684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852864"/>
        <c:crosses val="autoZero"/>
        <c:auto val="1"/>
        <c:lblAlgn val="ctr"/>
        <c:lblOffset val="100"/>
        <c:noMultiLvlLbl val="0"/>
      </c:catAx>
      <c:valAx>
        <c:axId val="22685286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42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Books in Print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87-46A8-9978-2D6C8DDE80F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87-46A8-9978-2D6C8DDE80F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A87-46A8-9978-2D6C8DDE8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'2020Data'!$BA$102:$BA$104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1.8180562645258997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7-46A8-9978-2D6C8DDE8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18144"/>
        <c:axId val="215732224"/>
      </c:barChart>
      <c:catAx>
        <c:axId val="2157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32224"/>
        <c:crosses val="autoZero"/>
        <c:auto val="1"/>
        <c:lblAlgn val="ctr"/>
        <c:lblOffset val="100"/>
        <c:noMultiLvlLbl val="0"/>
      </c:catAx>
      <c:valAx>
        <c:axId val="21573222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71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Children's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>
                <a:solidFill>
                  <a:srgbClr val="214F6B"/>
                </a:solidFill>
              </a:rPr>
              <a:t>Circulation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8582621890236681"/>
          <c:y val="5.92479989894466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99027678358387E-2"/>
          <c:y val="0.28571587254664838"/>
          <c:w val="0.90717638988308258"/>
          <c:h val="0.56647586287208984"/>
        </c:manualLayout>
      </c:layout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B08-43A2-A7A1-47DC2DCCF4A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6882-439D-817E-E0E75DFCDCC6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882-439D-817E-E0E75DFCDCC6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6882-439D-817E-E0E75DFCDCC6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882-439D-817E-E0E75DFCDCC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B08-43A2-A7A1-47DC2DCCF4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'2020Data'!$DW$113:$DW$118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1.2571928523466971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8-43A2-A7A1-47DC2DCCF4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84608"/>
        <c:axId val="2267676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Digital</c:v>
                </c:tx>
                <c:spPr>
                  <a:solidFill>
                    <a:schemeClr val="accent2">
                      <a:lumMod val="75000"/>
                    </a:schemeClr>
                  </a:solidFill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75000"/>
                      </a:schemeClr>
                    </a:solidFill>
                    <a:ln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7B08-43A2-A7A1-47DC2DCCF4A6}"/>
                    </c:ext>
                  </c:extLst>
                </c:dPt>
                <c:dLbls>
                  <c:dLbl>
                    <c:idx val="0"/>
                    <c:spPr>
                      <a:effectLst/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7B08-43A2-A7A1-47DC2DCCF4A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'2020Data'!$B$113:$B$118</c15:sqref>
                        </c15:formulaRef>
                      </c:ext>
                    </c:extLst>
                    <c:strCache>
                      <c:ptCount val="6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Average Statewide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'2020Data'!$DX$113:$DX$118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B08-43A2-A7A1-47DC2DCCF4A6}"/>
                  </c:ext>
                </c:extLst>
              </c15:ser>
            </c15:filteredBarSeries>
          </c:ext>
        </c:extLst>
      </c:barChart>
      <c:catAx>
        <c:axId val="2268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767616"/>
        <c:crosses val="autoZero"/>
        <c:auto val="1"/>
        <c:lblAlgn val="ctr"/>
        <c:lblOffset val="100"/>
        <c:noMultiLvlLbl val="0"/>
      </c:catAx>
      <c:valAx>
        <c:axId val="2267676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84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>
                <a:solidFill>
                  <a:srgbClr val="214F6B"/>
                </a:solidFill>
              </a:rPr>
              <a:t>Holdings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B84-427F-B4F3-176A7DEC40D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891-4877-9E4C-0FF6640AA648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F891-4877-9E4C-0FF6640AA648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F891-4877-9E4C-0FF6640AA648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F891-4877-9E4C-0FF6640AA64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B84-427F-B4F3-176A7DEC40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'2020Data'!$BL$113:$BL$118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5.2497504786709221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4-427F-B4F3-176A7DEC4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13440"/>
        <c:axId val="226814976"/>
      </c:barChart>
      <c:catAx>
        <c:axId val="2268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814976"/>
        <c:crosses val="autoZero"/>
        <c:auto val="1"/>
        <c:lblAlgn val="ctr"/>
        <c:lblOffset val="100"/>
        <c:noMultiLvlLbl val="0"/>
      </c:catAx>
      <c:valAx>
        <c:axId val="2268149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13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Operating Revenue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F88-4BD1-ABBF-66CE52730B59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764D-443A-8B5F-BD1F259CDC2D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764D-443A-8B5F-BD1F259CDC2D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0A1E-4A40-B0DF-BEB5BB10CF3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764D-443A-8B5F-BD1F259CDC2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F88-4BD1-ABBF-66CE52730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'2020Data'!$AQ$113:$AQ$118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25.179342187007585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8-4BD1-ABBF-66CE52730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943744"/>
        <c:axId val="226945280"/>
      </c:barChart>
      <c:catAx>
        <c:axId val="2269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945280"/>
        <c:crosses val="autoZero"/>
        <c:auto val="1"/>
        <c:lblAlgn val="ctr"/>
        <c:lblOffset val="100"/>
        <c:noMultiLvlLbl val="0"/>
      </c:catAx>
      <c:valAx>
        <c:axId val="22694528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694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Total Local Government Revenue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B57-4ED7-99F4-575C74F578C4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4105-44FD-B0BF-8E0792A46997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4105-44FD-B0BF-8E0792A46997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105-44FD-B0BF-8E0792A46997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105-44FD-B0BF-8E0792A4699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B57-4ED7-99F4-575C74F578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'2020Data'!$AJ$113:$AJ$118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38.540649192355723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7-4ED7-99F4-575C74F578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974336"/>
        <c:axId val="226976128"/>
      </c:barChart>
      <c:catAx>
        <c:axId val="2269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976128"/>
        <c:crosses val="autoZero"/>
        <c:auto val="1"/>
        <c:lblAlgn val="ctr"/>
        <c:lblOffset val="100"/>
        <c:noMultiLvlLbl val="0"/>
      </c:catAx>
      <c:valAx>
        <c:axId val="226976128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697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Total Operating Expenditures</a:t>
            </a:r>
          </a:p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D5-48F5-A58F-826ABBB5E4E2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D97B-4BCA-BE86-936F916C55DA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D97B-4BCA-BE86-936F916C55DA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D97B-4BCA-BE86-936F916C55DA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D97B-4BCA-BE86-936F916C55D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1D5-48F5-A58F-826ABBB5E4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'2020Data'!$W$113:$W$118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23.785876426428075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D5-48F5-A58F-826ABBB5E4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025280"/>
        <c:axId val="227026816"/>
      </c:barChart>
      <c:catAx>
        <c:axId val="22702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026816"/>
        <c:crosses val="autoZero"/>
        <c:auto val="1"/>
        <c:lblAlgn val="ctr"/>
        <c:lblOffset val="100"/>
        <c:noMultiLvlLbl val="0"/>
      </c:catAx>
      <c:valAx>
        <c:axId val="227026816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02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Other Operating Expenditures as Percentage of </a:t>
            </a:r>
            <a:br>
              <a:rPr lang="en-US" sz="1600">
                <a:solidFill>
                  <a:srgbClr val="214F6B"/>
                </a:solidFill>
              </a:rPr>
            </a:br>
            <a:r>
              <a:rPr lang="en-US" sz="1600">
                <a:solidFill>
                  <a:srgbClr val="214F6B"/>
                </a:solidFill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0070C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51-4731-A38A-4C58AC95ABF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2BA3-4C7B-A6C1-010C16E3837B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BA3-4C7B-A6C1-010C16E3837B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2BA3-4C7B-A6C1-010C16E3837B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BA3-4C7B-A6C1-010C16E3837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351-4731-A38A-4C58AC95ABFE}"/>
              </c:ext>
            </c:extLst>
          </c:dPt>
          <c:dLbls>
            <c:dLbl>
              <c:idx val="1"/>
              <c:layout>
                <c:manualLayout>
                  <c:x val="0"/>
                  <c:y val="4.1363607614952535E-3"/>
                </c:manualLayout>
              </c:layout>
              <c:tx>
                <c:rich>
                  <a:bodyPr/>
                  <a:lstStyle/>
                  <a:p>
                    <a:fld id="{8C370A0E-9F50-4045-8F75-7022E6544C7C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BA3-4C7B-A6C1-010C16E38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'2020Data'!$Z$113:$Z$118</c:f>
              <c:numCache>
                <c:formatCode>0.00%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0.16707952841077636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1-4731-A38A-4C58AC95AB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055872"/>
        <c:axId val="227057664"/>
      </c:barChart>
      <c:catAx>
        <c:axId val="2270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057664"/>
        <c:crosses val="autoZero"/>
        <c:auto val="1"/>
        <c:lblAlgn val="ctr"/>
        <c:lblOffset val="100"/>
        <c:noMultiLvlLbl val="0"/>
      </c:catAx>
      <c:valAx>
        <c:axId val="2270576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05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Library Materials Expenditures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0860661230082542"/>
          <c:y val="3.111111111111125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D9-4BD8-AA31-FBC3D02FBA8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F9FE-449F-9902-C4D0FFE5CFB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F9FE-449F-9902-C4D0FFE5CFB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F9FE-449F-9902-C4D0FFE5CFB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F9FE-449F-9902-C4D0FFE5CFB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3D9-4BD8-AA31-FBC3D02FBA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'2020Data'!$R$113:$R$118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2.4316584674325834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9-4BD8-AA31-FBC3D02FBA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64544"/>
        <c:axId val="227166080"/>
      </c:barChart>
      <c:catAx>
        <c:axId val="22716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66080"/>
        <c:crosses val="autoZero"/>
        <c:auto val="1"/>
        <c:lblAlgn val="ctr"/>
        <c:lblOffset val="100"/>
        <c:noMultiLvlLbl val="0"/>
      </c:catAx>
      <c:valAx>
        <c:axId val="22716608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164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Salaries/Wages Expenditures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79A-49F5-90A4-D7900B5F1FA2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05B2-42CB-93FC-D0909061154B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05B2-42CB-93FC-D0909061154B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05B2-42CB-93FC-D0909061154B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05B2-42CB-93FC-D0909061154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79A-49F5-90A4-D7900B5F1F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'2020Data'!$M$113:$M$118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17.287800632851209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A-49F5-90A4-D7900B5F1F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44064"/>
        <c:axId val="227145600"/>
      </c:barChart>
      <c:catAx>
        <c:axId val="2271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45600"/>
        <c:crosses val="autoZero"/>
        <c:auto val="1"/>
        <c:lblAlgn val="ctr"/>
        <c:lblOffset val="100"/>
        <c:noMultiLvlLbl val="0"/>
      </c:catAx>
      <c:valAx>
        <c:axId val="22714560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14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Library Materials Expenditure as Percentage of </a:t>
            </a:r>
            <a:br>
              <a:rPr lang="en-US" sz="1600">
                <a:solidFill>
                  <a:srgbClr val="214F6B"/>
                </a:solidFill>
              </a:rPr>
            </a:br>
            <a:r>
              <a:rPr lang="en-US" sz="1600">
                <a:solidFill>
                  <a:srgbClr val="214F6B"/>
                </a:solidFill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885-4D3E-8501-606D4B3604C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63A6-48BC-9CA4-15A2BEBC8D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63A6-48BC-9CA4-15A2BEBC8D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63A6-48BC-9CA4-15A2BEBC8D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63A6-48BC-9CA4-15A2BEBC8D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85-4D3E-8501-606D4B3604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'2020Data'!$Y$113:$Y$118</c:f>
              <c:numCache>
                <c:formatCode>0.00%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0.10030630260243596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5-4D3E-8501-606D4B3604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66560"/>
        <c:axId val="227268096"/>
      </c:barChart>
      <c:catAx>
        <c:axId val="2272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1">
                <a:solidFill>
                  <a:srgbClr val="214F6B"/>
                </a:solidFill>
              </a:defRPr>
            </a:pPr>
            <a:endParaRPr lang="en-US"/>
          </a:p>
        </c:txPr>
        <c:crossAx val="227268096"/>
        <c:crosses val="autoZero"/>
        <c:auto val="1"/>
        <c:lblAlgn val="ctr"/>
        <c:lblOffset val="100"/>
        <c:noMultiLvlLbl val="0"/>
      </c:catAx>
      <c:valAx>
        <c:axId val="2272680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266560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Total Full-Time Equivalent</a:t>
            </a:r>
            <a:r>
              <a:rPr lang="en-US" sz="1600" baseline="0">
                <a:solidFill>
                  <a:srgbClr val="214F6B"/>
                </a:solidFill>
                <a:latin typeface="Calibri" pitchFamily="34" charset="0"/>
              </a:rPr>
              <a:t> (FTE) Library Employees</a:t>
            </a: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 </a:t>
            </a:r>
            <a:br>
              <a:rPr lang="en-US" sz="1600">
                <a:solidFill>
                  <a:srgbClr val="214F6B"/>
                </a:solidFill>
                <a:latin typeface="Calibri" pitchFamily="34" charset="0"/>
              </a:rPr>
            </a:b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  <a:latin typeface="Calibri" pitchFamily="34" charset="0"/>
            </a:endParaRPr>
          </a:p>
        </c:rich>
      </c:tx>
      <c:layout>
        <c:manualLayout>
          <c:xMode val="edge"/>
          <c:yMode val="edge"/>
          <c:x val="0.15303554276738629"/>
          <c:y val="3.84993846650825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D1D-4C11-B635-AA913EA48B04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B35F-4017-955B-3D1B8BE94170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B35F-4017-955B-3D1B8BE94170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B35F-4017-955B-3D1B8BE94170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B35F-4017-955B-3D1B8BE94170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D1D-4C11-B635-AA913EA48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'2020Data'!$CS$113:$CS$118</c:f>
              <c:numCache>
                <c:formatCode>_(* #,##0.00_);_(* \(#,##0.00\);_(*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38.054878048780481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D-4C11-B635-AA913EA48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123904"/>
        <c:axId val="222125440"/>
      </c:barChart>
      <c:catAx>
        <c:axId val="2221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22125440"/>
        <c:crosses val="autoZero"/>
        <c:auto val="1"/>
        <c:lblAlgn val="ctr"/>
        <c:lblOffset val="100"/>
        <c:noMultiLvlLbl val="0"/>
      </c:catAx>
      <c:valAx>
        <c:axId val="222125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22123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Collection Total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Items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62F-421B-B75E-452218934F8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6EEC-4014-8442-54B9BEF2BC5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6EEC-4014-8442-54B9BEF2BC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'2020Data'!$BL$102:$BL$104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5.2497504786709221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F-421B-B75E-452218934F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56800"/>
        <c:axId val="215758336"/>
      </c:barChart>
      <c:catAx>
        <c:axId val="2157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58336"/>
        <c:crosses val="autoZero"/>
        <c:auto val="1"/>
        <c:lblAlgn val="ctr"/>
        <c:lblOffset val="100"/>
        <c:noMultiLvlLbl val="0"/>
      </c:catAx>
      <c:valAx>
        <c:axId val="215758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75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Library Square Footage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4289352811014542"/>
          <c:y val="2.8177412164220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77-4961-80D7-B204A8C2F82D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27D-467D-A9AD-380F46BA3658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C27D-467D-A9AD-380F46BA3658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C27D-467D-A9AD-380F46BA3658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C27D-467D-A9AD-380F46BA365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A577-4961-80D7-B204A8C2F8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'2020Data'!$I$113:$I$118</c:f>
              <c:numCache>
                <c:formatCode>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0.55860402439024393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7-4961-80D7-B204A8C2F8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78848"/>
        <c:axId val="227280384"/>
      </c:barChart>
      <c:catAx>
        <c:axId val="2272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7280384"/>
        <c:crosses val="autoZero"/>
        <c:auto val="1"/>
        <c:lblAlgn val="ctr"/>
        <c:lblOffset val="100"/>
        <c:noMultiLvlLbl val="0"/>
      </c:catAx>
      <c:valAx>
        <c:axId val="2272803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7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Salaries/Wages Expenditures as Percentage of </a:t>
            </a:r>
            <a:b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</a:b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AE0DC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0B-4953-A9AC-5F1797DF40C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505-49A9-B76C-E18F5E0AFDC5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505-49A9-B76C-E18F5E0AFDC5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0505-49A9-B76C-E18F5E0AFDC5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505-49A9-B76C-E18F5E0AFDC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40B-4953-A9AC-5F1797DF4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'2020Data'!$X$113:$X$118</c:f>
              <c:numCache>
                <c:formatCode>0.00%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0.73261416898678755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B-4953-A9AC-5F1797DF40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44064"/>
        <c:axId val="227145600"/>
      </c:barChart>
      <c:catAx>
        <c:axId val="2271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45600"/>
        <c:crosses val="autoZero"/>
        <c:auto val="1"/>
        <c:lblAlgn val="ctr"/>
        <c:lblOffset val="100"/>
        <c:noMultiLvlLbl val="0"/>
      </c:catAx>
      <c:valAx>
        <c:axId val="2271456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14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Annual</a:t>
            </a:r>
            <a:r>
              <a:rPr lang="en-US" sz="1600" baseline="0">
                <a:solidFill>
                  <a:srgbClr val="214F6B"/>
                </a:solidFill>
              </a:rPr>
              <a:t> Volunteer Hours 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30563411388665895"/>
          <c:y val="3.28929336424459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E-4378-8CED-B7B82FF8C93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6BD3-482F-84DD-16BACBE9E5A9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098-4E1D-B8E0-022BB9B5436A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BD3-482F-84DD-16BACBE9E5A9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098-4E1D-B8E0-022BB9B5436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181E-4378-8CED-B7B82FF8C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'2020Data'!$CU$113:$CU$118</c:f>
              <c:numCache>
                <c:formatCode>_(* #,##0_);_(* \(#,##0\);_(* "-"??_);_(@_)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2097.8565822784808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1E-4378-8CED-B7B82FF8C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78848"/>
        <c:axId val="227280384"/>
      </c:barChart>
      <c:catAx>
        <c:axId val="2272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80384"/>
        <c:crosses val="autoZero"/>
        <c:auto val="1"/>
        <c:lblAlgn val="ctr"/>
        <c:lblOffset val="100"/>
        <c:noMultiLvlLbl val="0"/>
      </c:catAx>
      <c:valAx>
        <c:axId val="22728038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7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600" b="1" i="0" baseline="0">
                <a:solidFill>
                  <a:srgbClr val="214F6B"/>
                </a:solidFill>
                <a:effectLst/>
              </a:rPr>
              <a:t>Physical Material Expenditure per Circulation FY2020</a:t>
            </a:r>
            <a:endParaRPr lang="en-US" sz="1200">
              <a:solidFill>
                <a:srgbClr val="214F6B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FB-4F87-8BFF-8CA331FDA23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BAFB-4F87-8BFF-8CA331FDA23E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BAFB-4F87-8BFF-8CA331FDA23E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BAFB-4F87-8BFF-8CA331FDA23E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AFB-4F87-8BFF-8CA331FDA23E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9D45-487A-9B5C-CFD540B0CD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'2020Data'!$EA$113:$EA$118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0.49983097653631681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B-4F87-8BFF-8CA331FDA2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31616"/>
        <c:axId val="227233152"/>
      </c:barChart>
      <c:catAx>
        <c:axId val="227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33152"/>
        <c:crosses val="autoZero"/>
        <c:auto val="1"/>
        <c:lblAlgn val="ctr"/>
        <c:lblOffset val="100"/>
        <c:noMultiLvlLbl val="0"/>
      </c:catAx>
      <c:valAx>
        <c:axId val="22723315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2316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600" b="1" i="0" baseline="0">
                <a:solidFill>
                  <a:srgbClr val="214F6B"/>
                </a:solidFill>
                <a:effectLst/>
              </a:rPr>
              <a:t>Digital Material Expenditure per Circulation FY2020</a:t>
            </a:r>
            <a:endParaRPr lang="en-US" sz="1200">
              <a:solidFill>
                <a:srgbClr val="214F6B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9-43B6-A592-CBAB672F807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D949-43B6-A592-CBAB672F807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B-D949-43B6-A592-CBAB672F807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F-D949-43B6-A592-CBAB672F807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D949-43B6-A592-CBAB672F807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949-43B6-A592-CBAB672F80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Average Statewide</c:v>
                </c:pt>
              </c:strCache>
            </c:strRef>
          </c:cat>
          <c:val>
            <c:numRef>
              <c:f>'2020Data'!$EB$113:$EB$118</c:f>
              <c:numCache>
                <c:formatCode>"$"#,##0.00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0.53005193551369711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49-43B6-A592-CBAB672F80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31616"/>
        <c:axId val="227233152"/>
      </c:barChart>
      <c:catAx>
        <c:axId val="227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33152"/>
        <c:crosses val="autoZero"/>
        <c:auto val="1"/>
        <c:lblAlgn val="ctr"/>
        <c:lblOffset val="100"/>
        <c:noMultiLvlLbl val="0"/>
      </c:catAx>
      <c:valAx>
        <c:axId val="22723315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2316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>
                <a:solidFill>
                  <a:srgbClr val="214F6B"/>
                </a:solidFill>
              </a:rPr>
              <a:t>Circulation</a:t>
            </a:r>
            <a:r>
              <a:rPr lang="en-US" sz="1400" b="1" baseline="0">
                <a:solidFill>
                  <a:srgbClr val="214F6B"/>
                </a:solidFill>
              </a:rPr>
              <a:t> per paid Staff</a:t>
            </a:r>
            <a:br>
              <a:rPr lang="en-US" sz="1400" b="1" baseline="0">
                <a:solidFill>
                  <a:srgbClr val="214F6B"/>
                </a:solidFill>
              </a:rPr>
            </a:br>
            <a:r>
              <a:rPr lang="en-US" sz="1400" b="1">
                <a:solidFill>
                  <a:srgbClr val="214F6B"/>
                </a:solidFill>
              </a:rPr>
              <a:t>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2FB-4153-9806-680CCEE3A0B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48C-416A-AD2B-AB583462098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48C-416A-AD2B-AB58346209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'2020Data'!$BV$102:$BV$104</c:f>
              <c:numCache>
                <c:formatCode>_(* #,##0_);_(* \(#,##0\);_(* "-"??_);_(@_)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12440.601421887757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B-4153-9806-680CCEE3A0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91104"/>
        <c:axId val="215792640"/>
      </c:barChart>
      <c:catAx>
        <c:axId val="2157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92640"/>
        <c:crosses val="autoZero"/>
        <c:auto val="1"/>
        <c:lblAlgn val="ctr"/>
        <c:lblOffset val="100"/>
        <c:noMultiLvlLbl val="0"/>
      </c:catAx>
      <c:valAx>
        <c:axId val="215792640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1579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214F6B"/>
                </a:solidFill>
              </a:defRPr>
            </a:pPr>
            <a:r>
              <a:rPr lang="en-US" sz="1400" b="1">
                <a:solidFill>
                  <a:srgbClr val="214F6B"/>
                </a:solidFill>
              </a:rPr>
              <a:t>Digital (lighter) vs. Physical (darker) Item Usage FY2020</a:t>
            </a:r>
          </a:p>
        </c:rich>
      </c:tx>
      <c:layout>
        <c:manualLayout>
          <c:xMode val="edge"/>
          <c:yMode val="edge"/>
          <c:x val="0.11321691178306323"/>
          <c:y val="4.674588389305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11498671432161"/>
          <c:y val="0.27558161054196895"/>
          <c:w val="0.84904284339003833"/>
          <c:h val="0.58026689935524522"/>
        </c:manualLayout>
      </c:layout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rgbClr val="214F6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922-4427-8950-9A5B1B5AE6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5CDF-48BA-B7AF-01E22D80056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CDF-48BA-B7AF-01E22D8005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'2020Data'!$DY$102:$DY$104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2.739861546619986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2-4427-8950-9A5B1B5AE638}"/>
            </c:ext>
          </c:extLst>
        </c:ser>
        <c:ser>
          <c:idx val="1"/>
          <c:order val="1"/>
          <c:tx>
            <c:v>Digital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22-4427-8950-9A5B1B5AE6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CDF-48BA-B7AF-01E22D80056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CDF-48BA-B7AF-01E22D80056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'2020Data'!$DZ$102:$DZ$104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1.4361357572877798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22-4427-8950-9A5B1B5AE6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36320"/>
        <c:axId val="221337856"/>
      </c:barChart>
      <c:catAx>
        <c:axId val="2213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1337856"/>
        <c:crosses val="autoZero"/>
        <c:auto val="1"/>
        <c:lblAlgn val="ctr"/>
        <c:lblOffset val="100"/>
        <c:noMultiLvlLbl val="0"/>
      </c:catAx>
      <c:valAx>
        <c:axId val="22133785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33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 algn="ctr">
        <a:defRPr lang="en-US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Children's Circulation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layout>
        <c:manualLayout>
          <c:xMode val="edge"/>
          <c:yMode val="edge"/>
          <c:x val="0.20547495641660798"/>
          <c:y val="2.95570206216571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98217410323709"/>
          <c:y val="0.39591936424613638"/>
          <c:w val="0.82982338145231849"/>
          <c:h val="0.42034995625547134"/>
        </c:manualLayout>
      </c:layout>
      <c:barChart>
        <c:barDir val="col"/>
        <c:grouping val="clustered"/>
        <c:varyColors val="0"/>
        <c:ser>
          <c:idx val="2"/>
          <c:order val="0"/>
          <c:tx>
            <c:v>Physical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90D-4D2D-84A1-D87071B2109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85F-4A9C-B391-F6152F6F10B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85F-4A9C-B391-F6152F6F1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'2020Data'!$DW$102:$DW$104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1.2571928523466971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D-4D2D-84A1-D87071B210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72800"/>
        <c:axId val="22137433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v>Digital</c:v>
                </c:tx>
                <c:spPr>
                  <a:solidFill>
                    <a:schemeClr val="accent2">
                      <a:lumMod val="75000"/>
                    </a:schemeClr>
                  </a:solidFill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75000"/>
                      </a:schemeClr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2-590D-4D2D-84A1-D87071B210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'2020Data'!$B$102:$B$104</c15:sqref>
                        </c15:formulaRef>
                      </c:ext>
                    </c:extLst>
                    <c:strCache>
                      <c:ptCount val="3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Average Statewide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'2020Data'!$DX$102:$DX$104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90D-4D2D-84A1-D87071B21093}"/>
                  </c:ext>
                </c:extLst>
              </c15:ser>
            </c15:filteredBarSeries>
          </c:ext>
        </c:extLst>
      </c:barChart>
      <c:catAx>
        <c:axId val="22137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74336"/>
        <c:crosses val="autoZero"/>
        <c:auto val="1"/>
        <c:lblAlgn val="ctr"/>
        <c:lblOffset val="100"/>
        <c:noMultiLvlLbl val="0"/>
      </c:catAx>
      <c:valAx>
        <c:axId val="221374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37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 b="1" i="0" u="none" strike="noStrike" kern="1200" baseline="0">
                <a:solidFill>
                  <a:srgbClr val="214F6B"/>
                </a:solidFill>
                <a:latin typeface="Calibri"/>
                <a:ea typeface="Calibri"/>
                <a:cs typeface="Calibri"/>
              </a:rPr>
              <a:t>Circulation</a:t>
            </a:r>
            <a:r>
              <a:rPr lang="en-US" sz="140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  <a:latin typeface="Calibri" pitchFamily="34" charset="0"/>
              </a:rPr>
              <a:t>Per Library Visit </a:t>
            </a:r>
            <a:br>
              <a:rPr lang="en-US" sz="1400">
                <a:solidFill>
                  <a:srgbClr val="214F6B"/>
                </a:solidFill>
                <a:latin typeface="Calibri" pitchFamily="34" charset="0"/>
              </a:rPr>
            </a:br>
            <a:r>
              <a:rPr lang="en-US" sz="1400">
                <a:solidFill>
                  <a:srgbClr val="214F6B"/>
                </a:solidFill>
                <a:latin typeface="Calibri" pitchFamily="34" charset="0"/>
              </a:rPr>
              <a:t>FY2020</a:t>
            </a:r>
          </a:p>
        </c:rich>
      </c:tx>
      <c:layout>
        <c:manualLayout>
          <c:xMode val="edge"/>
          <c:yMode val="edge"/>
          <c:x val="0.21236486927393741"/>
          <c:y val="3.132048431435260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C6A-4481-805C-C586D8CD759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076F-46B8-BDE1-ECC874A631F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076F-46B8-BDE1-ECC874A631F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#N/A</c:v>
                </c:pt>
                <c:pt idx="1">
                  <c:v>#N/A</c:v>
                </c:pt>
                <c:pt idx="2">
                  <c:v>Average Statewide</c:v>
                </c:pt>
              </c:strCache>
            </c:strRef>
          </c:cat>
          <c:val>
            <c:numRef>
              <c:f>'2020Data'!$BX$102:$BX$104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1.9800662230484027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A-4481-805C-C586D8CD75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4337792"/>
        <c:axId val="214351872"/>
      </c:barChart>
      <c:catAx>
        <c:axId val="2143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14351872"/>
        <c:crosses val="autoZero"/>
        <c:auto val="1"/>
        <c:lblAlgn val="ctr"/>
        <c:lblOffset val="100"/>
        <c:noMultiLvlLbl val="0"/>
      </c:catAx>
      <c:valAx>
        <c:axId val="214351872"/>
        <c:scaling>
          <c:orientation val="minMax"/>
        </c:scaling>
        <c:delete val="1"/>
        <c:axPos val="l"/>
        <c:numFmt formatCode="0.00" sourceLinked="0"/>
        <c:majorTickMark val="none"/>
        <c:minorTickMark val="none"/>
        <c:tickLblPos val="none"/>
        <c:crossAx val="214337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creativecommons.org/licenses/by-nc-sa/4.0/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image" Target="../media/image4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18" Type="http://schemas.openxmlformats.org/officeDocument/2006/relationships/chart" Target="../charts/chart45.xml"/><Relationship Id="rId26" Type="http://schemas.openxmlformats.org/officeDocument/2006/relationships/chart" Target="../charts/chart53.xml"/><Relationship Id="rId3" Type="http://schemas.openxmlformats.org/officeDocument/2006/relationships/chart" Target="../charts/chart30.xml"/><Relationship Id="rId21" Type="http://schemas.openxmlformats.org/officeDocument/2006/relationships/chart" Target="../charts/chart48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5" Type="http://schemas.openxmlformats.org/officeDocument/2006/relationships/chart" Target="../charts/chart52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20" Type="http://schemas.openxmlformats.org/officeDocument/2006/relationships/chart" Target="../charts/chart47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24" Type="http://schemas.openxmlformats.org/officeDocument/2006/relationships/chart" Target="../charts/chart51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23" Type="http://schemas.openxmlformats.org/officeDocument/2006/relationships/chart" Target="../charts/chart50.xml"/><Relationship Id="rId28" Type="http://schemas.openxmlformats.org/officeDocument/2006/relationships/image" Target="../media/image5.png"/><Relationship Id="rId10" Type="http://schemas.openxmlformats.org/officeDocument/2006/relationships/chart" Target="../charts/chart37.xml"/><Relationship Id="rId19" Type="http://schemas.openxmlformats.org/officeDocument/2006/relationships/chart" Target="../charts/chart46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Relationship Id="rId22" Type="http://schemas.openxmlformats.org/officeDocument/2006/relationships/chart" Target="../charts/chart49.xml"/><Relationship Id="rId27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1209674</xdr:colOff>
      <xdr:row>1</xdr:row>
      <xdr:rowOff>0</xdr:rowOff>
    </xdr:from>
    <xdr:to>
      <xdr:col>4</xdr:col>
      <xdr:colOff>367915</xdr:colOff>
      <xdr:row>8</xdr:row>
      <xdr:rowOff>120592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E0C6B-DAEC-402B-8A76-A0BC2026B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49" y="190500"/>
          <a:ext cx="4473191" cy="1558867"/>
        </a:xfrm>
        <a:prstGeom prst="rect">
          <a:avLst/>
        </a:prstGeom>
      </xdr:spPr>
    </xdr:pic>
    <xdr:clientData/>
  </xdr:twoCellAnchor>
  <xdr:twoCellAnchor editAs="oneCell">
    <xdr:from>
      <xdr:col>0</xdr:col>
      <xdr:colOff>156210</xdr:colOff>
      <xdr:row>27</xdr:row>
      <xdr:rowOff>99060</xdr:rowOff>
    </xdr:from>
    <xdr:to>
      <xdr:col>1</xdr:col>
      <xdr:colOff>384810</xdr:colOff>
      <xdr:row>29</xdr:row>
      <xdr:rowOff>20955</xdr:rowOff>
    </xdr:to>
    <xdr:pic>
      <xdr:nvPicPr>
        <xdr:cNvPr id="4" name="Picture 32" descr="Creative Commons Licens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DCE0E-3045-40A7-9F51-0F7A3F860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210" y="6614160"/>
          <a:ext cx="94297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159666</xdr:colOff>
      <xdr:row>21</xdr:row>
      <xdr:rowOff>28575</xdr:rowOff>
    </xdr:from>
    <xdr:to>
      <xdr:col>10</xdr:col>
      <xdr:colOff>131885</xdr:colOff>
      <xdr:row>31</xdr:row>
      <xdr:rowOff>112213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15692</xdr:colOff>
      <xdr:row>63</xdr:row>
      <xdr:rowOff>96527</xdr:rowOff>
    </xdr:from>
    <xdr:to>
      <xdr:col>13</xdr:col>
      <xdr:colOff>624203</xdr:colOff>
      <xdr:row>75</xdr:row>
      <xdr:rowOff>47231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15381</xdr:colOff>
      <xdr:row>32</xdr:row>
      <xdr:rowOff>106680</xdr:rowOff>
    </xdr:from>
    <xdr:to>
      <xdr:col>6</xdr:col>
      <xdr:colOff>623892</xdr:colOff>
      <xdr:row>44</xdr:row>
      <xdr:rowOff>200660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86539</xdr:colOff>
      <xdr:row>95</xdr:row>
      <xdr:rowOff>141145</xdr:rowOff>
    </xdr:from>
    <xdr:to>
      <xdr:col>7</xdr:col>
      <xdr:colOff>119196</xdr:colOff>
      <xdr:row>107</xdr:row>
      <xdr:rowOff>64945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35558</xdr:colOff>
      <xdr:row>95</xdr:row>
      <xdr:rowOff>197943</xdr:rowOff>
    </xdr:from>
    <xdr:to>
      <xdr:col>14</xdr:col>
      <xdr:colOff>68215</xdr:colOff>
      <xdr:row>107</xdr:row>
      <xdr:rowOff>121743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94103</xdr:colOff>
      <xdr:row>76</xdr:row>
      <xdr:rowOff>60960</xdr:rowOff>
    </xdr:from>
    <xdr:to>
      <xdr:col>6</xdr:col>
      <xdr:colOff>533400</xdr:colOff>
      <xdr:row>88</xdr:row>
      <xdr:rowOff>163467</xdr:rowOff>
    </xdr:to>
    <xdr:graphicFrame macro="">
      <xdr:nvGraphicFramePr>
        <xdr:cNvPr id="39" name="Chart 1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5534</xdr:colOff>
      <xdr:row>46</xdr:row>
      <xdr:rowOff>89171</xdr:rowOff>
    </xdr:from>
    <xdr:to>
      <xdr:col>6</xdr:col>
      <xdr:colOff>581978</xdr:colOff>
      <xdr:row>59</xdr:row>
      <xdr:rowOff>96521</xdr:rowOff>
    </xdr:to>
    <xdr:graphicFrame macro="">
      <xdr:nvGraphicFramePr>
        <xdr:cNvPr id="41" name="Chart 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596855</xdr:colOff>
      <xdr:row>46</xdr:row>
      <xdr:rowOff>71437</xdr:rowOff>
    </xdr:from>
    <xdr:to>
      <xdr:col>13</xdr:col>
      <xdr:colOff>540385</xdr:colOff>
      <xdr:row>59</xdr:row>
      <xdr:rowOff>180975</xdr:rowOff>
    </xdr:to>
    <xdr:graphicFrame macro="">
      <xdr:nvGraphicFramePr>
        <xdr:cNvPr id="45" name="Chart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56273</xdr:colOff>
      <xdr:row>76</xdr:row>
      <xdr:rowOff>117745</xdr:rowOff>
    </xdr:from>
    <xdr:to>
      <xdr:col>14</xdr:col>
      <xdr:colOff>30873</xdr:colOff>
      <xdr:row>89</xdr:row>
      <xdr:rowOff>19368</xdr:rowOff>
    </xdr:to>
    <xdr:graphicFrame macro="">
      <xdr:nvGraphicFramePr>
        <xdr:cNvPr id="55" name="Chart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50897</xdr:colOff>
      <xdr:row>63</xdr:row>
      <xdr:rowOff>34711</xdr:rowOff>
    </xdr:from>
    <xdr:to>
      <xdr:col>7</xdr:col>
      <xdr:colOff>28037</xdr:colOff>
      <xdr:row>75</xdr:row>
      <xdr:rowOff>28996</xdr:rowOff>
    </xdr:to>
    <xdr:graphicFrame macro="">
      <xdr:nvGraphicFramePr>
        <xdr:cNvPr id="57" name="Chart 1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87314</xdr:colOff>
      <xdr:row>6</xdr:row>
      <xdr:rowOff>7938</xdr:rowOff>
    </xdr:from>
    <xdr:to>
      <xdr:col>14</xdr:col>
      <xdr:colOff>214313</xdr:colOff>
      <xdr:row>13</xdr:row>
      <xdr:rowOff>22860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93054" y="1455738"/>
          <a:ext cx="8150859" cy="1737042"/>
        </a:xfrm>
        <a:prstGeom prst="rect">
          <a:avLst/>
        </a:prstGeom>
        <a:ln>
          <a:solidFill>
            <a:schemeClr val="accent4">
              <a:lumMod val="75000"/>
            </a:schemeClr>
          </a:solidFill>
        </a:ln>
        <a:effectLst>
          <a:softEdge rad="127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tx1"/>
              </a:solidFill>
              <a:latin typeface="Calibri" pitchFamily="34" charset="0"/>
            </a:rPr>
            <a:t>What you can do with these charts:</a:t>
          </a:r>
        </a:p>
        <a:p>
          <a:r>
            <a:rPr lang="en-US" sz="110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</a:t>
          </a:r>
          <a:r>
            <a:rPr lang="en-US" sz="1100">
              <a:solidFill>
                <a:schemeClr val="tx1"/>
              </a:solidFill>
              <a:latin typeface="Calibri" pitchFamily="34" charset="0"/>
              <a:sym typeface="Symbol"/>
            </a:rPr>
            <a:t> </a:t>
          </a:r>
          <a:r>
            <a:rPr lang="en-US" sz="1100">
              <a:solidFill>
                <a:schemeClr val="tx1"/>
              </a:solidFill>
              <a:latin typeface="Calibri" pitchFamily="34" charset="0"/>
            </a:rPr>
            <a:t>Print all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of them at once , or create a PDF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Copy and paste individual charts into a document or presentation (when pasting charts, use paste special/picture)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Re-word titles, change colors or other characteristics, change the y-axis values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(especially helpful where differences appear exaggerated)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Source for this data:  </a:t>
          </a:r>
          <a:r>
            <a:rPr lang="en-US" sz="1100" b="0" baseline="0">
              <a:solidFill>
                <a:schemeClr val="tx1"/>
              </a:solidFill>
              <a:latin typeface="Calibri" pitchFamily="34" charset="0"/>
            </a:rPr>
            <a:t>Public Library Survey/NC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Annual Statistical Report for Local Fiscal Year 2020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NOTE: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These charts are only as valid as the data that was provided by each library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            Not all of these charts will be meaningful for your library, especially if there is incomplete or inconsistent data</a:t>
          </a:r>
        </a:p>
        <a:p>
          <a:pPr algn="l">
            <a:spcBef>
              <a:spcPts val="600"/>
            </a:spcBef>
            <a:spcAft>
              <a:spcPts val="0"/>
            </a:spcAft>
          </a:pPr>
          <a:r>
            <a:rPr lang="en-US" sz="1050" b="0" i="0" u="none" strike="noStrike">
              <a:solidFill>
                <a:schemeClr val="dk1"/>
              </a:solidFill>
              <a:latin typeface="Calibri" pitchFamily="34" charset="0"/>
              <a:ea typeface="+mn-ea"/>
              <a:cs typeface="+mn-cs"/>
            </a:rPr>
            <a:t>For more information contact: Amanda Johnson, Data Analysis &amp; Communications Consultant, State Library of NC, amanda.johnson@ncdcr.gov, 919.814.6795</a:t>
          </a:r>
          <a:endParaRPr lang="en-US" sz="1050">
            <a:latin typeface="Calibri" pitchFamily="34" charset="0"/>
          </a:endParaRPr>
        </a:p>
      </xdr:txBody>
    </xdr:sp>
    <xdr:clientData/>
  </xdr:twoCellAnchor>
  <xdr:twoCellAnchor>
    <xdr:from>
      <xdr:col>1</xdr:col>
      <xdr:colOff>141631</xdr:colOff>
      <xdr:row>112</xdr:row>
      <xdr:rowOff>100969</xdr:rowOff>
    </xdr:from>
    <xdr:to>
      <xdr:col>7</xdr:col>
      <xdr:colOff>166078</xdr:colOff>
      <xdr:row>124</xdr:row>
      <xdr:rowOff>41914</xdr:rowOff>
    </xdr:to>
    <xdr:graphicFrame macro="">
      <xdr:nvGraphicFramePr>
        <xdr:cNvPr id="69" name="Chart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45731</xdr:colOff>
      <xdr:row>112</xdr:row>
      <xdr:rowOff>110557</xdr:rowOff>
    </xdr:from>
    <xdr:to>
      <xdr:col>14</xdr:col>
      <xdr:colOff>60019</xdr:colOff>
      <xdr:row>124</xdr:row>
      <xdr:rowOff>43882</xdr:rowOff>
    </xdr:to>
    <xdr:graphicFrame macro="">
      <xdr:nvGraphicFramePr>
        <xdr:cNvPr id="70" name="Chart 1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84410</xdr:colOff>
      <xdr:row>128</xdr:row>
      <xdr:rowOff>161093</xdr:rowOff>
    </xdr:from>
    <xdr:to>
      <xdr:col>7</xdr:col>
      <xdr:colOff>84410</xdr:colOff>
      <xdr:row>140</xdr:row>
      <xdr:rowOff>126168</xdr:rowOff>
    </xdr:to>
    <xdr:graphicFrame macro="">
      <xdr:nvGraphicFramePr>
        <xdr:cNvPr id="73" name="Chart 1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18356</xdr:colOff>
      <xdr:row>128</xdr:row>
      <xdr:rowOff>146738</xdr:rowOff>
    </xdr:from>
    <xdr:to>
      <xdr:col>14</xdr:col>
      <xdr:colOff>18356</xdr:colOff>
      <xdr:row>140</xdr:row>
      <xdr:rowOff>138483</xdr:rowOff>
    </xdr:to>
    <xdr:graphicFrame macro="">
      <xdr:nvGraphicFramePr>
        <xdr:cNvPr id="74" name="Chart 1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87045</xdr:colOff>
      <xdr:row>141</xdr:row>
      <xdr:rowOff>234613</xdr:rowOff>
    </xdr:from>
    <xdr:to>
      <xdr:col>7</xdr:col>
      <xdr:colOff>87045</xdr:colOff>
      <xdr:row>153</xdr:row>
      <xdr:rowOff>123825</xdr:rowOff>
    </xdr:to>
    <xdr:graphicFrame macro="">
      <xdr:nvGraphicFramePr>
        <xdr:cNvPr id="75" name="Chart 1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89368</xdr:colOff>
      <xdr:row>155</xdr:row>
      <xdr:rowOff>57449</xdr:rowOff>
    </xdr:from>
    <xdr:to>
      <xdr:col>7</xdr:col>
      <xdr:colOff>89368</xdr:colOff>
      <xdr:row>166</xdr:row>
      <xdr:rowOff>190799</xdr:rowOff>
    </xdr:to>
    <xdr:graphicFrame macro="">
      <xdr:nvGraphicFramePr>
        <xdr:cNvPr id="76" name="Chart 1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6167</xdr:colOff>
      <xdr:row>155</xdr:row>
      <xdr:rowOff>79206</xdr:rowOff>
    </xdr:from>
    <xdr:to>
      <xdr:col>14</xdr:col>
      <xdr:colOff>6167</xdr:colOff>
      <xdr:row>166</xdr:row>
      <xdr:rowOff>180806</xdr:rowOff>
    </xdr:to>
    <xdr:graphicFrame macro="">
      <xdr:nvGraphicFramePr>
        <xdr:cNvPr id="77" name="Chart 1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41901</xdr:colOff>
      <xdr:row>141</xdr:row>
      <xdr:rowOff>206819</xdr:rowOff>
    </xdr:from>
    <xdr:to>
      <xdr:col>14</xdr:col>
      <xdr:colOff>41901</xdr:colOff>
      <xdr:row>153</xdr:row>
      <xdr:rowOff>102044</xdr:rowOff>
    </xdr:to>
    <xdr:graphicFrame macro="">
      <xdr:nvGraphicFramePr>
        <xdr:cNvPr id="78" name="Chart 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212081</xdr:colOff>
      <xdr:row>186</xdr:row>
      <xdr:rowOff>127399</xdr:rowOff>
    </xdr:from>
    <xdr:to>
      <xdr:col>7</xdr:col>
      <xdr:colOff>28248</xdr:colOff>
      <xdr:row>198</xdr:row>
      <xdr:rowOff>32149</xdr:rowOff>
    </xdr:to>
    <xdr:graphicFrame macro="">
      <xdr:nvGraphicFramePr>
        <xdr:cNvPr id="79" name="Chart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601753</xdr:colOff>
      <xdr:row>186</xdr:row>
      <xdr:rowOff>120984</xdr:rowOff>
    </xdr:from>
    <xdr:to>
      <xdr:col>13</xdr:col>
      <xdr:colOff>616041</xdr:colOff>
      <xdr:row>198</xdr:row>
      <xdr:rowOff>25734</xdr:rowOff>
    </xdr:to>
    <xdr:graphicFrame macro="">
      <xdr:nvGraphicFramePr>
        <xdr:cNvPr id="80" name="Chart 2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524678</xdr:colOff>
      <xdr:row>213</xdr:row>
      <xdr:rowOff>155234</xdr:rowOff>
    </xdr:from>
    <xdr:to>
      <xdr:col>14</xdr:col>
      <xdr:colOff>7620</xdr:colOff>
      <xdr:row>225</xdr:row>
      <xdr:rowOff>220980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58256</xdr:colOff>
      <xdr:row>200</xdr:row>
      <xdr:rowOff>112700</xdr:rowOff>
    </xdr:from>
    <xdr:to>
      <xdr:col>7</xdr:col>
      <xdr:colOff>72543</xdr:colOff>
      <xdr:row>212</xdr:row>
      <xdr:rowOff>7925</xdr:rowOff>
    </xdr:to>
    <xdr:graphicFrame macro="">
      <xdr:nvGraphicFramePr>
        <xdr:cNvPr id="83" name="Chart 2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8164</xdr:colOff>
      <xdr:row>32</xdr:row>
      <xdr:rowOff>201282</xdr:rowOff>
    </xdr:from>
    <xdr:to>
      <xdr:col>13</xdr:col>
      <xdr:colOff>619397</xdr:colOff>
      <xdr:row>44</xdr:row>
      <xdr:rowOff>158827</xdr:rowOff>
    </xdr:to>
    <xdr:graphicFrame macro="">
      <xdr:nvGraphicFramePr>
        <xdr:cNvPr id="32" name="Chart 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542700</xdr:colOff>
      <xdr:row>200</xdr:row>
      <xdr:rowOff>134581</xdr:rowOff>
    </xdr:from>
    <xdr:to>
      <xdr:col>13</xdr:col>
      <xdr:colOff>542700</xdr:colOff>
      <xdr:row>212</xdr:row>
      <xdr:rowOff>29806</xdr:rowOff>
    </xdr:to>
    <xdr:graphicFrame macro="">
      <xdr:nvGraphicFramePr>
        <xdr:cNvPr id="34" name="Chart 1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109220</xdr:colOff>
      <xdr:row>170</xdr:row>
      <xdr:rowOff>104140</xdr:rowOff>
    </xdr:from>
    <xdr:to>
      <xdr:col>7</xdr:col>
      <xdr:colOff>109220</xdr:colOff>
      <xdr:row>181</xdr:row>
      <xdr:rowOff>125937</xdr:rowOff>
    </xdr:to>
    <xdr:graphicFrame macro="">
      <xdr:nvGraphicFramePr>
        <xdr:cNvPr id="30" name="Chart 3">
          <a:extLst>
            <a:ext uri="{FF2B5EF4-FFF2-40B4-BE49-F238E27FC236}">
              <a16:creationId xmlns:a16="http://schemas.microsoft.com/office/drawing/2014/main" id="{FFA9CC05-248D-414B-964D-0534CF11A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589280</xdr:colOff>
      <xdr:row>170</xdr:row>
      <xdr:rowOff>101600</xdr:rowOff>
    </xdr:from>
    <xdr:to>
      <xdr:col>13</xdr:col>
      <xdr:colOff>589280</xdr:colOff>
      <xdr:row>181</xdr:row>
      <xdr:rowOff>123397</xdr:rowOff>
    </xdr:to>
    <xdr:graphicFrame macro="">
      <xdr:nvGraphicFramePr>
        <xdr:cNvPr id="31" name="Chart 3">
          <a:extLst>
            <a:ext uri="{FF2B5EF4-FFF2-40B4-BE49-F238E27FC236}">
              <a16:creationId xmlns:a16="http://schemas.microsoft.com/office/drawing/2014/main" id="{454B2EAB-65D6-446D-ACE9-433B091D6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59266</xdr:colOff>
      <xdr:row>213</xdr:row>
      <xdr:rowOff>179493</xdr:rowOff>
    </xdr:from>
    <xdr:to>
      <xdr:col>7</xdr:col>
      <xdr:colOff>99060</xdr:colOff>
      <xdr:row>225</xdr:row>
      <xdr:rowOff>152400</xdr:rowOff>
    </xdr:to>
    <xdr:graphicFrame macro="">
      <xdr:nvGraphicFramePr>
        <xdr:cNvPr id="36" name="Chart 3">
          <a:extLst>
            <a:ext uri="{FF2B5EF4-FFF2-40B4-BE49-F238E27FC236}">
              <a16:creationId xmlns:a16="http://schemas.microsoft.com/office/drawing/2014/main" id="{21DCD529-8AA4-4C62-A000-08535A42F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6</xdr:col>
      <xdr:colOff>304800</xdr:colOff>
      <xdr:row>0</xdr:row>
      <xdr:rowOff>164248</xdr:rowOff>
    </xdr:from>
    <xdr:to>
      <xdr:col>9</xdr:col>
      <xdr:colOff>472691</xdr:colOff>
      <xdr:row>3</xdr:row>
      <xdr:rowOff>225367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129C41C-BAEE-423A-91C7-E5C4E3E04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64248"/>
          <a:ext cx="2225291" cy="77549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0.29851</cdr:x>
      <cdr:y>0.18475</cdr:y>
    </cdr:from>
    <cdr:to>
      <cdr:x>0.99599</cdr:x>
      <cdr:y>0.30553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F7AD2B-3E6A-4B2D-9D80-4A71941E6831}"/>
            </a:ext>
          </a:extLst>
        </cdr:cNvPr>
        <cdr:cNvSpPr txBox="1"/>
      </cdr:nvSpPr>
      <cdr:spPr>
        <a:xfrm xmlns:a="http://schemas.openxmlformats.org/drawingml/2006/main">
          <a:off x="1135380" y="518942"/>
          <a:ext cx="2652862" cy="3392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/>
            <a:t>*Number of hours any library</a:t>
          </a:r>
          <a:r>
            <a:rPr lang="en-US" sz="800" baseline="0"/>
            <a:t> facility is open, including branches, without counting any hour twice.</a:t>
          </a:r>
          <a:endParaRPr lang="en-US" sz="8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323267</xdr:colOff>
      <xdr:row>18</xdr:row>
      <xdr:rowOff>38100</xdr:rowOff>
    </xdr:from>
    <xdr:to>
      <xdr:col>10</xdr:col>
      <xdr:colOff>647117</xdr:colOff>
      <xdr:row>28</xdr:row>
      <xdr:rowOff>34925</xdr:rowOff>
    </xdr:to>
    <xdr:graphicFrame macro="">
      <xdr:nvGraphicFramePr>
        <xdr:cNvPr id="4057752" name="Chart 3">
          <a:extLst>
            <a:ext uri="{FF2B5EF4-FFF2-40B4-BE49-F238E27FC236}">
              <a16:creationId xmlns:a16="http://schemas.microsoft.com/office/drawing/2014/main" id="{00000000-0008-0000-0300-000098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12277</xdr:colOff>
      <xdr:row>84</xdr:row>
      <xdr:rowOff>257177</xdr:rowOff>
    </xdr:from>
    <xdr:to>
      <xdr:col>10</xdr:col>
      <xdr:colOff>671407</xdr:colOff>
      <xdr:row>95</xdr:row>
      <xdr:rowOff>102448</xdr:rowOff>
    </xdr:to>
    <xdr:graphicFrame macro="">
      <xdr:nvGraphicFramePr>
        <xdr:cNvPr id="4057753" name="Chart 4">
          <a:extLst>
            <a:ext uri="{FF2B5EF4-FFF2-40B4-BE49-F238E27FC236}">
              <a16:creationId xmlns:a16="http://schemas.microsoft.com/office/drawing/2014/main" id="{00000000-0008-0000-0300-000099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56460</xdr:colOff>
      <xdr:row>29</xdr:row>
      <xdr:rowOff>89482</xdr:rowOff>
    </xdr:from>
    <xdr:to>
      <xdr:col>10</xdr:col>
      <xdr:colOff>715590</xdr:colOff>
      <xdr:row>39</xdr:row>
      <xdr:rowOff>214684</xdr:rowOff>
    </xdr:to>
    <xdr:graphicFrame macro="">
      <xdr:nvGraphicFramePr>
        <xdr:cNvPr id="4057754" name="Chart 5">
          <a:extLst>
            <a:ext uri="{FF2B5EF4-FFF2-40B4-BE49-F238E27FC236}">
              <a16:creationId xmlns:a16="http://schemas.microsoft.com/office/drawing/2014/main" id="{00000000-0008-0000-0300-00009A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67998</xdr:colOff>
      <xdr:row>40</xdr:row>
      <xdr:rowOff>100329</xdr:rowOff>
    </xdr:from>
    <xdr:to>
      <xdr:col>10</xdr:col>
      <xdr:colOff>723900</xdr:colOff>
      <xdr:row>50</xdr:row>
      <xdr:rowOff>159965</xdr:rowOff>
    </xdr:to>
    <xdr:graphicFrame macro="">
      <xdr:nvGraphicFramePr>
        <xdr:cNvPr id="4057755" name="Chart 6">
          <a:extLst>
            <a:ext uri="{FF2B5EF4-FFF2-40B4-BE49-F238E27FC236}">
              <a16:creationId xmlns:a16="http://schemas.microsoft.com/office/drawing/2014/main" id="{00000000-0008-0000-0300-00009B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20793</xdr:colOff>
      <xdr:row>288</xdr:row>
      <xdr:rowOff>149650</xdr:rowOff>
    </xdr:from>
    <xdr:to>
      <xdr:col>10</xdr:col>
      <xdr:colOff>687281</xdr:colOff>
      <xdr:row>297</xdr:row>
      <xdr:rowOff>173992</xdr:rowOff>
    </xdr:to>
    <xdr:graphicFrame macro="">
      <xdr:nvGraphicFramePr>
        <xdr:cNvPr id="4057769" name="Chart 18">
          <a:extLst>
            <a:ext uri="{FF2B5EF4-FFF2-40B4-BE49-F238E27FC236}">
              <a16:creationId xmlns:a16="http://schemas.microsoft.com/office/drawing/2014/main" id="{00000000-0008-0000-0300-0000A9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19052</xdr:colOff>
      <xdr:row>298</xdr:row>
      <xdr:rowOff>119063</xdr:rowOff>
    </xdr:from>
    <xdr:to>
      <xdr:col>10</xdr:col>
      <xdr:colOff>676275</xdr:colOff>
      <xdr:row>309</xdr:row>
      <xdr:rowOff>137160</xdr:rowOff>
    </xdr:to>
    <xdr:graphicFrame macro="">
      <xdr:nvGraphicFramePr>
        <xdr:cNvPr id="4057774" name="Chart 18">
          <a:extLst>
            <a:ext uri="{FF2B5EF4-FFF2-40B4-BE49-F238E27FC236}">
              <a16:creationId xmlns:a16="http://schemas.microsoft.com/office/drawing/2014/main" id="{00000000-0008-0000-0300-0000AE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346075</xdr:colOff>
      <xdr:row>276</xdr:row>
      <xdr:rowOff>234949</xdr:rowOff>
    </xdr:from>
    <xdr:to>
      <xdr:col>10</xdr:col>
      <xdr:colOff>688975</xdr:colOff>
      <xdr:row>287</xdr:row>
      <xdr:rowOff>249767</xdr:rowOff>
    </xdr:to>
    <xdr:graphicFrame macro="">
      <xdr:nvGraphicFramePr>
        <xdr:cNvPr id="4057786" name="Chart 14">
          <a:extLst>
            <a:ext uri="{FF2B5EF4-FFF2-40B4-BE49-F238E27FC236}">
              <a16:creationId xmlns:a16="http://schemas.microsoft.com/office/drawing/2014/main" id="{00000000-0008-0000-0300-0000BA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66092</xdr:colOff>
      <xdr:row>97</xdr:row>
      <xdr:rowOff>7250</xdr:rowOff>
    </xdr:from>
    <xdr:to>
      <xdr:col>10</xdr:col>
      <xdr:colOff>636985</xdr:colOff>
      <xdr:row>107</xdr:row>
      <xdr:rowOff>126841</xdr:rowOff>
    </xdr:to>
    <xdr:graphicFrame macro="">
      <xdr:nvGraphicFramePr>
        <xdr:cNvPr id="4057794" name="Chart 4">
          <a:extLst>
            <a:ext uri="{FF2B5EF4-FFF2-40B4-BE49-F238E27FC236}">
              <a16:creationId xmlns:a16="http://schemas.microsoft.com/office/drawing/2014/main" id="{00000000-0008-0000-0300-0000C2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321999</xdr:colOff>
      <xdr:row>121</xdr:row>
      <xdr:rowOff>92602</xdr:rowOff>
    </xdr:from>
    <xdr:to>
      <xdr:col>10</xdr:col>
      <xdr:colOff>650082</xdr:colOff>
      <xdr:row>131</xdr:row>
      <xdr:rowOff>33548</xdr:rowOff>
    </xdr:to>
    <xdr:graphicFrame macro="">
      <xdr:nvGraphicFramePr>
        <xdr:cNvPr id="4057795" name="Chart 4">
          <a:extLst>
            <a:ext uri="{FF2B5EF4-FFF2-40B4-BE49-F238E27FC236}">
              <a16:creationId xmlns:a16="http://schemas.microsoft.com/office/drawing/2014/main" id="{00000000-0008-0000-0300-0000C3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31038</xdr:colOff>
      <xdr:row>107</xdr:row>
      <xdr:rowOff>245745</xdr:rowOff>
    </xdr:from>
    <xdr:to>
      <xdr:col>10</xdr:col>
      <xdr:colOff>662729</xdr:colOff>
      <xdr:row>118</xdr:row>
      <xdr:rowOff>0</xdr:rowOff>
    </xdr:to>
    <xdr:graphicFrame macro="">
      <xdr:nvGraphicFramePr>
        <xdr:cNvPr id="59" name="Chart 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60537</xdr:colOff>
      <xdr:row>73</xdr:row>
      <xdr:rowOff>246592</xdr:rowOff>
    </xdr:from>
    <xdr:to>
      <xdr:col>10</xdr:col>
      <xdr:colOff>611717</xdr:colOff>
      <xdr:row>84</xdr:row>
      <xdr:rowOff>100278</xdr:rowOff>
    </xdr:to>
    <xdr:graphicFrame macro="">
      <xdr:nvGraphicFramePr>
        <xdr:cNvPr id="60" name="Chart 4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77470</xdr:colOff>
      <xdr:row>51</xdr:row>
      <xdr:rowOff>9843</xdr:rowOff>
    </xdr:from>
    <xdr:to>
      <xdr:col>10</xdr:col>
      <xdr:colOff>769408</xdr:colOff>
      <xdr:row>61</xdr:row>
      <xdr:rowOff>141288</xdr:rowOff>
    </xdr:to>
    <xdr:graphicFrame macro="">
      <xdr:nvGraphicFramePr>
        <xdr:cNvPr id="78" name="Chart 4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333587</xdr:colOff>
      <xdr:row>62</xdr:row>
      <xdr:rowOff>230872</xdr:rowOff>
    </xdr:from>
    <xdr:to>
      <xdr:col>10</xdr:col>
      <xdr:colOff>654050</xdr:colOff>
      <xdr:row>73</xdr:row>
      <xdr:rowOff>83764</xdr:rowOff>
    </xdr:to>
    <xdr:graphicFrame macro="">
      <xdr:nvGraphicFramePr>
        <xdr:cNvPr id="79" name="Chart 4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296070</xdr:colOff>
      <xdr:row>131</xdr:row>
      <xdr:rowOff>199761</xdr:rowOff>
    </xdr:from>
    <xdr:to>
      <xdr:col>10</xdr:col>
      <xdr:colOff>624153</xdr:colOff>
      <xdr:row>141</xdr:row>
      <xdr:rowOff>69268</xdr:rowOff>
    </xdr:to>
    <xdr:graphicFrame macro="">
      <xdr:nvGraphicFramePr>
        <xdr:cNvPr id="80" name="Chart 4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21433</xdr:colOff>
      <xdr:row>145</xdr:row>
      <xdr:rowOff>195467</xdr:rowOff>
    </xdr:from>
    <xdr:to>
      <xdr:col>10</xdr:col>
      <xdr:colOff>500064</xdr:colOff>
      <xdr:row>156</xdr:row>
      <xdr:rowOff>124029</xdr:rowOff>
    </xdr:to>
    <xdr:graphicFrame macro="">
      <xdr:nvGraphicFramePr>
        <xdr:cNvPr id="82" name="Chart 8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19050</xdr:colOff>
      <xdr:row>157</xdr:row>
      <xdr:rowOff>180975</xdr:rowOff>
    </xdr:from>
    <xdr:to>
      <xdr:col>10</xdr:col>
      <xdr:colOff>495300</xdr:colOff>
      <xdr:row>168</xdr:row>
      <xdr:rowOff>57147</xdr:rowOff>
    </xdr:to>
    <xdr:graphicFrame macro="">
      <xdr:nvGraphicFramePr>
        <xdr:cNvPr id="83" name="Chart 9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333375</xdr:colOff>
      <xdr:row>171</xdr:row>
      <xdr:rowOff>186267</xdr:rowOff>
    </xdr:from>
    <xdr:to>
      <xdr:col>10</xdr:col>
      <xdr:colOff>372534</xdr:colOff>
      <xdr:row>183</xdr:row>
      <xdr:rowOff>16934</xdr:rowOff>
    </xdr:to>
    <xdr:graphicFrame macro="">
      <xdr:nvGraphicFramePr>
        <xdr:cNvPr id="85" name="Chart 1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365759</xdr:colOff>
      <xdr:row>230</xdr:row>
      <xdr:rowOff>88636</xdr:rowOff>
    </xdr:from>
    <xdr:to>
      <xdr:col>10</xdr:col>
      <xdr:colOff>419100</xdr:colOff>
      <xdr:row>239</xdr:row>
      <xdr:rowOff>207381</xdr:rowOff>
    </xdr:to>
    <xdr:graphicFrame macro="">
      <xdr:nvGraphicFramePr>
        <xdr:cNvPr id="86" name="Chart 4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320568</xdr:colOff>
      <xdr:row>195</xdr:row>
      <xdr:rowOff>170922</xdr:rowOff>
    </xdr:from>
    <xdr:to>
      <xdr:col>10</xdr:col>
      <xdr:colOff>402166</xdr:colOff>
      <xdr:row>206</xdr:row>
      <xdr:rowOff>137583</xdr:rowOff>
    </xdr:to>
    <xdr:graphicFrame macro="">
      <xdr:nvGraphicFramePr>
        <xdr:cNvPr id="87" name="Chart 8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183</xdr:row>
      <xdr:rowOff>120119</xdr:rowOff>
    </xdr:from>
    <xdr:to>
      <xdr:col>10</xdr:col>
      <xdr:colOff>389467</xdr:colOff>
      <xdr:row>195</xdr:row>
      <xdr:rowOff>50800</xdr:rowOff>
    </xdr:to>
    <xdr:graphicFrame macro="">
      <xdr:nvGraphicFramePr>
        <xdr:cNvPr id="90" name="Chart 13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2116</xdr:colOff>
      <xdr:row>219</xdr:row>
      <xdr:rowOff>67732</xdr:rowOff>
    </xdr:from>
    <xdr:to>
      <xdr:col>10</xdr:col>
      <xdr:colOff>466724</xdr:colOff>
      <xdr:row>229</xdr:row>
      <xdr:rowOff>159805</xdr:rowOff>
    </xdr:to>
    <xdr:graphicFrame macro="">
      <xdr:nvGraphicFramePr>
        <xdr:cNvPr id="92" name="Chart 15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342900</xdr:colOff>
      <xdr:row>266</xdr:row>
      <xdr:rowOff>100806</xdr:rowOff>
    </xdr:from>
    <xdr:to>
      <xdr:col>10</xdr:col>
      <xdr:colOff>600075</xdr:colOff>
      <xdr:row>276</xdr:row>
      <xdr:rowOff>136525</xdr:rowOff>
    </xdr:to>
    <xdr:graphicFrame macro="">
      <xdr:nvGraphicFramePr>
        <xdr:cNvPr id="93" name="Chart 14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361950</xdr:colOff>
      <xdr:row>310</xdr:row>
      <xdr:rowOff>111125</xdr:rowOff>
    </xdr:from>
    <xdr:to>
      <xdr:col>10</xdr:col>
      <xdr:colOff>676275</xdr:colOff>
      <xdr:row>319</xdr:row>
      <xdr:rowOff>115096</xdr:rowOff>
    </xdr:to>
    <xdr:graphicFrame macro="">
      <xdr:nvGraphicFramePr>
        <xdr:cNvPr id="44" name="Chart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93132</xdr:colOff>
      <xdr:row>6</xdr:row>
      <xdr:rowOff>16932</xdr:rowOff>
    </xdr:from>
    <xdr:to>
      <xdr:col>12</xdr:col>
      <xdr:colOff>222249</xdr:colOff>
      <xdr:row>12</xdr:row>
      <xdr:rowOff>68580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93132" y="1773765"/>
          <a:ext cx="8511117" cy="1829648"/>
        </a:xfrm>
        <a:prstGeom prst="rect">
          <a:avLst/>
        </a:prstGeom>
        <a:ln>
          <a:solidFill>
            <a:schemeClr val="accent4">
              <a:lumMod val="75000"/>
            </a:schemeClr>
          </a:solidFill>
        </a:ln>
        <a:effectLst>
          <a:softEdge rad="127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tx1"/>
              </a:solidFill>
              <a:latin typeface="Calibri" pitchFamily="34" charset="0"/>
            </a:rPr>
            <a:t>What you can do with these charts:</a:t>
          </a:r>
        </a:p>
        <a:p>
          <a:r>
            <a:rPr lang="en-US" sz="110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</a:t>
          </a:r>
          <a:r>
            <a:rPr lang="en-US" sz="1100">
              <a:solidFill>
                <a:schemeClr val="tx1"/>
              </a:solidFill>
              <a:latin typeface="Calibri" pitchFamily="34" charset="0"/>
              <a:sym typeface="Symbol"/>
            </a:rPr>
            <a:t> </a:t>
          </a:r>
          <a:r>
            <a:rPr lang="en-US" sz="1100">
              <a:solidFill>
                <a:schemeClr val="tx1"/>
              </a:solidFill>
              <a:latin typeface="Calibri" pitchFamily="34" charset="0"/>
            </a:rPr>
            <a:t>Print all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of them at once , or create a PDF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Copy and paste individual charts into a document or presentation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(when pasting charts, use Paste Special/Picture)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Re-word titles, change colors or other characteristics, change the y-axis values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(especially helpful where differences appear exaggerated)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Source for this data: 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Public Library Survey/NC Annual Statistical Report for Local Fiscal Year 2020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NOTE: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These charts are only as valid as the data that was provided by each library</a:t>
          </a:r>
        </a:p>
        <a:p>
          <a:endParaRPr lang="en-US" sz="1100" b="0" i="0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r>
            <a:rPr lang="en-US" sz="1000" b="0" i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For more</a:t>
          </a:r>
          <a:r>
            <a:rPr lang="en-US" sz="1000" b="0" i="0" baseline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information contact: Amanda Johnson, Data Analysis &amp; Communications Consultant, State Library of NC, amanda.johnson@ncdcr.gov, 919.814.6795</a:t>
          </a:r>
          <a:endParaRPr lang="en-US" sz="1000" b="0" i="0">
            <a:solidFill>
              <a:schemeClr val="dk1"/>
            </a:solidFill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304800</xdr:colOff>
      <xdr:row>208</xdr:row>
      <xdr:rowOff>16933</xdr:rowOff>
    </xdr:from>
    <xdr:to>
      <xdr:col>10</xdr:col>
      <xdr:colOff>461433</xdr:colOff>
      <xdr:row>218</xdr:row>
      <xdr:rowOff>140757</xdr:rowOff>
    </xdr:to>
    <xdr:graphicFrame macro="">
      <xdr:nvGraphicFramePr>
        <xdr:cNvPr id="32" name="Chart 13">
          <a:extLst>
            <a:ext uri="{FF2B5EF4-FFF2-40B4-BE49-F238E27FC236}">
              <a16:creationId xmlns:a16="http://schemas.microsoft.com/office/drawing/2014/main" id="{CF286165-667C-4939-A2FE-DBAC789A0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333375</xdr:colOff>
      <xdr:row>320</xdr:row>
      <xdr:rowOff>14817</xdr:rowOff>
    </xdr:from>
    <xdr:to>
      <xdr:col>10</xdr:col>
      <xdr:colOff>714375</xdr:colOff>
      <xdr:row>330</xdr:row>
      <xdr:rowOff>37837</xdr:rowOff>
    </xdr:to>
    <xdr:graphicFrame macro="">
      <xdr:nvGraphicFramePr>
        <xdr:cNvPr id="33" name="Chart 20">
          <a:extLst>
            <a:ext uri="{FF2B5EF4-FFF2-40B4-BE49-F238E27FC236}">
              <a16:creationId xmlns:a16="http://schemas.microsoft.com/office/drawing/2014/main" id="{A5BD1FB4-7700-475C-8955-81CB6692E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370416</xdr:colOff>
      <xdr:row>241</xdr:row>
      <xdr:rowOff>31750</xdr:rowOff>
    </xdr:from>
    <xdr:to>
      <xdr:col>10</xdr:col>
      <xdr:colOff>482337</xdr:colOff>
      <xdr:row>251</xdr:row>
      <xdr:rowOff>170655</xdr:rowOff>
    </xdr:to>
    <xdr:graphicFrame macro="">
      <xdr:nvGraphicFramePr>
        <xdr:cNvPr id="35" name="Chart 14">
          <a:extLst>
            <a:ext uri="{FF2B5EF4-FFF2-40B4-BE49-F238E27FC236}">
              <a16:creationId xmlns:a16="http://schemas.microsoft.com/office/drawing/2014/main" id="{0175AA96-519F-469C-8466-843F6957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9525</xdr:colOff>
      <xdr:row>252</xdr:row>
      <xdr:rowOff>50800</xdr:rowOff>
    </xdr:from>
    <xdr:to>
      <xdr:col>10</xdr:col>
      <xdr:colOff>542925</xdr:colOff>
      <xdr:row>262</xdr:row>
      <xdr:rowOff>209550</xdr:rowOff>
    </xdr:to>
    <xdr:graphicFrame macro="">
      <xdr:nvGraphicFramePr>
        <xdr:cNvPr id="36" name="Chart 14">
          <a:extLst>
            <a:ext uri="{FF2B5EF4-FFF2-40B4-BE49-F238E27FC236}">
              <a16:creationId xmlns:a16="http://schemas.microsoft.com/office/drawing/2014/main" id="{335D53EF-8298-4EC4-8948-E0ED2943B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3</xdr:col>
      <xdr:colOff>267751</xdr:colOff>
      <xdr:row>0</xdr:row>
      <xdr:rowOff>95249</xdr:rowOff>
    </xdr:from>
    <xdr:to>
      <xdr:col>7</xdr:col>
      <xdr:colOff>558417</xdr:colOff>
      <xdr:row>4</xdr:row>
      <xdr:rowOff>85724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B78D921-24A8-4AFA-BAFC-33AAEA961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851" y="95249"/>
          <a:ext cx="3033866" cy="10572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0.49898</cdr:x>
      <cdr:y>0.66234</cdr:y>
    </cdr:from>
    <cdr:to>
      <cdr:x>0.65282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65714" y="27437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0.91518</cdr:y>
    </cdr:from>
    <cdr:to>
      <cdr:x>0.93724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01809" y="2537957"/>
          <a:ext cx="5387340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Calibri" pitchFamily="34" charset="0"/>
            </a:rPr>
            <a:t>NOTE: Reference Question counts are often not accurate and are not helpful for library-to-library comparisons.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greenwood" refreshedDate="42222.4615037037" createdVersion="3" refreshedVersion="3" minRefreshableVersion="3" recordCount="332" xr:uid="{00000000-000A-0000-FFFF-FFFF00000000}">
  <cacheSource type="worksheet">
    <worksheetSource ref="A1:G333" sheet="branch"/>
  </cacheSource>
  <cacheFields count="7">
    <cacheField name="ID" numFmtId="1">
      <sharedItems containsSemiMixedTypes="0" containsString="0" containsNumber="1" containsInteger="1" minValue="2" maxValue="649" count="74">
        <n v="10"/>
        <n v="100"/>
        <n v="109"/>
        <n v="117"/>
        <n v="12"/>
        <n v="120"/>
        <n v="125"/>
        <n v="139"/>
        <n v="140"/>
        <n v="143"/>
        <n v="150"/>
        <n v="153"/>
        <n v="154"/>
        <n v="16"/>
        <n v="162"/>
        <n v="180"/>
        <n v="181"/>
        <n v="189"/>
        <n v="190"/>
        <n v="198"/>
        <n v="2"/>
        <n v="20"/>
        <n v="212"/>
        <n v="213"/>
        <n v="215"/>
        <n v="228"/>
        <n v="231"/>
        <n v="236"/>
        <n v="238"/>
        <n v="240"/>
        <n v="254"/>
        <n v="256"/>
        <n v="262"/>
        <n v="264"/>
        <n v="266"/>
        <n v="269"/>
        <n v="28"/>
        <n v="283"/>
        <n v="284"/>
        <n v="295"/>
        <n v="298"/>
        <n v="30"/>
        <n v="300"/>
        <n v="311"/>
        <n v="315"/>
        <n v="316"/>
        <n v="324"/>
        <n v="329"/>
        <n v="334"/>
        <n v="343"/>
        <n v="344"/>
        <n v="357"/>
        <n v="384"/>
        <n v="398"/>
        <n v="400"/>
        <n v="408"/>
        <n v="41"/>
        <n v="432"/>
        <n v="452"/>
        <n v="49"/>
        <n v="5"/>
        <n v="50"/>
        <n v="502"/>
        <n v="51"/>
        <n v="517"/>
        <n v="552"/>
        <n v="56"/>
        <n v="64"/>
        <n v="649"/>
        <n v="86"/>
        <n v="88"/>
        <n v="9"/>
        <n v="91"/>
        <n v="94"/>
      </sharedItems>
    </cacheField>
    <cacheField name="Q237" numFmtId="0">
      <sharedItems/>
    </cacheField>
    <cacheField name="BranchID" numFmtId="0">
      <sharedItems/>
    </cacheField>
    <cacheField name="Q235" numFmtId="0">
      <sharedItems/>
    </cacheField>
    <cacheField name="Sqft:Q467" numFmtId="1">
      <sharedItems containsSemiMixedTypes="0" containsString="0" containsNumber="1" containsInteger="1" minValue="-3" maxValue="88000"/>
    </cacheField>
    <cacheField name="Hrs:Q480" numFmtId="1">
      <sharedItems containsSemiMixedTypes="0" containsString="0" containsNumber="1" containsInteger="1" minValue="-3" maxValue="4270"/>
    </cacheField>
    <cacheField name="Wks:Q479" numFmtId="1">
      <sharedItems containsSemiMixedTypes="0" containsString="0" containsNumber="1" containsInteger="1" minValue="-3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greenwood" refreshedDate="42965.419046527779" createdVersion="3" refreshedVersion="3" minRefreshableVersion="3" recordCount="341" xr:uid="{00000000-000A-0000-FFFF-FFFF01000000}">
  <cacheSource type="worksheet">
    <worksheetSource ref="A1:C342" sheet="BranchInfo"/>
  </cacheSource>
  <cacheFields count="3">
    <cacheField name="ID" numFmtId="1">
      <sharedItems containsMixedTypes="1" containsNumber="1" containsInteger="1" minValue="2" maxValue="649" count="76">
        <n v="10"/>
        <n v="100"/>
        <n v="109"/>
        <n v="117"/>
        <n v="12"/>
        <n v="120"/>
        <n v="125"/>
        <n v="139"/>
        <n v="140"/>
        <n v="143"/>
        <n v="150"/>
        <n v="153"/>
        <n v="154"/>
        <n v="16"/>
        <n v="162"/>
        <n v="180"/>
        <n v="181"/>
        <n v="189"/>
        <n v="190"/>
        <n v="198"/>
        <n v="2"/>
        <n v="20"/>
        <n v="212"/>
        <n v="213"/>
        <n v="215"/>
        <n v="228"/>
        <n v="231"/>
        <n v="236"/>
        <n v="238"/>
        <n v="240"/>
        <n v="254"/>
        <n v="256"/>
        <n v="262"/>
        <n v="264"/>
        <n v="266"/>
        <n v="269"/>
        <n v="28"/>
        <n v="283"/>
        <n v="284"/>
        <n v="295"/>
        <n v="298"/>
        <n v="30"/>
        <n v="300"/>
        <n v="311"/>
        <n v="315"/>
        <n v="316"/>
        <n v="324"/>
        <n v="329"/>
        <n v="334"/>
        <n v="343"/>
        <n v="344"/>
        <n v="357"/>
        <n v="384"/>
        <n v="398"/>
        <n v="400"/>
        <n v="408"/>
        <n v="41"/>
        <n v="432"/>
        <n v="452"/>
        <n v="49"/>
        <n v="5"/>
        <n v="50"/>
        <n v="502"/>
        <n v="51"/>
        <n v="517"/>
        <n v="552"/>
        <n v="56"/>
        <n v="627"/>
        <n v="64"/>
        <n v="649"/>
        <n v="86"/>
        <n v="88"/>
        <n v="9"/>
        <n v="91"/>
        <n v="94"/>
        <s v=""/>
      </sharedItems>
    </cacheField>
    <cacheField name="SqFt" numFmtId="0">
      <sharedItems containsBlank="1" containsMixedTypes="1" containsNumber="1" containsInteger="1" minValue="0" maxValue="93000"/>
    </cacheField>
    <cacheField name="Hours" numFmtId="3">
      <sharedItems containsMixedTypes="1" containsNumber="1" containsInteger="1" minValue="0" maxValue="4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2">
  <r>
    <x v="0"/>
    <s v="Chambers County Library"/>
    <s v="10.275"/>
    <s v="Branch"/>
    <n v="5529"/>
    <n v="2412"/>
    <n v="52"/>
  </r>
  <r>
    <x v="0"/>
    <s v="West Chambers County Branch Library"/>
    <s v="10.8"/>
    <s v="Branch"/>
    <n v="3900"/>
    <n v="2412"/>
    <n v="52"/>
  </r>
  <r>
    <x v="0"/>
    <s v="Juanita Hargraves Memorial Branch Library"/>
    <s v="10.9"/>
    <s v="Branch"/>
    <n v="3900"/>
    <n v="2412"/>
    <n v="52"/>
  </r>
  <r>
    <x v="1"/>
    <s v="Bookmobile 1"/>
    <s v="100.307"/>
    <s v="Bookmobile"/>
    <n v="0"/>
    <n v="610"/>
    <n v="52"/>
  </r>
  <r>
    <x v="1"/>
    <s v="Arcadia Park Branch Library"/>
    <s v="100.359"/>
    <s v="Branch"/>
    <n v="19000"/>
    <n v="2829"/>
    <n v="52"/>
  </r>
  <r>
    <x v="1"/>
    <s v="Grauwyler Park Branch Library"/>
    <s v="100.368"/>
    <s v="Branch"/>
    <n v="12500"/>
    <n v="2040"/>
    <n v="52"/>
  </r>
  <r>
    <x v="1"/>
    <s v="Timberglen Branch Library"/>
    <s v="100.369"/>
    <s v="Branch"/>
    <n v="18500"/>
    <n v="2040"/>
    <n v="52"/>
  </r>
  <r>
    <x v="1"/>
    <s v="Bookmarks @ NorthPark Center"/>
    <s v="100.373"/>
    <s v="Branch"/>
    <n v="1993"/>
    <n v="2040"/>
    <n v="52"/>
  </r>
  <r>
    <x v="1"/>
    <s v="Bookmobile 2"/>
    <s v="100.374"/>
    <s v="Bookmobile"/>
    <n v="0"/>
    <n v="610"/>
    <n v="52"/>
  </r>
  <r>
    <x v="1"/>
    <s v="Prairie Creek Branch Library"/>
    <s v="100.389"/>
    <s v="Branch"/>
    <n v="18500"/>
    <n v="2040"/>
    <n v="52"/>
  </r>
  <r>
    <x v="1"/>
    <s v="White Rock Hills Branch Library"/>
    <s v="100.401"/>
    <s v="Branch"/>
    <n v="18000"/>
    <n v="2040"/>
    <n v="52"/>
  </r>
  <r>
    <x v="1"/>
    <s v="Audelia Road Branch Library"/>
    <s v="100.74"/>
    <s v="Branch"/>
    <n v="17350"/>
    <n v="2040"/>
    <n v="52"/>
  </r>
  <r>
    <x v="1"/>
    <s v="Lochwood Branch Library"/>
    <s v="100.75"/>
    <s v="Branch"/>
    <n v="19500"/>
    <n v="2040"/>
    <n v="52"/>
  </r>
  <r>
    <x v="1"/>
    <s v="Forest Green Branch Library"/>
    <s v="100.76"/>
    <s v="Branch"/>
    <n v="9030"/>
    <n v="2040"/>
    <n v="52"/>
  </r>
  <r>
    <x v="1"/>
    <s v="Fretz Park Branch Library"/>
    <s v="100.77"/>
    <s v="Branch"/>
    <n v="14707"/>
    <n v="1400"/>
    <n v="36"/>
  </r>
  <r>
    <x v="1"/>
    <s v="Hampton-Illinois Branch Library"/>
    <s v="100.78"/>
    <s v="Branch"/>
    <n v="23450"/>
    <n v="2829"/>
    <n v="52"/>
  </r>
  <r>
    <x v="1"/>
    <s v="Highland Hills Branch Library"/>
    <s v="100.79"/>
    <s v="Branch"/>
    <n v="19500"/>
    <n v="2040"/>
    <n v="49"/>
  </r>
  <r>
    <x v="1"/>
    <s v="Lakewood Branch Library"/>
    <s v="100.80"/>
    <s v="Branch"/>
    <n v="10600"/>
    <n v="2040"/>
    <n v="52"/>
  </r>
  <r>
    <x v="1"/>
    <s v="Paul Laurence Dunbar Lancaster-Kiest Branch Library"/>
    <s v="100.81"/>
    <s v="Branch"/>
    <n v="18500"/>
    <n v="2040"/>
    <n v="52"/>
  </r>
  <r>
    <x v="1"/>
    <s v="Martin Luther King Jr Library/LC"/>
    <s v="100.82"/>
    <s v="Branch"/>
    <n v="13532"/>
    <n v="2040"/>
    <n v="52"/>
  </r>
  <r>
    <x v="1"/>
    <s v="North Oak Cliff Branch Library"/>
    <s v="100.83"/>
    <s v="Branch"/>
    <n v="15562"/>
    <n v="2040"/>
    <n v="52"/>
  </r>
  <r>
    <x v="1"/>
    <s v="Oak Lawn Branch Library"/>
    <s v="100.84"/>
    <s v="Branch"/>
    <n v="12900"/>
    <n v="2040"/>
    <n v="52"/>
  </r>
  <r>
    <x v="1"/>
    <s v="Park Forest Branch Library"/>
    <s v="100.85"/>
    <s v="Branch"/>
    <n v="10984"/>
    <n v="2040"/>
    <n v="52"/>
  </r>
  <r>
    <x v="1"/>
    <s v="Pleasant Grove Branch Library"/>
    <s v="100.86"/>
    <s v="Branch"/>
    <n v="19500"/>
    <n v="2040"/>
    <n v="52"/>
  </r>
  <r>
    <x v="1"/>
    <s v="Polk-Wisdom Branch Library"/>
    <s v="100.87"/>
    <s v="Branch"/>
    <n v="16800"/>
    <n v="2040"/>
    <n v="52"/>
  </r>
  <r>
    <x v="1"/>
    <s v="Preston Royal Branch Library"/>
    <s v="100.88"/>
    <s v="Branch"/>
    <n v="12400"/>
    <n v="2040"/>
    <n v="52"/>
  </r>
  <r>
    <x v="1"/>
    <s v="Renner Frankford Branch Library"/>
    <s v="100.89"/>
    <s v="Branch"/>
    <n v="11193"/>
    <n v="2040"/>
    <n v="52"/>
  </r>
  <r>
    <x v="1"/>
    <s v="Skyline Branch Library"/>
    <s v="100.90"/>
    <s v="Branch"/>
    <n v="12037"/>
    <n v="2040"/>
    <n v="52"/>
  </r>
  <r>
    <x v="1"/>
    <s v="Bachman Lake Branch Library"/>
    <s v="100.91"/>
    <s v="Branch"/>
    <n v="20019"/>
    <n v="2040"/>
    <n v="52"/>
  </r>
  <r>
    <x v="1"/>
    <s v="Dallas West Branch Library"/>
    <s v="100.92"/>
    <s v="Branch"/>
    <n v="16605"/>
    <n v="2040"/>
    <n v="52"/>
  </r>
  <r>
    <x v="1"/>
    <s v="Mountain Creek Branch Library"/>
    <s v="100.93"/>
    <s v="Branch"/>
    <n v="12729"/>
    <n v="2040"/>
    <n v="52"/>
  </r>
  <r>
    <x v="1"/>
    <s v="Kleberg-Rylie Branch Library"/>
    <s v="100.94"/>
    <s v="Branch"/>
    <n v="10700"/>
    <n v="2040"/>
    <n v="52"/>
  </r>
  <r>
    <x v="1"/>
    <s v="Skillman Southwestern Branch Library"/>
    <s v="100.95"/>
    <s v="Branch"/>
    <n v="12025"/>
    <n v="2040"/>
    <n v="52"/>
  </r>
  <r>
    <x v="2"/>
    <s v="Denton Public Library South Branch"/>
    <s v="109.276"/>
    <s v="Branch"/>
    <n v="21450"/>
    <n v="3046"/>
    <n v="52"/>
  </r>
  <r>
    <x v="2"/>
    <s v="Denton Public Library North Branch"/>
    <s v="109.335"/>
    <s v="Branch"/>
    <n v="33504"/>
    <n v="3338"/>
    <n v="52"/>
  </r>
  <r>
    <x v="3"/>
    <s v="Cactus Branch Library"/>
    <s v="117.300"/>
    <s v="Branch"/>
    <n v="2400"/>
    <n v="1750"/>
    <n v="52"/>
  </r>
  <r>
    <x v="3"/>
    <s v="Britain Memorial Library"/>
    <s v="117.96"/>
    <s v="Branch"/>
    <n v="2300"/>
    <n v="1821"/>
    <n v="52"/>
  </r>
  <r>
    <x v="4"/>
    <s v="Alvin Library"/>
    <s v="12.10"/>
    <s v="Branch"/>
    <n v="18500"/>
    <n v="1896"/>
    <n v="52"/>
  </r>
  <r>
    <x v="4"/>
    <s v="Angleton Library"/>
    <s v="12.11"/>
    <s v="Branch"/>
    <n v="22000"/>
    <n v="2144"/>
    <n v="52"/>
  </r>
  <r>
    <x v="4"/>
    <s v="Brazoria Library"/>
    <s v="12.13"/>
    <s v="Branch"/>
    <n v="12035"/>
    <n v="1896"/>
    <n v="52"/>
  </r>
  <r>
    <x v="4"/>
    <s v="Clute Library"/>
    <s v="12.14"/>
    <s v="Branch"/>
    <n v="8930"/>
    <n v="2106"/>
    <n v="52"/>
  </r>
  <r>
    <x v="4"/>
    <s v="Freeport Library"/>
    <s v="12.15"/>
    <s v="Branch"/>
    <n v="9750"/>
    <n v="2106"/>
    <n v="52"/>
  </r>
  <r>
    <x v="4"/>
    <s v="Lake Jackson Library"/>
    <s v="12.16"/>
    <s v="Branch"/>
    <n v="21000"/>
    <n v="2638"/>
    <n v="52"/>
  </r>
  <r>
    <x v="4"/>
    <s v="Manvel Library"/>
    <s v="12.17"/>
    <s v="Branch"/>
    <n v="3000"/>
    <n v="2498"/>
    <n v="52"/>
  </r>
  <r>
    <x v="4"/>
    <s v="Pearland Library"/>
    <s v="12.18"/>
    <s v="Branch"/>
    <n v="20000"/>
    <n v="2898"/>
    <n v="52"/>
  </r>
  <r>
    <x v="4"/>
    <s v="Sweeny Library"/>
    <s v="12.19"/>
    <s v="Branch"/>
    <n v="4000"/>
    <n v="2122"/>
    <n v="52"/>
  </r>
  <r>
    <x v="4"/>
    <s v="West Columbia Branch Library"/>
    <s v="12.20"/>
    <s v="Branch"/>
    <n v="5000"/>
    <n v="2107"/>
    <n v="52"/>
  </r>
  <r>
    <x v="4"/>
    <s v="Danbury Library"/>
    <s v="12.314"/>
    <s v="Branch"/>
    <n v="1600"/>
    <n v="1829"/>
    <n v="52"/>
  </r>
  <r>
    <x v="4"/>
    <s v="Pearland Westside Library"/>
    <s v="12.404"/>
    <s v="Branch"/>
    <n v="10000"/>
    <n v="2295"/>
    <n v="52"/>
  </r>
  <r>
    <x v="5"/>
    <s v="Eagle Pass Public Children`s Library"/>
    <s v="120.290"/>
    <s v="Branch"/>
    <n v="4034"/>
    <n v="2376"/>
    <n v="52"/>
  </r>
  <r>
    <x v="6"/>
    <s v="Clardy Fox Branch Library"/>
    <s v="125.100"/>
    <s v="Branch"/>
    <n v="15126"/>
    <n v="2496"/>
    <n v="52"/>
  </r>
  <r>
    <x v="6"/>
    <s v="Judge Edward S Marquez Mission Valley Branch"/>
    <s v="125.101"/>
    <s v="Branch"/>
    <n v="15000"/>
    <n v="2496"/>
    <n v="52"/>
  </r>
  <r>
    <x v="6"/>
    <s v="Memorial Park Branch Library"/>
    <s v="125.102"/>
    <s v="Branch"/>
    <n v="9700"/>
    <n v="2496"/>
    <n v="52"/>
  </r>
  <r>
    <x v="6"/>
    <s v="Westside Branch Library"/>
    <s v="125.104"/>
    <s v="Branch"/>
    <n v="8107"/>
    <n v="2496"/>
    <n v="52"/>
  </r>
  <r>
    <x v="6"/>
    <s v="Ysleta Branch Library"/>
    <s v="125.105"/>
    <s v="Branch"/>
    <n v="15500"/>
    <n v="2496"/>
    <n v="52"/>
  </r>
  <r>
    <x v="6"/>
    <s v="Bookmobile - El Paso Public Library"/>
    <s v="125.106"/>
    <s v="Bookmobile"/>
    <n v="312"/>
    <n v="891"/>
    <n v="52"/>
  </r>
  <r>
    <x v="6"/>
    <s v="Irving Schwartz Branch Library"/>
    <s v="125.107"/>
    <s v="Branch"/>
    <n v="10000"/>
    <n v="2496"/>
    <n v="52"/>
  </r>
  <r>
    <x v="6"/>
    <s v="EPCC NW Campus Community Library"/>
    <s v="125.336"/>
    <s v="Branch"/>
    <n v="10358"/>
    <n v="3402"/>
    <n v="49"/>
  </r>
  <r>
    <x v="6"/>
    <s v="Dorris Van Doren Regional Branch Library"/>
    <s v="125.358"/>
    <s v="Branch"/>
    <n v="22000"/>
    <n v="2496"/>
    <n v="52"/>
  </r>
  <r>
    <x v="6"/>
    <s v="Esperanza Acosta Moreno Regional Branch Library"/>
    <s v="125.370"/>
    <s v="Branch"/>
    <n v="24665"/>
    <n v="2496"/>
    <n v="52"/>
  </r>
  <r>
    <x v="6"/>
    <s v="Jose Cisneros Cielo Vista Branch Library"/>
    <s v="125.398"/>
    <s v="Branch"/>
    <n v="9200"/>
    <n v="2496"/>
    <n v="52"/>
  </r>
  <r>
    <x v="6"/>
    <s v="Armijo Branch Library"/>
    <s v="125.97"/>
    <s v="Branch"/>
    <n v="12352"/>
    <n v="2496"/>
    <n v="52"/>
  </r>
  <r>
    <x v="6"/>
    <s v="Richard Burges Regional Branch Library"/>
    <s v="125.98"/>
    <s v="Branch"/>
    <n v="20200"/>
    <n v="2496"/>
    <n v="52"/>
  </r>
  <r>
    <x v="7"/>
    <s v="Sarah Bain Chandler Library"/>
    <s v="139.409"/>
    <s v="Branch"/>
    <n v="2100"/>
    <n v="2080"/>
    <n v="52"/>
  </r>
  <r>
    <x v="7"/>
    <s v="Poth Branch Library"/>
    <s v="139.410"/>
    <s v="Branch"/>
    <n v="103"/>
    <n v="1040"/>
    <n v="52"/>
  </r>
  <r>
    <x v="8"/>
    <s v="Floyd County Branch Library"/>
    <s v="140.110"/>
    <s v="Branch"/>
    <n v="2950"/>
    <n v="988"/>
    <n v="52"/>
  </r>
  <r>
    <x v="9"/>
    <s v="East Berry Branch Library"/>
    <s v="143.111"/>
    <s v="Branch"/>
    <n v="7527"/>
    <n v="2032"/>
    <n v="52"/>
  </r>
  <r>
    <x v="9"/>
    <s v="eSkills Library"/>
    <s v="143.112"/>
    <s v="Branch"/>
    <n v="5045"/>
    <n v="2016"/>
    <n v="52"/>
  </r>
  <r>
    <x v="9"/>
    <s v="Northside Branch Library"/>
    <s v="143.113"/>
    <s v="Branch"/>
    <n v="7072"/>
    <n v="2016"/>
    <n v="52"/>
  </r>
  <r>
    <x v="9"/>
    <s v="Ridglea Branch Library"/>
    <s v="143.114"/>
    <s v="Branch"/>
    <n v="9585"/>
    <n v="2016"/>
    <n v="43"/>
  </r>
  <r>
    <x v="9"/>
    <s v="Riverside Branch Library"/>
    <s v="143.115"/>
    <s v="Branch"/>
    <n v="6313"/>
    <n v="2016"/>
    <n v="52"/>
  </r>
  <r>
    <x v="9"/>
    <s v="Seminary South Branch Library"/>
    <s v="143.116"/>
    <s v="Branch"/>
    <n v="6834"/>
    <n v="2032"/>
    <n v="52"/>
  </r>
  <r>
    <x v="9"/>
    <s v="Shamblee Branch Library"/>
    <s v="143.117"/>
    <s v="Branch"/>
    <n v="13445"/>
    <n v="2016"/>
    <n v="52"/>
  </r>
  <r>
    <x v="9"/>
    <s v="Southwest Regional Branch Library"/>
    <s v="143.118"/>
    <s v="Branch"/>
    <n v="25661"/>
    <n v="2032"/>
    <n v="52"/>
  </r>
  <r>
    <x v="9"/>
    <s v="Wedgwood Branch Library"/>
    <s v="143.119"/>
    <s v="Branch"/>
    <n v="4962"/>
    <n v="2016"/>
    <n v="52"/>
  </r>
  <r>
    <x v="9"/>
    <s v="Diamond Hill/Jarvis Branch Library"/>
    <s v="143.120"/>
    <s v="Branch"/>
    <n v="8121"/>
    <n v="2032"/>
    <n v="52"/>
  </r>
  <r>
    <x v="9"/>
    <s v="COOL (Cavile Outreach Opportunity Library)"/>
    <s v="143.277"/>
    <s v="Branch"/>
    <n v="915"/>
    <n v="2286"/>
    <n v="52"/>
  </r>
  <r>
    <x v="9"/>
    <s v="East Regional Branch Library"/>
    <s v="143.278"/>
    <s v="Branch"/>
    <n v="23990"/>
    <n v="2032"/>
    <n v="52"/>
  </r>
  <r>
    <x v="9"/>
    <s v="BOLD Butler Housing Community Library"/>
    <s v="143.297"/>
    <s v="Branch"/>
    <n v="1400"/>
    <n v="2286"/>
    <n v="52"/>
  </r>
  <r>
    <x v="9"/>
    <s v="Summerglen Branch Library"/>
    <s v="143.309"/>
    <s v="Branch"/>
    <n v="11068"/>
    <n v="2032"/>
    <n v="52"/>
  </r>
  <r>
    <x v="9"/>
    <s v="Northwest Branch Library"/>
    <s v="143.390"/>
    <s v="Branch"/>
    <n v="13038"/>
    <n v="2016"/>
    <n v="52"/>
  </r>
  <r>
    <x v="10"/>
    <s v="Walnut Creek Branch Library"/>
    <s v="150.122"/>
    <s v="Branch"/>
    <n v="8000"/>
    <n v="2064"/>
    <n v="52"/>
  </r>
  <r>
    <x v="10"/>
    <s v="North Garland Branch Library"/>
    <s v="150.124"/>
    <s v="Branch"/>
    <n v="16500"/>
    <n v="2064"/>
    <n v="52"/>
  </r>
  <r>
    <x v="10"/>
    <s v="South Garland Branch Library"/>
    <s v="150.317"/>
    <s v="Branch"/>
    <n v="36920"/>
    <n v="2064"/>
    <n v="52"/>
  </r>
  <r>
    <x v="11"/>
    <s v="Live Oak County Branch Library"/>
    <s v="153.125"/>
    <s v="Branch"/>
    <n v="2064"/>
    <n v="1651"/>
    <n v="52"/>
  </r>
  <r>
    <x v="12"/>
    <s v="WOW!mobile"/>
    <s v="154.402"/>
    <s v="Bookmobile"/>
    <n v="135"/>
    <n v="624"/>
    <n v="49"/>
  </r>
  <r>
    <x v="13"/>
    <s v="East Arlington Branch Library"/>
    <s v="16.21"/>
    <s v="Branch"/>
    <n v="10000"/>
    <n v="2808"/>
    <n v="52"/>
  </r>
  <r>
    <x v="13"/>
    <s v="Northeast Branch Library"/>
    <s v="16.22"/>
    <s v="Branch"/>
    <n v="10000"/>
    <n v="2808"/>
    <n v="52"/>
  </r>
  <r>
    <x v="13"/>
    <s v="Woodland West Branch Library"/>
    <s v="16.23"/>
    <s v="Branch"/>
    <n v="8100"/>
    <n v="2808"/>
    <n v="52"/>
  </r>
  <r>
    <x v="13"/>
    <s v="Lake Arlington Branch Library"/>
    <s v="16.24"/>
    <s v="Branch"/>
    <n v="10000"/>
    <n v="2808"/>
    <n v="52"/>
  </r>
  <r>
    <x v="13"/>
    <s v="Southeast Branch Library"/>
    <s v="16.333"/>
    <s v="Branch"/>
    <n v="15000"/>
    <n v="2840"/>
    <n v="52"/>
  </r>
  <r>
    <x v="13"/>
    <s v="Southwest Branch Library"/>
    <s v="16.372"/>
    <s v="Branch"/>
    <n v="11200"/>
    <n v="2808"/>
    <n v="52"/>
  </r>
  <r>
    <x v="14"/>
    <s v="Betty Warmack Branch Library"/>
    <s v="162.323"/>
    <s v="Branch"/>
    <n v="10000"/>
    <n v="2316"/>
    <n v="52"/>
  </r>
  <r>
    <x v="14"/>
    <s v="Tony Shotwell Life Center Branch Library"/>
    <s v="162.365"/>
    <s v="Branch"/>
    <n v="2760"/>
    <n v="2028"/>
    <n v="52"/>
  </r>
  <r>
    <x v="15"/>
    <s v="Waller County Library Brookshire-Pattison"/>
    <s v="180.127"/>
    <s v="Branch"/>
    <n v="4400"/>
    <n v="2288"/>
    <n v="52"/>
  </r>
  <r>
    <x v="16"/>
    <s v="Morrow Branch Library"/>
    <s v="181.128"/>
    <s v="Branch"/>
    <n v="1910"/>
    <n v="2158"/>
    <n v="52"/>
  </r>
  <r>
    <x v="16"/>
    <s v="McMillan Memorial Library"/>
    <s v="181.129"/>
    <s v="Branch"/>
    <n v="11383"/>
    <n v="2158"/>
    <n v="52"/>
  </r>
  <r>
    <x v="16"/>
    <s v="Tatum Public Library"/>
    <s v="181.130"/>
    <s v="Branch"/>
    <n v="3206"/>
    <n v="2158"/>
    <n v="52"/>
  </r>
  <r>
    <x v="16"/>
    <s v="Rusk County Library"/>
    <s v="181.279"/>
    <s v="Branch"/>
    <n v="20774"/>
    <n v="2483"/>
    <n v="52"/>
  </r>
  <r>
    <x v="17"/>
    <s v="Shepard-Acres Homes Branch Library"/>
    <s v="189.131"/>
    <s v="Branch"/>
    <n v="8720"/>
    <n v="1976"/>
    <n v="50"/>
  </r>
  <r>
    <x v="17"/>
    <s v="Henington-Alief Regional Library"/>
    <s v="189.132"/>
    <s v="Branch"/>
    <n v="19620"/>
    <n v="2129"/>
    <n v="50"/>
  </r>
  <r>
    <x v="17"/>
    <s v="Bracewell Branch Library"/>
    <s v="189.133"/>
    <s v="Branch"/>
    <n v="12000"/>
    <n v="1763"/>
    <n v="50"/>
  </r>
  <r>
    <x v="17"/>
    <s v="Carnegie Branch Library"/>
    <s v="189.134"/>
    <s v="Branch"/>
    <n v="19620"/>
    <n v="2855"/>
    <n v="50"/>
  </r>
  <r>
    <x v="17"/>
    <s v="Collier Regional Library"/>
    <s v="189.135"/>
    <s v="Branch"/>
    <n v="17440"/>
    <n v="2021"/>
    <n v="50"/>
  </r>
  <r>
    <x v="17"/>
    <s v="Clayton Library Ctr for Gen Res"/>
    <s v="189.136"/>
    <s v="Branch"/>
    <n v="34936"/>
    <n v="2017"/>
    <n v="50"/>
  </r>
  <r>
    <x v="17"/>
    <s v="Dixon Branch Library"/>
    <s v="189.137"/>
    <s v="Branch"/>
    <n v="3270"/>
    <n v="1767"/>
    <n v="50"/>
  </r>
  <r>
    <x v="17"/>
    <s v="Fifth Ward Branch Library"/>
    <s v="189.138"/>
    <s v="Branch"/>
    <n v="551"/>
    <n v="945"/>
    <n v="50"/>
  </r>
  <r>
    <x v="17"/>
    <s v="Flores Branch Library"/>
    <s v="189.139"/>
    <s v="Branch"/>
    <n v="9265"/>
    <n v="1740"/>
    <n v="50"/>
  </r>
  <r>
    <x v="17"/>
    <s v="Frank Branch Library"/>
    <s v="189.140"/>
    <s v="Branch"/>
    <n v="9040"/>
    <n v="1516"/>
    <n v="50"/>
  </r>
  <r>
    <x v="17"/>
    <s v="Heights Branch Library"/>
    <s v="189.141"/>
    <s v="Branch"/>
    <n v="15260"/>
    <n v="2157"/>
    <n v="50"/>
  </r>
  <r>
    <x v="17"/>
    <s v="Hillendahl Branch Library"/>
    <s v="189.142"/>
    <s v="Branch"/>
    <n v="10900"/>
    <n v="1375"/>
    <n v="50"/>
  </r>
  <r>
    <x v="17"/>
    <s v="Johnson Branch Library"/>
    <s v="189.143"/>
    <s v="Branch"/>
    <n v="12190"/>
    <n v="1752"/>
    <n v="50"/>
  </r>
  <r>
    <x v="17"/>
    <s v="Jungman Branch Library"/>
    <s v="189.144"/>
    <s v="Branch"/>
    <n v="18530"/>
    <n v="1635"/>
    <n v="50"/>
  </r>
  <r>
    <x v="17"/>
    <s v="McCrane-Kashmere Gardens Branch Library"/>
    <s v="189.145"/>
    <s v="Branch"/>
    <n v="11178"/>
    <n v="1718"/>
    <n v="50"/>
  </r>
  <r>
    <x v="17"/>
    <s v="Kendall Branch Library"/>
    <s v="189.146"/>
    <s v="Branch"/>
    <n v="19000"/>
    <n v="2160"/>
    <n v="50"/>
  </r>
  <r>
    <x v="17"/>
    <s v="Lakewood Branch Library"/>
    <s v="189.147"/>
    <s v="Branch"/>
    <n v="4524"/>
    <n v="1861"/>
    <n v="50"/>
  </r>
  <r>
    <x v="17"/>
    <s v="Looscan Branch Library"/>
    <s v="189.148"/>
    <s v="Branch"/>
    <n v="20000"/>
    <n v="2031"/>
    <n v="28"/>
  </r>
  <r>
    <x v="17"/>
    <s v="Mancuso Branch Library"/>
    <s v="189.149"/>
    <s v="Branch"/>
    <n v="8930"/>
    <n v="2056"/>
    <n v="50"/>
  </r>
  <r>
    <x v="17"/>
    <s v="Melcher Branch Library"/>
    <s v="189.150"/>
    <s v="Branch"/>
    <n v="4578"/>
    <n v="1762"/>
    <n v="50"/>
  </r>
  <r>
    <x v="17"/>
    <s v="Meyer Branch Library"/>
    <s v="189.151"/>
    <s v="Branch"/>
    <n v="8339"/>
    <n v="1744"/>
    <n v="50"/>
  </r>
  <r>
    <x v="17"/>
    <s v="Moody Branch Library"/>
    <s v="189.152"/>
    <s v="Branch"/>
    <n v="6213"/>
    <n v="2033"/>
    <n v="50"/>
  </r>
  <r>
    <x v="17"/>
    <s v="Oak Forest Branch Library"/>
    <s v="189.153"/>
    <s v="Branch"/>
    <n v="12116"/>
    <n v="1794"/>
    <n v="50"/>
  </r>
  <r>
    <x v="17"/>
    <s v="Park Place Regional Library"/>
    <s v="189.154"/>
    <s v="Branch"/>
    <n v="16000"/>
    <n v="2146"/>
    <n v="50"/>
  </r>
  <r>
    <x v="17"/>
    <s v="Pleasantville Branch Library"/>
    <s v="189.155"/>
    <s v="Branch"/>
    <n v="4360"/>
    <n v="2046"/>
    <n v="50"/>
  </r>
  <r>
    <x v="17"/>
    <s v="Ring Branch Library"/>
    <s v="189.156"/>
    <s v="Branch"/>
    <n v="8391"/>
    <n v="1883"/>
    <n v="50"/>
  </r>
  <r>
    <x v="17"/>
    <s v="Scenic Woods Regional Library"/>
    <s v="189.157"/>
    <s v="Branch"/>
    <n v="12252"/>
    <n v="2071"/>
    <n v="50"/>
  </r>
  <r>
    <x v="17"/>
    <s v="Smith Branch Library"/>
    <s v="189.158"/>
    <s v="Branch"/>
    <n v="11445"/>
    <n v="2045"/>
    <n v="50"/>
  </r>
  <r>
    <x v="17"/>
    <s v="Stanaker Branch Library"/>
    <s v="189.159"/>
    <s v="Branch"/>
    <n v="9045"/>
    <n v="2012"/>
    <n v="31"/>
  </r>
  <r>
    <x v="17"/>
    <s v="Tuttle Branch Library"/>
    <s v="189.160"/>
    <s v="Branch"/>
    <n v="7722"/>
    <n v="1768"/>
    <n v="50"/>
  </r>
  <r>
    <x v="17"/>
    <s v="HPL Express Vinson"/>
    <s v="189.161"/>
    <s v="Branch"/>
    <n v="19864"/>
    <n v="1767"/>
    <n v="50"/>
  </r>
  <r>
    <x v="17"/>
    <s v="Walter Branch Library"/>
    <s v="189.162"/>
    <s v="Branch"/>
    <n v="10400"/>
    <n v="1760"/>
    <n v="50"/>
  </r>
  <r>
    <x v="17"/>
    <s v="Young Branch Library"/>
    <s v="189.163"/>
    <s v="Branch"/>
    <n v="7922"/>
    <n v="1768"/>
    <n v="50"/>
  </r>
  <r>
    <x v="17"/>
    <s v="Freed-Montrose Branch Library"/>
    <s v="189.164"/>
    <s v="Branch"/>
    <n v="16459"/>
    <n v="1758"/>
    <n v="50"/>
  </r>
  <r>
    <x v="17"/>
    <s v="Robinson-Westchase Branch Library"/>
    <s v="189.165"/>
    <s v="Branch"/>
    <n v="18094"/>
    <n v="2018"/>
    <n v="50"/>
  </r>
  <r>
    <x v="17"/>
    <s v="Stimley-Blue Ridge Branch Library"/>
    <s v="189.303"/>
    <s v="Branch"/>
    <n v="14660"/>
    <n v="2053"/>
    <n v="50"/>
  </r>
  <r>
    <x v="17"/>
    <s v="McGovern-Stella Link Branch Library"/>
    <s v="189.360"/>
    <s v="Branch"/>
    <n v="20393"/>
    <n v="2154"/>
    <n v="50"/>
  </r>
  <r>
    <x v="17"/>
    <s v="HPL Express Discovery Green"/>
    <s v="189.377"/>
    <s v="Branch"/>
    <n v="450"/>
    <n v="695"/>
    <n v="50"/>
  </r>
  <r>
    <x v="17"/>
    <s v="HPL Express Southwest"/>
    <s v="189.378"/>
    <s v="Branch"/>
    <n v="3636"/>
    <n v="2022"/>
    <n v="50"/>
  </r>
  <r>
    <x v="17"/>
    <s v="African American Library"/>
    <s v="189.391"/>
    <s v="Branch"/>
    <n v="26000"/>
    <n v="1956"/>
    <n v="50"/>
  </r>
  <r>
    <x v="17"/>
    <s v="Houston Metropolitan Research Center"/>
    <s v="189.392"/>
    <s v="Branch"/>
    <n v="88000"/>
    <n v="2049"/>
    <n v="50"/>
  </r>
  <r>
    <x v="17"/>
    <s v="HPL Mobile Express"/>
    <s v="189.393"/>
    <s v="Bookmobile"/>
    <n v="-3"/>
    <n v="-3"/>
    <n v="-3"/>
  </r>
  <r>
    <x v="18"/>
    <s v="Crosby Branch Library"/>
    <s v="190.166"/>
    <s v="Branch"/>
    <n v="10500"/>
    <n v="1799"/>
    <n v="52"/>
  </r>
  <r>
    <x v="18"/>
    <s v="Northwest Branch Library"/>
    <s v="190.167"/>
    <s v="Branch"/>
    <n v="12000"/>
    <n v="1909"/>
    <n v="52"/>
  </r>
  <r>
    <x v="18"/>
    <s v="Galena Park Branch Library"/>
    <s v="190.168"/>
    <s v="Branch"/>
    <n v="6922"/>
    <n v="1140"/>
    <n v="33"/>
  </r>
  <r>
    <x v="18"/>
    <s v="Stratford Branch Library"/>
    <s v="190.169"/>
    <s v="Branch"/>
    <n v="2700"/>
    <n v="2054"/>
    <n v="52"/>
  </r>
  <r>
    <x v="18"/>
    <s v="Aldine Branch Library"/>
    <s v="190.170"/>
    <s v="Branch"/>
    <n v="13268"/>
    <n v="2209"/>
    <n v="52"/>
  </r>
  <r>
    <x v="18"/>
    <s v="Katherine Tyra/Bear Creek Branch Library"/>
    <s v="190.171"/>
    <s v="Branch"/>
    <n v="12000"/>
    <n v="2261"/>
    <n v="52"/>
  </r>
  <r>
    <x v="18"/>
    <s v="Fairbanks Branch Library"/>
    <s v="190.172"/>
    <s v="Branch"/>
    <n v="7247"/>
    <n v="2207"/>
    <n v="52"/>
  </r>
  <r>
    <x v="18"/>
    <s v="Freeman Memorial Branch Library"/>
    <s v="190.173"/>
    <s v="Branch"/>
    <n v="42000"/>
    <n v="2654"/>
    <n v="52"/>
  </r>
  <r>
    <x v="18"/>
    <s v="High Meadows Branch Library"/>
    <s v="190.174"/>
    <s v="Branch"/>
    <n v="9500"/>
    <n v="2362"/>
    <n v="52"/>
  </r>
  <r>
    <x v="18"/>
    <s v="Jacinto City Branch Library"/>
    <s v="190.175"/>
    <s v="Branch"/>
    <n v="5883"/>
    <n v="2012"/>
    <n v="52"/>
  </r>
  <r>
    <x v="18"/>
    <s v="Spring Branch Library"/>
    <s v="190.176"/>
    <s v="Branch"/>
    <n v="10500"/>
    <n v="2357"/>
    <n v="52"/>
  </r>
  <r>
    <x v="18"/>
    <s v="West University Branch Library"/>
    <s v="190.177"/>
    <s v="Branch"/>
    <n v="6100"/>
    <n v="2150"/>
    <n v="52"/>
  </r>
  <r>
    <x v="18"/>
    <s v="North Channel Branch Library"/>
    <s v="190.179"/>
    <s v="Branch"/>
    <n v="14000"/>
    <n v="2463"/>
    <n v="52"/>
  </r>
  <r>
    <x v="18"/>
    <s v="Parker Williams Branch Library"/>
    <s v="190.180"/>
    <s v="Branch"/>
    <n v="20000"/>
    <n v="1960"/>
    <n v="52"/>
  </r>
  <r>
    <x v="18"/>
    <s v="Baldwin Boettcher Branch Library"/>
    <s v="190.181"/>
    <s v="Branch"/>
    <n v="10137"/>
    <n v="2159"/>
    <n v="52"/>
  </r>
  <r>
    <x v="18"/>
    <s v="Octavia Fields Branch Library"/>
    <s v="190.182"/>
    <s v="Branch"/>
    <n v="15000"/>
    <n v="2215"/>
    <n v="52"/>
  </r>
  <r>
    <x v="18"/>
    <s v="Katy Branch Library"/>
    <s v="190.183"/>
    <s v="Branch"/>
    <n v="15000"/>
    <n v="2254"/>
    <n v="52"/>
  </r>
  <r>
    <x v="18"/>
    <s v="Maud Smith Marks Branch Library"/>
    <s v="190.184"/>
    <s v="Branch"/>
    <n v="12300"/>
    <n v="2357"/>
    <n v="52"/>
  </r>
  <r>
    <x v="18"/>
    <s v="Kingwood Branch Library"/>
    <s v="190.185"/>
    <s v="Branch"/>
    <n v="30000"/>
    <n v="2667"/>
    <n v="52"/>
  </r>
  <r>
    <x v="18"/>
    <s v="La Porte Branch Library"/>
    <s v="190.186"/>
    <s v="Branch"/>
    <n v="23357"/>
    <n v="2359"/>
    <n v="52"/>
  </r>
  <r>
    <x v="18"/>
    <s v="Evelyn Meador Branch Library"/>
    <s v="190.187"/>
    <s v="Branch"/>
    <n v="21100"/>
    <n v="2354"/>
    <n v="52"/>
  </r>
  <r>
    <x v="18"/>
    <s v="South Houston Branch Library"/>
    <s v="190.188"/>
    <s v="Branch"/>
    <n v="6910"/>
    <n v="1909"/>
    <n v="52"/>
  </r>
  <r>
    <x v="18"/>
    <s v="Barbara Bush Branch Library"/>
    <s v="190.189"/>
    <s v="Branch"/>
    <n v="32000"/>
    <n v="2660"/>
    <n v="52"/>
  </r>
  <r>
    <x v="18"/>
    <s v="Tomball Branch Library"/>
    <s v="190.190"/>
    <s v="Branch"/>
    <n v="72000"/>
    <n v="3557"/>
    <n v="52"/>
  </r>
  <r>
    <x v="18"/>
    <s v="Atascocita Branch Library"/>
    <s v="190.286"/>
    <s v="Branch"/>
    <n v="12000"/>
    <n v="2357"/>
    <n v="52"/>
  </r>
  <r>
    <x v="18"/>
    <s v="Cy-Fair College"/>
    <s v="190.341"/>
    <s v="Branch"/>
    <n v="78500"/>
    <n v="4270"/>
    <n v="52"/>
  </r>
  <r>
    <x v="18"/>
    <s v="HCPL Technology Center at Lincoln Park"/>
    <s v="190.396"/>
    <s v="Branch"/>
    <n v="552"/>
    <n v="2000"/>
    <n v="52"/>
  </r>
  <r>
    <x v="18"/>
    <s v="HCPL Technology Center at Finnegan Park"/>
    <s v="190.397"/>
    <s v="Branch"/>
    <n v="275"/>
    <n v="2000"/>
    <n v="52"/>
  </r>
  <r>
    <x v="19"/>
    <s v="West Irving Library"/>
    <s v="198.192"/>
    <s v="Branch"/>
    <n v="25000"/>
    <n v="2744"/>
    <n v="52"/>
  </r>
  <r>
    <x v="19"/>
    <s v="East Branch Library"/>
    <s v="198.281"/>
    <s v="Branch"/>
    <n v="5700"/>
    <n v="1600"/>
    <n v="52"/>
  </r>
  <r>
    <x v="19"/>
    <s v="Valley Ranch Library"/>
    <s v="198.284"/>
    <s v="Branch"/>
    <n v="26000"/>
    <n v="2312"/>
    <n v="44"/>
  </r>
  <r>
    <x v="20"/>
    <s v="Abilene Public Library South Branch"/>
    <s v="2.1"/>
    <s v="Branch"/>
    <n v="5600"/>
    <n v="3077"/>
    <n v="52"/>
  </r>
  <r>
    <x v="20"/>
    <s v="Abilene Public Library Mockingbird"/>
    <s v="2.384"/>
    <s v="Branch"/>
    <n v="11880"/>
    <n v="3158"/>
    <n v="52"/>
  </r>
  <r>
    <x v="21"/>
    <s v="Austin History Center Library"/>
    <s v="20.27"/>
    <s v="Branch"/>
    <n v="36176"/>
    <n v="2346"/>
    <n v="52"/>
  </r>
  <r>
    <x v="21"/>
    <s v="Carver Branch Library"/>
    <s v="20.28"/>
    <s v="Branch"/>
    <n v="14967"/>
    <n v="2526"/>
    <n v="52"/>
  </r>
  <r>
    <x v="21"/>
    <s v="Milwood Branch Library"/>
    <s v="20.288"/>
    <s v="Branch"/>
    <n v="8266"/>
    <n v="2542"/>
    <n v="52"/>
  </r>
  <r>
    <x v="21"/>
    <s v="Will Hampton Branch at Oak Hill"/>
    <s v="20.289"/>
    <s v="Branch"/>
    <n v="8580"/>
    <n v="2392"/>
    <n v="52"/>
  </r>
  <r>
    <x v="21"/>
    <s v="Eustasio Cepeda Branch Library"/>
    <s v="20.29"/>
    <s v="Branch"/>
    <n v="8110"/>
    <n v="2542"/>
    <n v="52"/>
  </r>
  <r>
    <x v="21"/>
    <s v="Howson Branch Library"/>
    <s v="20.30"/>
    <s v="Branch"/>
    <n v="6700"/>
    <n v="2392"/>
    <n v="52"/>
  </r>
  <r>
    <x v="21"/>
    <s v="Little Walnut Creek Branch Library"/>
    <s v="20.31"/>
    <s v="Branch"/>
    <n v="11000"/>
    <n v="2746"/>
    <n v="52"/>
  </r>
  <r>
    <x v="21"/>
    <s v="Manchaca Road Branch Library"/>
    <s v="20.32"/>
    <s v="Branch"/>
    <n v="14500"/>
    <n v="2746"/>
    <n v="52"/>
  </r>
  <r>
    <x v="21"/>
    <s v="Ralph W Yarborough Branch Library"/>
    <s v="20.33"/>
    <s v="Branch"/>
    <n v="15120"/>
    <n v="2542"/>
    <n v="52"/>
  </r>
  <r>
    <x v="21"/>
    <s v="St John Branch Library"/>
    <s v="20.330"/>
    <s v="Branch"/>
    <n v="7536"/>
    <n v="2340"/>
    <n v="52"/>
  </r>
  <r>
    <x v="21"/>
    <s v="North Village Branch Library"/>
    <s v="20.34"/>
    <s v="Branch"/>
    <n v="10738"/>
    <n v="2392"/>
    <n v="52"/>
  </r>
  <r>
    <x v="21"/>
    <s v="Willie Mae Kirk Branch Library"/>
    <s v="20.35"/>
    <s v="Branch"/>
    <n v="10000"/>
    <n v="2392"/>
    <n v="52"/>
  </r>
  <r>
    <x v="21"/>
    <s v="Old Quarry Branch Library"/>
    <s v="20.36"/>
    <s v="Branch"/>
    <n v="9017"/>
    <n v="2542"/>
    <n v="52"/>
  </r>
  <r>
    <x v="21"/>
    <s v="Pleasant Hill Branch Library"/>
    <s v="20.37"/>
    <s v="Branch"/>
    <n v="9017"/>
    <n v="2542"/>
    <n v="52"/>
  </r>
  <r>
    <x v="21"/>
    <s v="Daniel E Ruiz Branch Library"/>
    <s v="20.38"/>
    <s v="Branch"/>
    <n v="16000"/>
    <n v="2746"/>
    <n v="52"/>
  </r>
  <r>
    <x v="21"/>
    <s v="Spicewood Springs Branch Library"/>
    <s v="20.39"/>
    <s v="Branch"/>
    <n v="13257"/>
    <n v="2392"/>
    <n v="52"/>
  </r>
  <r>
    <x v="21"/>
    <s v="Terrazas Branch Library"/>
    <s v="20.40"/>
    <s v="Branch"/>
    <n v="10827"/>
    <n v="2392"/>
    <n v="52"/>
  </r>
  <r>
    <x v="21"/>
    <s v="Twin Oaks Branch Library"/>
    <s v="20.41"/>
    <s v="Branch"/>
    <n v="10120"/>
    <n v="2392"/>
    <n v="52"/>
  </r>
  <r>
    <x v="21"/>
    <s v="University Hills Branch Library"/>
    <s v="20.42"/>
    <s v="Branch"/>
    <n v="8000"/>
    <n v="2542"/>
    <n v="52"/>
  </r>
  <r>
    <x v="21"/>
    <s v="Windsor Park Branch Library"/>
    <s v="20.43"/>
    <s v="Branch"/>
    <n v="8630"/>
    <n v="2392"/>
    <n v="52"/>
  </r>
  <r>
    <x v="21"/>
    <s v="Southeast Austin Community Branch Library"/>
    <s v="20.44"/>
    <s v="Branch"/>
    <n v="8320"/>
    <n v="2392"/>
    <n v="52"/>
  </r>
  <r>
    <x v="22"/>
    <s v="Wink Branch Library"/>
    <s v="212.194"/>
    <s v="Branch"/>
    <n v="9606"/>
    <n v="1560"/>
    <n v="52"/>
  </r>
  <r>
    <x v="23"/>
    <s v="Kerr Regional History Center"/>
    <s v="213.334"/>
    <s v="Branch"/>
    <n v="1795"/>
    <n v="1296"/>
    <n v="49"/>
  </r>
  <r>
    <x v="24"/>
    <s v="Copper Mountain Branch Library"/>
    <s v="215.319"/>
    <s v="Branch"/>
    <n v="9800"/>
    <n v="2598"/>
    <n v="52"/>
  </r>
  <r>
    <x v="25"/>
    <s v="Bruni Plaza Branch Library"/>
    <s v="228.311"/>
    <s v="Branch"/>
    <n v="5051"/>
    <n v="2216"/>
    <n v="50"/>
  </r>
  <r>
    <x v="25"/>
    <s v="Cyber Mobile"/>
    <s v="228.386"/>
    <s v="Bookmobile"/>
    <n v="240"/>
    <n v="100"/>
    <n v="3"/>
  </r>
  <r>
    <x v="25"/>
    <s v="Inner City Branch Library"/>
    <s v="228.405"/>
    <s v="Branch"/>
    <n v="15151"/>
    <n v="2307"/>
    <n v="51"/>
  </r>
  <r>
    <x v="25"/>
    <s v="Santa Rita Express Branch Library"/>
    <s v="228.406"/>
    <s v="Branch"/>
    <n v="1073"/>
    <n v="962"/>
    <n v="48"/>
  </r>
  <r>
    <x v="25"/>
    <s v="Barbara Fasken Branch Library"/>
    <s v="228.407"/>
    <s v="Branch"/>
    <n v="8034"/>
    <n v="1231"/>
    <n v="29"/>
  </r>
  <r>
    <x v="25"/>
    <s v="Sophie Christen McKendrick, Francisco Ochoa and Fernando Salinas Branch Library"/>
    <s v="228.411"/>
    <s v="Branch"/>
    <n v="0"/>
    <n v="0"/>
    <n v="0"/>
  </r>
  <r>
    <x v="26"/>
    <s v="Sundown Branch Library"/>
    <s v="231.200"/>
    <s v="Branch"/>
    <n v="1287"/>
    <n v="1912"/>
    <n v="50"/>
  </r>
  <r>
    <x v="27"/>
    <s v="Lakeshore Branch Library"/>
    <s v="236.202"/>
    <s v="Branch"/>
    <n v="3433"/>
    <n v="1970"/>
    <n v="52"/>
  </r>
  <r>
    <x v="27"/>
    <s v="Kingsland Branch Library"/>
    <s v="236.203"/>
    <s v="Branch"/>
    <n v="9200"/>
    <n v="2265"/>
    <n v="52"/>
  </r>
  <r>
    <x v="28"/>
    <s v="Broughton Branch Library"/>
    <s v="238.328"/>
    <s v="Branch"/>
    <n v="500"/>
    <n v="1005"/>
    <n v="52"/>
  </r>
  <r>
    <x v="29"/>
    <s v="Godeke Branch Library"/>
    <s v="240.204"/>
    <s v="Branch"/>
    <n v="12630"/>
    <n v="2727"/>
    <n v="52"/>
  </r>
  <r>
    <x v="29"/>
    <s v="Patterson Branch Library"/>
    <s v="240.282"/>
    <s v="Branch"/>
    <n v="10426"/>
    <n v="2727"/>
    <n v="52"/>
  </r>
  <r>
    <x v="29"/>
    <s v="Groves Branch Library"/>
    <s v="240.292"/>
    <s v="Branch"/>
    <n v="10426"/>
    <n v="2727"/>
    <n v="52"/>
  </r>
  <r>
    <x v="30"/>
    <s v="Lark Branch Library"/>
    <s v="254.320"/>
    <s v="Branch"/>
    <n v="11000"/>
    <n v="3322"/>
    <n v="52"/>
  </r>
  <r>
    <x v="30"/>
    <s v="Palm View Branch Library"/>
    <s v="254.321"/>
    <s v="Branch"/>
    <n v="11000"/>
    <n v="3322"/>
    <n v="52"/>
  </r>
  <r>
    <x v="31"/>
    <s v="John and Judy Gay Library"/>
    <s v="256.381"/>
    <s v="Branch"/>
    <n v="20000"/>
    <n v="3136"/>
    <n v="52"/>
  </r>
  <r>
    <x v="32"/>
    <s v="Mesquite Public Library-North Branch"/>
    <s v="262.206"/>
    <s v="Branch"/>
    <n v="10000"/>
    <n v="2730"/>
    <n v="52"/>
  </r>
  <r>
    <x v="33"/>
    <s v="Midland Centennial Library"/>
    <s v="264.207"/>
    <s v="Branch"/>
    <n v="32956"/>
    <n v="3000"/>
    <n v="49"/>
  </r>
  <r>
    <x v="34"/>
    <s v="Mineola Memorial Library Bookmobile"/>
    <s v="266.402"/>
    <s v="Bookmobile"/>
    <n v="0"/>
    <n v="212"/>
    <n v="48"/>
  </r>
  <r>
    <x v="35"/>
    <s v="Barstow Library"/>
    <s v="269.208"/>
    <s v="Branch"/>
    <n v="480"/>
    <n v="900"/>
    <n v="52"/>
  </r>
  <r>
    <x v="35"/>
    <s v="Grandfalls Library"/>
    <s v="269.209"/>
    <s v="Branch"/>
    <n v="2030"/>
    <n v="2223"/>
    <n v="52"/>
  </r>
  <r>
    <x v="36"/>
    <s v="Sargent Branch Library"/>
    <s v="28.47"/>
    <s v="Branch"/>
    <n v="500"/>
    <n v="896"/>
    <n v="46"/>
  </r>
  <r>
    <x v="37"/>
    <s v="Westside Community Center Library"/>
    <s v="283.412"/>
    <s v="Branch"/>
    <n v="805"/>
    <n v="1000"/>
    <n v="50"/>
  </r>
  <r>
    <x v="38"/>
    <s v="Deweyville Public Library"/>
    <s v="284.315"/>
    <s v="Branch"/>
    <n v="736"/>
    <n v="1378"/>
    <n v="50"/>
  </r>
  <r>
    <x v="39"/>
    <s v="Blessing Library"/>
    <s v="295.211"/>
    <s v="Branch"/>
    <n v="1099"/>
    <n v="1030"/>
    <n v="52"/>
  </r>
  <r>
    <x v="40"/>
    <s v="Groom Branch Library"/>
    <s v="298.212"/>
    <s v="Branch"/>
    <n v="1000"/>
    <n v="880"/>
    <n v="47"/>
  </r>
  <r>
    <x v="40"/>
    <s v="Skellytown Branch Library"/>
    <s v="298.213"/>
    <s v="Branch"/>
    <n v="3444"/>
    <n v="988"/>
    <n v="52"/>
  </r>
  <r>
    <x v="40"/>
    <s v="White Deer Branch Library"/>
    <s v="298.214"/>
    <s v="Branch"/>
    <n v="1200"/>
    <n v="988"/>
    <n v="52"/>
  </r>
  <r>
    <x v="41"/>
    <s v="Elmo R Willard Branch Library"/>
    <s v="30.295"/>
    <s v="Branch"/>
    <n v="11500"/>
    <n v="3132"/>
    <n v="52"/>
  </r>
  <r>
    <x v="41"/>
    <s v="Maurine Gray Literacy Center"/>
    <s v="30.296"/>
    <s v="Branch"/>
    <n v="1400"/>
    <n v="2617"/>
    <n v="52"/>
  </r>
  <r>
    <x v="41"/>
    <s v="RC Miller Memorial Library"/>
    <s v="30.51"/>
    <s v="Branch"/>
    <n v="16030"/>
    <n v="3132"/>
    <n v="52"/>
  </r>
  <r>
    <x v="41"/>
    <s v="Tyrrell Historical Library"/>
    <s v="30.52"/>
    <s v="Branch"/>
    <n v="24008"/>
    <n v="3124"/>
    <n v="52"/>
  </r>
  <r>
    <x v="41"/>
    <s v="Theodore Johns Branch Library"/>
    <s v="30.53"/>
    <s v="Branch"/>
    <n v="11970"/>
    <n v="3132"/>
    <n v="52"/>
  </r>
  <r>
    <x v="42"/>
    <s v="Fairmont Branch Library"/>
    <s v="300.215"/>
    <s v="Branch"/>
    <n v="10300"/>
    <n v="2416"/>
    <n v="52"/>
  </r>
  <r>
    <x v="43"/>
    <s v="LER Schimelpfenig Library"/>
    <s v="311.216"/>
    <s v="Branch"/>
    <n v="30000"/>
    <n v="3421"/>
    <n v="52"/>
  </r>
  <r>
    <x v="43"/>
    <s v="Gladys Harrington Library"/>
    <s v="311.217"/>
    <s v="Branch"/>
    <n v="30000"/>
    <n v="3433"/>
    <n v="52"/>
  </r>
  <r>
    <x v="43"/>
    <s v="Maribelle M Davis Library"/>
    <s v="311.298"/>
    <s v="Branch"/>
    <n v="30000"/>
    <n v="3352"/>
    <n v="52"/>
  </r>
  <r>
    <x v="43"/>
    <s v="Christopher A Parr Library"/>
    <s v="311.322"/>
    <s v="Branch"/>
    <n v="30000"/>
    <n v="3356"/>
    <n v="52"/>
  </r>
  <r>
    <x v="44"/>
    <s v="Public Library Reading Room"/>
    <s v="315.366"/>
    <s v="Branch"/>
    <n v="500"/>
    <n v="877"/>
    <n v="52"/>
  </r>
  <r>
    <x v="45"/>
    <s v="Point Comfort Branch Library"/>
    <s v="316.221"/>
    <s v="Branch"/>
    <n v="3867"/>
    <n v="1593"/>
    <n v="50"/>
  </r>
  <r>
    <x v="45"/>
    <s v="Port O`Connor Branch Library"/>
    <s v="316.222"/>
    <s v="Branch"/>
    <n v="1786"/>
    <n v="1503"/>
    <n v="51"/>
  </r>
  <r>
    <x v="45"/>
    <s v="Seadrift Branch Library"/>
    <s v="316.223"/>
    <s v="Branch"/>
    <n v="7560"/>
    <n v="1505"/>
    <n v="51"/>
  </r>
  <r>
    <x v="46"/>
    <s v="Midkiff Public Library"/>
    <s v="324.224"/>
    <s v="Branch"/>
    <n v="888"/>
    <n v="714"/>
    <n v="52"/>
  </r>
  <r>
    <x v="47"/>
    <s v="Missouri City Branch Library"/>
    <s v="329.226"/>
    <s v="Branch"/>
    <n v="18600"/>
    <n v="2537"/>
    <n v="52"/>
  </r>
  <r>
    <x v="47"/>
    <s v="Albert George Branch Library"/>
    <s v="329.227"/>
    <s v="Branch"/>
    <n v="6280"/>
    <n v="2136"/>
    <n v="52"/>
  </r>
  <r>
    <x v="47"/>
    <s v="George Memorial Library"/>
    <s v="329.228"/>
    <s v="Branch"/>
    <n v="77000"/>
    <n v="2840"/>
    <n v="52"/>
  </r>
  <r>
    <x v="47"/>
    <s v="Fort Bend County Law Library"/>
    <s v="329.229"/>
    <s v="Branch"/>
    <n v="1535"/>
    <n v="2241"/>
    <n v="52"/>
  </r>
  <r>
    <x v="47"/>
    <s v="Bob Lutts Fulshear/Simonton Branch Library"/>
    <s v="329.230"/>
    <s v="Branch"/>
    <n v="10500"/>
    <n v="2169"/>
    <n v="52"/>
  </r>
  <r>
    <x v="47"/>
    <s v="Mamie George Branch Library"/>
    <s v="329.231"/>
    <s v="Branch"/>
    <n v="4800"/>
    <n v="1991"/>
    <n v="52"/>
  </r>
  <r>
    <x v="47"/>
    <s v="First Colony Branch Library"/>
    <s v="329.232"/>
    <s v="Branch"/>
    <n v="19400"/>
    <n v="2537"/>
    <n v="52"/>
  </r>
  <r>
    <x v="47"/>
    <s v="Cinco Ranch Branch Library"/>
    <s v="329.299"/>
    <s v="Branch"/>
    <n v="33500"/>
    <n v="2536"/>
    <n v="52"/>
  </r>
  <r>
    <x v="47"/>
    <s v="Sugar Land Branch Library"/>
    <s v="329.302"/>
    <s v="Branch"/>
    <n v="21300"/>
    <n v="2523"/>
    <n v="52"/>
  </r>
  <r>
    <x v="47"/>
    <s v="Sienna Branch Library"/>
    <s v="329.382"/>
    <s v="Branch"/>
    <n v="44989"/>
    <n v="3493"/>
    <n v="52"/>
  </r>
  <r>
    <x v="47"/>
    <s v="University Branch Library"/>
    <s v="329.399"/>
    <s v="Branch"/>
    <n v="40193"/>
    <n v="2541"/>
    <n v="52"/>
  </r>
  <r>
    <x v="48"/>
    <s v="Bishop Branch Library"/>
    <s v="334.313"/>
    <s v="Branch"/>
    <n v="1424"/>
    <n v="917"/>
    <n v="46"/>
  </r>
  <r>
    <x v="49"/>
    <s v="Angelo West Branch Library"/>
    <s v="343.233"/>
    <s v="Branch"/>
    <n v="5096"/>
    <n v="1932"/>
    <n v="52"/>
  </r>
  <r>
    <x v="49"/>
    <s v="North Angelo Branch Library"/>
    <s v="343.234"/>
    <s v="Branch"/>
    <n v="2680"/>
    <n v="1684"/>
    <n v="52"/>
  </r>
  <r>
    <x v="50"/>
    <s v="Bazan Branch Library"/>
    <s v="344.236"/>
    <s v="Branch"/>
    <n v="10336"/>
    <n v="2912"/>
    <n v="52"/>
  </r>
  <r>
    <x v="50"/>
    <s v="Brook Hollow Branch Library"/>
    <s v="344.237"/>
    <s v="Branch"/>
    <n v="14470"/>
    <n v="2912"/>
    <n v="52"/>
  </r>
  <r>
    <x v="50"/>
    <s v="Carver Branch Library"/>
    <s v="344.238"/>
    <s v="Branch"/>
    <n v="10770"/>
    <n v="2912"/>
    <n v="52"/>
  </r>
  <r>
    <x v="50"/>
    <s v="Cody Branch Library"/>
    <s v="344.239"/>
    <s v="Branch"/>
    <n v="13617"/>
    <n v="2912"/>
    <n v="52"/>
  </r>
  <r>
    <x v="50"/>
    <s v="Collins Garden Branch Library"/>
    <s v="344.240"/>
    <s v="Branch"/>
    <n v="9234"/>
    <n v="2912"/>
    <n v="52"/>
  </r>
  <r>
    <x v="50"/>
    <s v="Cortez Branch Library"/>
    <s v="344.241"/>
    <s v="Branch"/>
    <n v="13065"/>
    <n v="2912"/>
    <n v="52"/>
  </r>
  <r>
    <x v="50"/>
    <s v="Johnston Branch Library"/>
    <s v="344.242"/>
    <s v="Branch"/>
    <n v="11428"/>
    <n v="2912"/>
    <n v="52"/>
  </r>
  <r>
    <x v="50"/>
    <s v="Landa Branch Library"/>
    <s v="344.243"/>
    <s v="Branch"/>
    <n v="5252"/>
    <n v="2912"/>
    <n v="52"/>
  </r>
  <r>
    <x v="50"/>
    <s v="Las Palmas Branch Library"/>
    <s v="344.244"/>
    <s v="Branch"/>
    <n v="13792"/>
    <n v="2912"/>
    <n v="52"/>
  </r>
  <r>
    <x v="50"/>
    <s v="McCreless Branch Library"/>
    <s v="344.245"/>
    <s v="Branch"/>
    <n v="12677"/>
    <n v="2912"/>
    <n v="52"/>
  </r>
  <r>
    <x v="50"/>
    <s v="Memorial Branch Library"/>
    <s v="344.246"/>
    <s v="Branch"/>
    <n v="9999"/>
    <n v="2912"/>
    <n v="52"/>
  </r>
  <r>
    <x v="50"/>
    <s v="Tobin Library at Oakwell"/>
    <s v="344.247"/>
    <s v="Branch"/>
    <n v="13060"/>
    <n v="2912"/>
    <n v="52"/>
  </r>
  <r>
    <x v="50"/>
    <s v="Pan American Branch Library"/>
    <s v="344.248"/>
    <s v="Branch"/>
    <n v="11322"/>
    <n v="2912"/>
    <n v="52"/>
  </r>
  <r>
    <x v="50"/>
    <s v="San Pedro Branch Library"/>
    <s v="344.249"/>
    <s v="Branch"/>
    <n v="4450"/>
    <n v="2912"/>
    <n v="52"/>
  </r>
  <r>
    <x v="50"/>
    <s v="Westfall Branch Library"/>
    <s v="344.250"/>
    <s v="Branch"/>
    <n v="12304"/>
    <n v="2912"/>
    <n v="52"/>
  </r>
  <r>
    <x v="50"/>
    <s v="Forest Hills Branch Library"/>
    <s v="344.251"/>
    <s v="Branch"/>
    <n v="12035"/>
    <n v="2912"/>
    <n v="52"/>
  </r>
  <r>
    <x v="50"/>
    <s v="Thousand Oaks Branch Library"/>
    <s v="344.252"/>
    <s v="Branch"/>
    <n v="11350"/>
    <n v="2912"/>
    <n v="52"/>
  </r>
  <r>
    <x v="50"/>
    <s v="Great Northwest Branch Library"/>
    <s v="344.255"/>
    <s v="Branch"/>
    <n v="17032"/>
    <n v="2912"/>
    <n v="52"/>
  </r>
  <r>
    <x v="50"/>
    <s v="Guerra Branch Library"/>
    <s v="344.342"/>
    <s v="Branch"/>
    <n v="14452"/>
    <n v="2912"/>
    <n v="52"/>
  </r>
  <r>
    <x v="50"/>
    <s v="Semmes Branch Library"/>
    <s v="344.361"/>
    <s v="Branch"/>
    <n v="15975"/>
    <n v="2912"/>
    <n v="52"/>
  </r>
  <r>
    <x v="50"/>
    <s v="Maverick Branch Library"/>
    <s v="344.367"/>
    <s v="Branch"/>
    <n v="15525"/>
    <n v="2912"/>
    <n v="52"/>
  </r>
  <r>
    <x v="50"/>
    <s v="John Igo Branch Library"/>
    <s v="344.371"/>
    <s v="Branch"/>
    <n v="16554"/>
    <n v="2912"/>
    <n v="52"/>
  </r>
  <r>
    <x v="50"/>
    <s v="Central Bookmobile Services"/>
    <s v="344.383"/>
    <s v="Bookmobile"/>
    <n v="0"/>
    <n v="478"/>
    <n v="52"/>
  </r>
  <r>
    <x v="50"/>
    <s v="Molly Pruitt Library at Roosevelt HS"/>
    <s v="344.388"/>
    <s v="Branch"/>
    <n v="14288"/>
    <n v="2912"/>
    <n v="52"/>
  </r>
  <r>
    <x v="50"/>
    <s v="Mission Branch Library"/>
    <s v="344.394"/>
    <s v="Branch"/>
    <n v="16450"/>
    <n v="2912"/>
    <n v="52"/>
  </r>
  <r>
    <x v="50"/>
    <s v="Parman Branch Library at Stone Oak"/>
    <s v="344.395"/>
    <s v="Branch"/>
    <n v="16684"/>
    <n v="2912"/>
    <n v="52"/>
  </r>
  <r>
    <x v="50"/>
    <s v="Kampmann Library Portal"/>
    <s v="344.413"/>
    <s v="Branch"/>
    <n v="830"/>
    <n v="2080"/>
    <n v="52"/>
  </r>
  <r>
    <x v="50"/>
    <s v="Encino Branch Library"/>
    <s v="344.414"/>
    <s v="Branch"/>
    <n v="8000"/>
    <n v="0"/>
    <n v="0"/>
  </r>
  <r>
    <x v="51"/>
    <s v="Gaines County Library-Seagraves"/>
    <s v="357.256"/>
    <s v="Branch"/>
    <n v="890"/>
    <n v="1946"/>
    <n v="52"/>
  </r>
  <r>
    <x v="52"/>
    <s v="Temple Public Library Bookmobile"/>
    <s v="384.258"/>
    <s v="Bookmobile"/>
    <n v="0"/>
    <n v="420"/>
    <n v="52"/>
  </r>
  <r>
    <x v="53"/>
    <s v="East Waco Library"/>
    <s v="398.261"/>
    <s v="Branch"/>
    <n v="7000"/>
    <n v="2630"/>
    <n v="52"/>
  </r>
  <r>
    <x v="53"/>
    <s v="South Waco Library"/>
    <s v="398.262"/>
    <s v="Branch"/>
    <n v="11200"/>
    <n v="2642"/>
    <n v="52"/>
  </r>
  <r>
    <x v="53"/>
    <s v="West Waco Library &amp; Genealogy Center"/>
    <s v="398.387"/>
    <s v="Branch"/>
    <n v="32293"/>
    <n v="2774"/>
    <n v="52"/>
  </r>
  <r>
    <x v="54"/>
    <s v="West End Library"/>
    <s v="400.263"/>
    <s v="Branch"/>
    <n v="1300"/>
    <n v="1487"/>
    <n v="52"/>
  </r>
  <r>
    <x v="54"/>
    <s v="Knox Memorial Library"/>
    <s v="400.287"/>
    <s v="Branch"/>
    <n v="2025"/>
    <n v="1487"/>
    <n v="52"/>
  </r>
  <r>
    <x v="55"/>
    <s v="East Bernard Branch Library"/>
    <s v="408.264"/>
    <s v="Branch"/>
    <n v="5000"/>
    <n v="1331"/>
    <n v="52"/>
  </r>
  <r>
    <x v="55"/>
    <s v="El Campo Branch Library"/>
    <s v="408.265"/>
    <s v="Branch"/>
    <n v="14300"/>
    <n v="2203"/>
    <n v="52"/>
  </r>
  <r>
    <x v="55"/>
    <s v="Louise Branch Library"/>
    <s v="408.266"/>
    <s v="Branch"/>
    <n v="1676"/>
    <n v="618"/>
    <n v="52"/>
  </r>
  <r>
    <x v="56"/>
    <s v="Hutchinson County Library - Fritch"/>
    <s v="41.54"/>
    <s v="Branch"/>
    <n v="1388"/>
    <n v="1728"/>
    <n v="52"/>
  </r>
  <r>
    <x v="56"/>
    <s v="Hutchinson County Library - Stinnett"/>
    <s v="41.55"/>
    <s v="Branch"/>
    <n v="1684"/>
    <n v="1525"/>
    <n v="52"/>
  </r>
  <r>
    <x v="57"/>
    <s v="Guadalupe and Lilia Martinez Zapata County Public Branch Library"/>
    <s v="432.267"/>
    <s v="Branch"/>
    <n v="1680"/>
    <n v="332"/>
    <n v="52"/>
  </r>
  <r>
    <x v="58"/>
    <s v="Laura Bush Community Library"/>
    <s v="452.380"/>
    <s v="Branch"/>
    <n v="14229"/>
    <n v="2834"/>
    <n v="52"/>
  </r>
  <r>
    <x v="59"/>
    <s v="Southmost Branch Library"/>
    <s v="49.362"/>
    <s v="Branch"/>
    <n v="20000"/>
    <n v="2602"/>
    <n v="52"/>
  </r>
  <r>
    <x v="60"/>
    <s v="Orange Grove School/Public Library"/>
    <s v="5.2"/>
    <s v="Branch"/>
    <n v="5234"/>
    <n v="1600"/>
    <n v="48"/>
  </r>
  <r>
    <x v="60"/>
    <s v="Premont Public Library"/>
    <s v="5.3"/>
    <s v="Branch"/>
    <n v="1500"/>
    <n v="1091"/>
    <n v="50"/>
  </r>
  <r>
    <x v="61"/>
    <s v="Brownwood Public Library Local History &amp; Genealogy Library"/>
    <s v="50.364"/>
    <s v="Branch"/>
    <n v="1550"/>
    <n v="1611"/>
    <n v="45"/>
  </r>
  <r>
    <x v="62"/>
    <s v="Duval County/Freer Branch Library"/>
    <s v="502.294"/>
    <s v="Branch"/>
    <n v="1081"/>
    <n v="976"/>
    <n v="48"/>
  </r>
  <r>
    <x v="62"/>
    <s v="Duval County/Benavides Branch Library"/>
    <s v="502.308"/>
    <s v="Branch"/>
    <n v="2500"/>
    <n v="956"/>
    <n v="48"/>
  </r>
  <r>
    <x v="63"/>
    <s v="Carnegie Center of Brazos Valley History"/>
    <s v="51.301"/>
    <s v="Branch"/>
    <n v="6000"/>
    <n v="1672"/>
    <n v="52"/>
  </r>
  <r>
    <x v="63"/>
    <s v="Clara B Mounce Public Library"/>
    <s v="51.379"/>
    <s v="Branch"/>
    <n v="25500"/>
    <n v="2920"/>
    <n v="52"/>
  </r>
  <r>
    <x v="63"/>
    <s v="Larry J Ringer Public Library"/>
    <s v="51.57"/>
    <s v="Branch"/>
    <n v="16000"/>
    <n v="3336"/>
    <n v="52"/>
  </r>
  <r>
    <x v="64"/>
    <s v="Fort Hancock ISD/Public Library"/>
    <s v="517.316"/>
    <s v="Branch"/>
    <n v="3000"/>
    <n v="2930"/>
    <n v="48"/>
  </r>
  <r>
    <x v="65"/>
    <s v="Garfield Library"/>
    <s v="552.385"/>
    <s v="Branch"/>
    <n v="1468"/>
    <n v="2193"/>
    <n v="51"/>
  </r>
  <r>
    <x v="66"/>
    <s v="Bertram Free Library"/>
    <s v="56.58"/>
    <s v="Branch"/>
    <n v="8550"/>
    <n v="1968"/>
    <n v="52"/>
  </r>
  <r>
    <x v="66"/>
    <s v="Oakalla Public Library"/>
    <s v="56.59"/>
    <s v="Branch"/>
    <n v="800"/>
    <n v="676"/>
    <n v="52"/>
  </r>
  <r>
    <x v="66"/>
    <s v="Herman Brown Free Library"/>
    <s v="56.60"/>
    <s v="Branch"/>
    <n v="10231"/>
    <n v="1984"/>
    <n v="52"/>
  </r>
  <r>
    <x v="66"/>
    <s v="Marble Falls Public Library"/>
    <s v="56.61"/>
    <s v="Branch"/>
    <n v="15200"/>
    <n v="1976"/>
    <n v="52"/>
  </r>
  <r>
    <x v="67"/>
    <s v="Carrollton Public Library @ Hebron and Josey"/>
    <s v="64.340"/>
    <s v="Branch"/>
    <n v="37000"/>
    <n v="2475"/>
    <n v="52"/>
  </r>
  <r>
    <x v="68"/>
    <s v="BiblioTech Central Jury Room"/>
    <s v="649.403"/>
    <s v="Branch"/>
    <n v="170"/>
    <n v="800"/>
    <n v="50"/>
  </r>
  <r>
    <x v="69"/>
    <s v="George &amp; Cynthia Woods Mitchell Library"/>
    <s v="86.363"/>
    <s v="Branch"/>
    <n v="30116"/>
    <n v="3130"/>
    <n v="52"/>
  </r>
  <r>
    <x v="69"/>
    <s v="Malcolm Purvis Library-Magnolia"/>
    <s v="86.63"/>
    <s v="Branch"/>
    <n v="7200"/>
    <n v="2451"/>
    <n v="52"/>
  </r>
  <r>
    <x v="69"/>
    <s v="Charles B Stewart-West Branch Library"/>
    <s v="86.64"/>
    <s v="Branch"/>
    <n v="14560"/>
    <n v="2847"/>
    <n v="52"/>
  </r>
  <r>
    <x v="69"/>
    <s v="RB Tullis Library"/>
    <s v="86.65"/>
    <s v="Branch"/>
    <n v="29600"/>
    <n v="3014"/>
    <n v="52"/>
  </r>
  <r>
    <x v="69"/>
    <s v="South Regional Library"/>
    <s v="86.66"/>
    <s v="Branch"/>
    <n v="30000"/>
    <n v="3128"/>
    <n v="52"/>
  </r>
  <r>
    <x v="69"/>
    <s v="RF Meador Branch Library"/>
    <s v="86.67"/>
    <s v="Branch"/>
    <n v="6000"/>
    <n v="2698"/>
    <n v="52"/>
  </r>
  <r>
    <x v="70"/>
    <s v="Dr Clotilde P Garcia Public Library"/>
    <s v="88.376"/>
    <s v="Branch"/>
    <n v="12000"/>
    <n v="3092"/>
    <n v="52"/>
  </r>
  <r>
    <x v="70"/>
    <s v="Neyland Public Library"/>
    <s v="88.68"/>
    <s v="Branch"/>
    <n v="17000"/>
    <n v="2742"/>
    <n v="52"/>
  </r>
  <r>
    <x v="70"/>
    <s v="Ben F McDonald Public Library"/>
    <s v="88.69"/>
    <s v="Branch"/>
    <n v="13000"/>
    <n v="2742"/>
    <n v="52"/>
  </r>
  <r>
    <x v="70"/>
    <s v="Owen R Hopkins Public Library"/>
    <s v="88.70"/>
    <s v="Branch"/>
    <n v="12771"/>
    <n v="2742"/>
    <n v="52"/>
  </r>
  <r>
    <x v="70"/>
    <s v="Janet F Harte Public Library"/>
    <s v="88.71"/>
    <s v="Branch"/>
    <n v="13500"/>
    <n v="3116"/>
    <n v="52"/>
  </r>
  <r>
    <x v="71"/>
    <s v="Northwest Branch Library"/>
    <s v="9.331"/>
    <s v="Branch"/>
    <n v="15536"/>
    <n v="3226"/>
    <n v="52"/>
  </r>
  <r>
    <x v="71"/>
    <s v="Southwest Branch Library"/>
    <s v="9.5"/>
    <s v="Branch"/>
    <n v="20000"/>
    <n v="3533"/>
    <n v="52"/>
  </r>
  <r>
    <x v="71"/>
    <s v="North Branch Library"/>
    <s v="9.6"/>
    <s v="Branch"/>
    <n v="10000"/>
    <n v="3226"/>
    <n v="52"/>
  </r>
  <r>
    <x v="71"/>
    <s v="East Branch Library"/>
    <s v="9.7"/>
    <s v="Branch"/>
    <n v="10000"/>
    <n v="3226"/>
    <n v="52"/>
  </r>
  <r>
    <x v="72"/>
    <s v="Encinal Library"/>
    <s v="91.400"/>
    <s v="Branch"/>
    <n v="1000"/>
    <n v="880"/>
    <n v="38"/>
  </r>
  <r>
    <x v="73"/>
    <s v="Lorenzo Library"/>
    <s v="94.72"/>
    <s v="Branch"/>
    <n v="1305"/>
    <n v="803"/>
    <n v="51"/>
  </r>
  <r>
    <x v="73"/>
    <s v="Ralls Library"/>
    <s v="94.73"/>
    <s v="Branch"/>
    <n v="4000"/>
    <n v="1604"/>
    <n v="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1">
  <r>
    <x v="0"/>
    <n v="5529"/>
    <n v="2368"/>
  </r>
  <r>
    <x v="0"/>
    <n v="12900"/>
    <n v="2356"/>
  </r>
  <r>
    <x v="0"/>
    <n v="3900"/>
    <n v="2517"/>
  </r>
  <r>
    <x v="1"/>
    <n v="0"/>
    <n v="610"/>
  </r>
  <r>
    <x v="1"/>
    <n v="19000"/>
    <n v="2829"/>
  </r>
  <r>
    <x v="1"/>
    <n v="12500"/>
    <n v="2040"/>
  </r>
  <r>
    <x v="1"/>
    <n v="18500"/>
    <n v="2040"/>
  </r>
  <r>
    <x v="1"/>
    <n v="1990"/>
    <n v="2040"/>
  </r>
  <r>
    <x v="1"/>
    <n v="0"/>
    <n v="610"/>
  </r>
  <r>
    <x v="1"/>
    <n v="18000"/>
    <n v="2040"/>
  </r>
  <r>
    <x v="1"/>
    <n v="18000"/>
    <n v="2548"/>
  </r>
  <r>
    <x v="1"/>
    <n v="17350"/>
    <n v="2392"/>
  </r>
  <r>
    <x v="1"/>
    <n v="19500"/>
    <n v="2040"/>
  </r>
  <r>
    <x v="1"/>
    <n v="9030"/>
    <n v="2040"/>
  </r>
  <r>
    <x v="1"/>
    <n v="19707"/>
    <n v="2116"/>
  </r>
  <r>
    <x v="1"/>
    <n v="23460"/>
    <n v="3315"/>
  </r>
  <r>
    <x v="1"/>
    <n v="19570"/>
    <n v="2392"/>
  </r>
  <r>
    <x v="1"/>
    <n v="10600"/>
    <n v="2040"/>
  </r>
  <r>
    <x v="1"/>
    <n v="18500"/>
    <n v="2392"/>
  </r>
  <r>
    <x v="1"/>
    <n v="13532"/>
    <n v="2040"/>
  </r>
  <r>
    <x v="1"/>
    <n v="15562"/>
    <n v="2392"/>
  </r>
  <r>
    <x v="1"/>
    <n v="12900"/>
    <n v="2392"/>
  </r>
  <r>
    <x v="1"/>
    <n v="10984"/>
    <n v="2040"/>
  </r>
  <r>
    <x v="1"/>
    <n v="19500"/>
    <n v="2548"/>
  </r>
  <r>
    <x v="1"/>
    <n v="16800"/>
    <n v="2548"/>
  </r>
  <r>
    <x v="1"/>
    <n v="12400"/>
    <n v="2392"/>
  </r>
  <r>
    <x v="1"/>
    <n v="11193"/>
    <n v="2548"/>
  </r>
  <r>
    <x v="1"/>
    <n v="12037"/>
    <n v="2040"/>
  </r>
  <r>
    <x v="1"/>
    <n v="20019"/>
    <n v="2548"/>
  </r>
  <r>
    <x v="1"/>
    <n v="16605"/>
    <n v="2392"/>
  </r>
  <r>
    <x v="1"/>
    <n v="12729"/>
    <n v="2040"/>
  </r>
  <r>
    <x v="1"/>
    <n v="10700"/>
    <n v="2040"/>
  </r>
  <r>
    <x v="1"/>
    <n v="12025"/>
    <n v="2040"/>
  </r>
  <r>
    <x v="2"/>
    <n v="21450"/>
    <n v="3046"/>
  </r>
  <r>
    <x v="2"/>
    <n v="33504"/>
    <n v="3338"/>
  </r>
  <r>
    <x v="3"/>
    <n v="2400"/>
    <n v="1928"/>
  </r>
  <r>
    <x v="3"/>
    <n v="2300"/>
    <n v="1875"/>
  </r>
  <r>
    <x v="4"/>
    <n v="18500"/>
    <n v="2439"/>
  </r>
  <r>
    <x v="4"/>
    <n v="22000"/>
    <n v="2774"/>
  </r>
  <r>
    <x v="4"/>
    <n v="12035"/>
    <n v="2433"/>
  </r>
  <r>
    <x v="4"/>
    <n v="8930"/>
    <n v="2059"/>
  </r>
  <r>
    <x v="4"/>
    <n v="9750"/>
    <n v="2064"/>
  </r>
  <r>
    <x v="4"/>
    <n v="21000"/>
    <n v="2519"/>
  </r>
  <r>
    <x v="4"/>
    <n v="3000"/>
    <n v="2448"/>
  </r>
  <r>
    <x v="4"/>
    <n v="20000"/>
    <n v="2796"/>
  </r>
  <r>
    <x v="4"/>
    <n v="4000"/>
    <n v="2572"/>
  </r>
  <r>
    <x v="4"/>
    <n v="5000"/>
    <n v="2054"/>
  </r>
  <r>
    <x v="4"/>
    <n v="1600"/>
    <n v="1797"/>
  </r>
  <r>
    <x v="4"/>
    <n v="10000"/>
    <n v="2071"/>
  </r>
  <r>
    <x v="5"/>
    <n v="4034"/>
    <n v="1900"/>
  </r>
  <r>
    <x v="6"/>
    <n v="15126"/>
    <n v="2496"/>
  </r>
  <r>
    <x v="6"/>
    <n v="15000"/>
    <n v="2496"/>
  </r>
  <r>
    <x v="6"/>
    <n v="9700"/>
    <n v="2496"/>
  </r>
  <r>
    <x v="6"/>
    <n v="8107"/>
    <n v="2496"/>
  </r>
  <r>
    <x v="6"/>
    <n v="15500"/>
    <n v="2496"/>
  </r>
  <r>
    <x v="6"/>
    <n v="185"/>
    <n v="891"/>
  </r>
  <r>
    <x v="6"/>
    <n v="15000"/>
    <n v="2496"/>
  </r>
  <r>
    <x v="6"/>
    <n v="10358"/>
    <n v="3402"/>
  </r>
  <r>
    <x v="6"/>
    <n v="22000"/>
    <n v="2496"/>
  </r>
  <r>
    <x v="6"/>
    <n v="24665"/>
    <n v="2496"/>
  </r>
  <r>
    <x v="6"/>
    <n v="9200"/>
    <n v="2496"/>
  </r>
  <r>
    <x v="6"/>
    <n v="185"/>
    <n v="0"/>
  </r>
  <r>
    <x v="6"/>
    <n v="12352"/>
    <n v="2496"/>
  </r>
  <r>
    <x v="6"/>
    <n v="20200"/>
    <n v="2496"/>
  </r>
  <r>
    <x v="7"/>
    <n v="2100"/>
    <n v="2080"/>
  </r>
  <r>
    <x v="7"/>
    <n v="103"/>
    <n v="1040"/>
  </r>
  <r>
    <x v="7"/>
    <n v="580"/>
    <n v="1612"/>
  </r>
  <r>
    <x v="8"/>
    <n v="2950"/>
    <n v="988"/>
  </r>
  <r>
    <x v="9"/>
    <n v="7527"/>
    <n v="2000"/>
  </r>
  <r>
    <x v="9"/>
    <n v="5045"/>
    <n v="2000"/>
  </r>
  <r>
    <x v="9"/>
    <n v="7072"/>
    <n v="2000"/>
  </r>
  <r>
    <x v="9"/>
    <n v="9585"/>
    <n v="2000"/>
  </r>
  <r>
    <x v="9"/>
    <n v="6313"/>
    <n v="2000"/>
  </r>
  <r>
    <x v="9"/>
    <n v="6834"/>
    <n v="2000"/>
  </r>
  <r>
    <x v="9"/>
    <n v="13445"/>
    <n v="2000"/>
  </r>
  <r>
    <x v="9"/>
    <n v="25661"/>
    <n v="2000"/>
  </r>
  <r>
    <x v="9"/>
    <n v="4962"/>
    <n v="2000"/>
  </r>
  <r>
    <x v="9"/>
    <n v="8121"/>
    <n v="2000"/>
  </r>
  <r>
    <x v="9"/>
    <n v="915"/>
    <n v="2259"/>
  </r>
  <r>
    <x v="9"/>
    <n v="23990"/>
    <n v="2000"/>
  </r>
  <r>
    <x v="9"/>
    <n v="1400"/>
    <n v="2259"/>
  </r>
  <r>
    <x v="9"/>
    <n v="11068"/>
    <n v="2000"/>
  </r>
  <r>
    <x v="9"/>
    <n v="13038"/>
    <n v="2000"/>
  </r>
  <r>
    <x v="10"/>
    <n v="8000"/>
    <n v="2064"/>
  </r>
  <r>
    <x v="10"/>
    <n v="16500"/>
    <n v="2064"/>
  </r>
  <r>
    <x v="10"/>
    <n v="36920"/>
    <n v="2064"/>
  </r>
  <r>
    <x v="11"/>
    <n v="2064"/>
    <n v="1651"/>
  </r>
  <r>
    <x v="12"/>
    <n v="135"/>
    <n v="1960"/>
  </r>
  <r>
    <x v="13"/>
    <n v="10000"/>
    <n v="2808"/>
  </r>
  <r>
    <x v="13"/>
    <n v="10000"/>
    <n v="2808"/>
  </r>
  <r>
    <x v="13"/>
    <n v="8100"/>
    <n v="2808"/>
  </r>
  <r>
    <x v="13"/>
    <n v="10000"/>
    <n v="2808"/>
  </r>
  <r>
    <x v="13"/>
    <n v="15000"/>
    <n v="2840"/>
  </r>
  <r>
    <x v="13"/>
    <n v="11200"/>
    <n v="2808"/>
  </r>
  <r>
    <x v="14"/>
    <n v="10000"/>
    <n v="2944"/>
  </r>
  <r>
    <x v="14"/>
    <n v="2760"/>
    <n v="2754"/>
  </r>
  <r>
    <x v="15"/>
    <n v="4400"/>
    <n v="2288"/>
  </r>
  <r>
    <x v="16"/>
    <n v="8000"/>
    <n v="2158"/>
  </r>
  <r>
    <x v="16"/>
    <n v="11383"/>
    <n v="2158"/>
  </r>
  <r>
    <x v="16"/>
    <n v="3206"/>
    <n v="2158"/>
  </r>
  <r>
    <x v="16"/>
    <n v="20774"/>
    <n v="2483"/>
  </r>
  <r>
    <x v="17"/>
    <n v="8720"/>
    <n v="2022"/>
  </r>
  <r>
    <x v="17"/>
    <n v="19620"/>
    <n v="212"/>
  </r>
  <r>
    <x v="17"/>
    <n v="11979"/>
    <n v="1812"/>
  </r>
  <r>
    <x v="17"/>
    <n v="22365"/>
    <n v="2754"/>
  </r>
  <r>
    <x v="17"/>
    <n v="17440"/>
    <n v="2148"/>
  </r>
  <r>
    <x v="17"/>
    <n v="34936"/>
    <n v="2014"/>
  </r>
  <r>
    <x v="17"/>
    <n v="3270"/>
    <n v="1771"/>
  </r>
  <r>
    <x v="17"/>
    <n v="2000"/>
    <n v="956"/>
  </r>
  <r>
    <x v="17"/>
    <n v="9265"/>
    <n v="1770"/>
  </r>
  <r>
    <x v="17"/>
    <n v="10049"/>
    <n v="2049"/>
  </r>
  <r>
    <x v="17"/>
    <n v="15260"/>
    <n v="2164"/>
  </r>
  <r>
    <x v="17"/>
    <n v="10900"/>
    <n v="1779"/>
  </r>
  <r>
    <x v="17"/>
    <n v="12190"/>
    <n v="1765"/>
  </r>
  <r>
    <x v="17"/>
    <n v="18530"/>
    <n v="0"/>
  </r>
  <r>
    <x v="17"/>
    <n v="11178"/>
    <n v="1758"/>
  </r>
  <r>
    <x v="17"/>
    <n v="22365"/>
    <n v="2151"/>
  </r>
  <r>
    <x v="17"/>
    <n v="4524"/>
    <n v="2059"/>
  </r>
  <r>
    <x v="17"/>
    <n v="21175"/>
    <n v="2036"/>
  </r>
  <r>
    <x v="17"/>
    <n v="8930"/>
    <n v="2066"/>
  </r>
  <r>
    <x v="17"/>
    <n v="4578"/>
    <n v="1608"/>
  </r>
  <r>
    <x v="17"/>
    <n v="8339"/>
    <n v="1795"/>
  </r>
  <r>
    <x v="17"/>
    <n v="6213"/>
    <n v="2063"/>
  </r>
  <r>
    <x v="17"/>
    <n v="12116"/>
    <n v="1772"/>
  </r>
  <r>
    <x v="17"/>
    <n v="16000"/>
    <n v="2162"/>
  </r>
  <r>
    <x v="17"/>
    <n v="4360"/>
    <n v="2017"/>
  </r>
  <r>
    <x v="17"/>
    <n v="8391"/>
    <n v="2049"/>
  </r>
  <r>
    <x v="17"/>
    <n v="12252"/>
    <n v="2094"/>
  </r>
  <r>
    <x v="17"/>
    <n v="11445"/>
    <n v="2052"/>
  </r>
  <r>
    <x v="17"/>
    <n v="9045"/>
    <n v="2062"/>
  </r>
  <r>
    <x v="17"/>
    <n v="7722"/>
    <n v="1765"/>
  </r>
  <r>
    <x v="17"/>
    <n v="19864"/>
    <n v="1781"/>
  </r>
  <r>
    <x v="17"/>
    <n v="10400"/>
    <n v="1759"/>
  </r>
  <r>
    <x v="17"/>
    <n v="7922"/>
    <n v="1776"/>
  </r>
  <r>
    <x v="17"/>
    <n v="16459"/>
    <n v="1771"/>
  </r>
  <r>
    <x v="17"/>
    <n v="18094"/>
    <n v="2055"/>
  </r>
  <r>
    <x v="17"/>
    <n v="14660"/>
    <n v="1592"/>
  </r>
  <r>
    <x v="17"/>
    <n v="20393"/>
    <n v="2160"/>
  </r>
  <r>
    <x v="17"/>
    <n v="450"/>
    <n v="669"/>
  </r>
  <r>
    <x v="17"/>
    <n v="3636"/>
    <n v="2014"/>
  </r>
  <r>
    <x v="17"/>
    <n v="26007"/>
    <n v="1936"/>
  </r>
  <r>
    <x v="17"/>
    <n v="93000"/>
    <n v="2045"/>
  </r>
  <r>
    <x v="18"/>
    <n v="10500"/>
    <n v="1799"/>
  </r>
  <r>
    <x v="18"/>
    <n v="12000"/>
    <n v="1909"/>
  </r>
  <r>
    <x v="18"/>
    <n v="6922"/>
    <n v="1140"/>
  </r>
  <r>
    <x v="18"/>
    <n v="2700"/>
    <n v="2054"/>
  </r>
  <r>
    <x v="18"/>
    <n v="13268"/>
    <n v="2209"/>
  </r>
  <r>
    <x v="18"/>
    <n v="12000"/>
    <n v="2261"/>
  </r>
  <r>
    <x v="18"/>
    <n v="7247"/>
    <n v="2207"/>
  </r>
  <r>
    <x v="18"/>
    <n v="42000"/>
    <n v="2654"/>
  </r>
  <r>
    <x v="18"/>
    <n v="9500"/>
    <n v="2362"/>
  </r>
  <r>
    <x v="18"/>
    <n v="5883"/>
    <n v="2012"/>
  </r>
  <r>
    <x v="18"/>
    <n v="10500"/>
    <n v="2357"/>
  </r>
  <r>
    <x v="18"/>
    <n v="6100"/>
    <n v="2150"/>
  </r>
  <r>
    <x v="18"/>
    <n v="14000"/>
    <n v="2463"/>
  </r>
  <r>
    <x v="18"/>
    <n v="20000"/>
    <n v="1960"/>
  </r>
  <r>
    <x v="18"/>
    <n v="10137"/>
    <n v="2159"/>
  </r>
  <r>
    <x v="18"/>
    <n v="15000"/>
    <n v="2215"/>
  </r>
  <r>
    <x v="18"/>
    <n v="15000"/>
    <n v="2254"/>
  </r>
  <r>
    <x v="18"/>
    <n v="12300"/>
    <n v="2357"/>
  </r>
  <r>
    <x v="18"/>
    <n v="30000"/>
    <n v="2667"/>
  </r>
  <r>
    <x v="18"/>
    <n v="23357"/>
    <n v="2359"/>
  </r>
  <r>
    <x v="18"/>
    <n v="21100"/>
    <n v="2354"/>
  </r>
  <r>
    <x v="18"/>
    <n v="6910"/>
    <n v="1909"/>
  </r>
  <r>
    <x v="18"/>
    <n v="32000"/>
    <n v="2660"/>
  </r>
  <r>
    <x v="18"/>
    <n v="72000"/>
    <n v="3557"/>
  </r>
  <r>
    <x v="18"/>
    <n v="12000"/>
    <n v="2357"/>
  </r>
  <r>
    <x v="18"/>
    <n v="78500"/>
    <n v="4270"/>
  </r>
  <r>
    <x v="18"/>
    <n v="552"/>
    <n v="2000"/>
  </r>
  <r>
    <x v="18"/>
    <n v="275"/>
    <n v="2000"/>
  </r>
  <r>
    <x v="19"/>
    <n v="25000"/>
    <n v="2818"/>
  </r>
  <r>
    <x v="19"/>
    <n v="5700"/>
    <n v="1694"/>
  </r>
  <r>
    <x v="19"/>
    <n v="26000"/>
    <n v="2792"/>
  </r>
  <r>
    <x v="19"/>
    <n v="52570"/>
    <n v="2824"/>
  </r>
  <r>
    <x v="20"/>
    <n v="5600"/>
    <n v="2950"/>
  </r>
  <r>
    <x v="20"/>
    <n v="11880"/>
    <n v="3153"/>
  </r>
  <r>
    <x v="21"/>
    <n v="36176"/>
    <n v="2392"/>
  </r>
  <r>
    <x v="21"/>
    <n v="14967"/>
    <n v="2912"/>
  </r>
  <r>
    <x v="21"/>
    <n v="8266"/>
    <n v="2912"/>
  </r>
  <r>
    <x v="21"/>
    <n v="8580"/>
    <n v="2912"/>
  </r>
  <r>
    <x v="21"/>
    <n v="8110"/>
    <n v="2912"/>
  </r>
  <r>
    <x v="21"/>
    <n v="6700"/>
    <n v="2912"/>
  </r>
  <r>
    <x v="21"/>
    <n v="11000"/>
    <n v="3120"/>
  </r>
  <r>
    <x v="21"/>
    <n v="14500"/>
    <n v="3120"/>
  </r>
  <r>
    <x v="21"/>
    <n v="15120"/>
    <n v="3120"/>
  </r>
  <r>
    <x v="21"/>
    <n v="7536"/>
    <n v="2860"/>
  </r>
  <r>
    <x v="21"/>
    <n v="10738"/>
    <n v="2912"/>
  </r>
  <r>
    <x v="21"/>
    <n v="9017"/>
    <n v="2912"/>
  </r>
  <r>
    <x v="21"/>
    <n v="9017"/>
    <n v="2912"/>
  </r>
  <r>
    <x v="21"/>
    <n v="16000"/>
    <n v="2912"/>
  </r>
  <r>
    <x v="21"/>
    <n v="16000"/>
    <n v="3120"/>
  </r>
  <r>
    <x v="21"/>
    <n v="13257"/>
    <n v="2912"/>
  </r>
  <r>
    <x v="21"/>
    <n v="10827"/>
    <n v="2912"/>
  </r>
  <r>
    <x v="21"/>
    <n v="10120"/>
    <n v="2912"/>
  </r>
  <r>
    <x v="21"/>
    <n v="8000"/>
    <n v="2912"/>
  </r>
  <r>
    <x v="21"/>
    <n v="8630"/>
    <n v="2912"/>
  </r>
  <r>
    <x v="21"/>
    <n v="8320"/>
    <n v="2912"/>
  </r>
  <r>
    <x v="22"/>
    <n v="9606"/>
    <n v="1560"/>
  </r>
  <r>
    <x v="23"/>
    <n v="1795"/>
    <n v="684"/>
  </r>
  <r>
    <x v="24"/>
    <n v="9800"/>
    <n v="2808"/>
  </r>
  <r>
    <x v="25"/>
    <n v="5051"/>
    <n v="2163"/>
  </r>
  <r>
    <x v="25"/>
    <n v="240"/>
    <n v="132"/>
  </r>
  <r>
    <x v="25"/>
    <n v="15151"/>
    <n v="2238"/>
  </r>
  <r>
    <x v="25"/>
    <n v="1073"/>
    <n v="753"/>
  </r>
  <r>
    <x v="25"/>
    <n v="8034"/>
    <n v="2354"/>
  </r>
  <r>
    <x v="25"/>
    <n v="20000"/>
    <n v="2230"/>
  </r>
  <r>
    <x v="26"/>
    <n v="1287"/>
    <n v="665"/>
  </r>
  <r>
    <x v="27"/>
    <n v="3433"/>
    <n v="2100"/>
  </r>
  <r>
    <x v="27"/>
    <n v="9200"/>
    <n v="2210"/>
  </r>
  <r>
    <x v="28"/>
    <n v="500"/>
    <n v="1005"/>
  </r>
  <r>
    <x v="29"/>
    <n v="12630"/>
    <n v="2727"/>
  </r>
  <r>
    <x v="29"/>
    <n v="10426"/>
    <n v="2727"/>
  </r>
  <r>
    <x v="29"/>
    <n v="10426"/>
    <n v="2727"/>
  </r>
  <r>
    <x v="30"/>
    <n v="11000"/>
    <n v="3322"/>
  </r>
  <r>
    <x v="30"/>
    <n v="11000"/>
    <n v="3322"/>
  </r>
  <r>
    <x v="31"/>
    <n v="20000"/>
    <n v="3296"/>
  </r>
  <r>
    <x v="32"/>
    <n v="10000"/>
    <n v="2735"/>
  </r>
  <r>
    <x v="33"/>
    <n v="32956"/>
    <n v="2965"/>
  </r>
  <r>
    <x v="33"/>
    <n v="74"/>
    <n v="241"/>
  </r>
  <r>
    <x v="34"/>
    <n v="0"/>
    <n v="212"/>
  </r>
  <r>
    <x v="35"/>
    <n v="480"/>
    <n v="936"/>
  </r>
  <r>
    <x v="35"/>
    <n v="2030"/>
    <n v="1664"/>
  </r>
  <r>
    <x v="36"/>
    <n v="500"/>
    <n v="1000"/>
  </r>
  <r>
    <x v="37"/>
    <n v="805"/>
    <n v="2080"/>
  </r>
  <r>
    <x v="37"/>
    <n v="150"/>
    <n v="300"/>
  </r>
  <r>
    <x v="38"/>
    <n v="736"/>
    <n v="1370"/>
  </r>
  <r>
    <x v="39"/>
    <n v="1099"/>
    <n v="1030"/>
  </r>
  <r>
    <x v="40"/>
    <n v="1000"/>
    <n v="992"/>
  </r>
  <r>
    <x v="40"/>
    <n v="3444"/>
    <n v="991"/>
  </r>
  <r>
    <x v="40"/>
    <n v="1200"/>
    <n v="984"/>
  </r>
  <r>
    <x v="41"/>
    <n v="11500"/>
    <n v="3132"/>
  </r>
  <r>
    <x v="41"/>
    <n v="1400"/>
    <n v="2617"/>
  </r>
  <r>
    <x v="41"/>
    <n v="16030"/>
    <n v="3132"/>
  </r>
  <r>
    <x v="41"/>
    <n v="24008"/>
    <n v="3124"/>
  </r>
  <r>
    <x v="41"/>
    <n v="11970"/>
    <n v="3132"/>
  </r>
  <r>
    <x v="42"/>
    <n v="10300"/>
    <n v="2713"/>
  </r>
  <r>
    <x v="43"/>
    <n v="30000"/>
    <n v="3444"/>
  </r>
  <r>
    <x v="43"/>
    <n v="30000"/>
    <n v="3444"/>
  </r>
  <r>
    <x v="43"/>
    <n v="30000"/>
    <n v="3444"/>
  </r>
  <r>
    <x v="43"/>
    <n v="30000"/>
    <n v="3423"/>
  </r>
  <r>
    <x v="44"/>
    <m/>
    <n v="0"/>
  </r>
  <r>
    <x v="45"/>
    <n v="3867"/>
    <n v="1470"/>
  </r>
  <r>
    <x v="45"/>
    <n v="1786"/>
    <n v="1504"/>
  </r>
  <r>
    <x v="45"/>
    <n v="7560"/>
    <n v="1531"/>
  </r>
  <r>
    <x v="46"/>
    <n v="888"/>
    <n v="714"/>
  </r>
  <r>
    <x v="47"/>
    <n v="18600"/>
    <n v="2531"/>
  </r>
  <r>
    <x v="47"/>
    <n v="6280"/>
    <n v="2134"/>
  </r>
  <r>
    <x v="47"/>
    <n v="77000"/>
    <n v="3397"/>
  </r>
  <r>
    <x v="47"/>
    <n v="1535"/>
    <n v="2232"/>
  </r>
  <r>
    <x v="47"/>
    <n v="10500"/>
    <n v="2130"/>
  </r>
  <r>
    <x v="47"/>
    <n v="4800"/>
    <n v="1842"/>
  </r>
  <r>
    <x v="47"/>
    <n v="19400"/>
    <n v="2390"/>
  </r>
  <r>
    <x v="47"/>
    <n v="33500"/>
    <n v="2521"/>
  </r>
  <r>
    <x v="47"/>
    <n v="21300"/>
    <n v="2528"/>
  </r>
  <r>
    <x v="47"/>
    <n v="44989"/>
    <n v="3206"/>
  </r>
  <r>
    <x v="47"/>
    <n v="40193"/>
    <n v="2869"/>
  </r>
  <r>
    <x v="48"/>
    <n v="1430"/>
    <n v="917"/>
  </r>
  <r>
    <x v="49"/>
    <n v="5096"/>
    <n v="1932"/>
  </r>
  <r>
    <x v="49"/>
    <n v="2680"/>
    <n v="1684"/>
  </r>
  <r>
    <x v="50"/>
    <n v="12000"/>
    <n v="2912"/>
  </r>
  <r>
    <x v="50"/>
    <n v="14470"/>
    <n v="2912"/>
  </r>
  <r>
    <x v="50"/>
    <n v="10770"/>
    <n v="2912"/>
  </r>
  <r>
    <x v="50"/>
    <n v="13617"/>
    <n v="2912"/>
  </r>
  <r>
    <x v="50"/>
    <n v="10137"/>
    <n v="2912"/>
  </r>
  <r>
    <x v="50"/>
    <n v="13065"/>
    <n v="2912"/>
  </r>
  <r>
    <x v="50"/>
    <n v="11428"/>
    <n v="2912"/>
  </r>
  <r>
    <x v="50"/>
    <n v="5252"/>
    <n v="2912"/>
  </r>
  <r>
    <x v="50"/>
    <n v="13792"/>
    <n v="2912"/>
  </r>
  <r>
    <x v="50"/>
    <n v="12677"/>
    <n v="2912"/>
  </r>
  <r>
    <x v="50"/>
    <n v="9999"/>
    <n v="2912"/>
  </r>
  <r>
    <x v="50"/>
    <n v="13060"/>
    <n v="2912"/>
  </r>
  <r>
    <x v="50"/>
    <n v="11322"/>
    <n v="2912"/>
  </r>
  <r>
    <x v="50"/>
    <n v="4450"/>
    <n v="2912"/>
  </r>
  <r>
    <x v="50"/>
    <n v="12304"/>
    <n v="2912"/>
  </r>
  <r>
    <x v="50"/>
    <n v="12035"/>
    <n v="2912"/>
  </r>
  <r>
    <x v="50"/>
    <n v="11350"/>
    <n v="2912"/>
  </r>
  <r>
    <x v="50"/>
    <n v="17032"/>
    <n v="2912"/>
  </r>
  <r>
    <x v="50"/>
    <n v="14452"/>
    <n v="2912"/>
  </r>
  <r>
    <x v="50"/>
    <n v="15975"/>
    <n v="2912"/>
  </r>
  <r>
    <x v="50"/>
    <n v="15525"/>
    <n v="2912"/>
  </r>
  <r>
    <x v="50"/>
    <n v="16554"/>
    <n v="2912"/>
  </r>
  <r>
    <x v="50"/>
    <n v="14288"/>
    <n v="2912"/>
  </r>
  <r>
    <x v="50"/>
    <n v="16450"/>
    <n v="2912"/>
  </r>
  <r>
    <x v="50"/>
    <n v="16684"/>
    <n v="2912"/>
  </r>
  <r>
    <x v="50"/>
    <n v="830"/>
    <n v="2280"/>
  </r>
  <r>
    <x v="50"/>
    <n v="10177"/>
    <n v="2912"/>
  </r>
  <r>
    <x v="50"/>
    <n v="5000"/>
    <n v="0"/>
  </r>
  <r>
    <x v="50"/>
    <n v="11366"/>
    <n v="0"/>
  </r>
  <r>
    <x v="51"/>
    <n v="890"/>
    <n v="1930"/>
  </r>
  <r>
    <x v="52"/>
    <n v="0"/>
    <n v="495"/>
  </r>
  <r>
    <x v="53"/>
    <n v="13382"/>
    <n v="2642"/>
  </r>
  <r>
    <x v="53"/>
    <n v="11200"/>
    <n v="2642"/>
  </r>
  <r>
    <x v="53"/>
    <n v="32293"/>
    <n v="2774"/>
  </r>
  <r>
    <x v="54"/>
    <n v="1300"/>
    <n v="1487"/>
  </r>
  <r>
    <x v="54"/>
    <n v="2025"/>
    <n v="1487"/>
  </r>
  <r>
    <x v="55"/>
    <n v="5000"/>
    <n v="1331"/>
  </r>
  <r>
    <x v="55"/>
    <n v="14300"/>
    <n v="2203"/>
  </r>
  <r>
    <x v="55"/>
    <n v="1676"/>
    <n v="618"/>
  </r>
  <r>
    <x v="56"/>
    <n v="1388"/>
    <n v="1769"/>
  </r>
  <r>
    <x v="56"/>
    <n v="1684"/>
    <n v="1771"/>
  </r>
  <r>
    <x v="57"/>
    <n v="1680"/>
    <n v="0"/>
  </r>
  <r>
    <x v="58"/>
    <n v="14229"/>
    <n v="2700"/>
  </r>
  <r>
    <x v="59"/>
    <n v="20000"/>
    <n v="2602"/>
  </r>
  <r>
    <x v="60"/>
    <n v="5234"/>
    <n v="1600"/>
  </r>
  <r>
    <x v="60"/>
    <n v="1500"/>
    <n v="1091"/>
  </r>
  <r>
    <x v="61"/>
    <n v="1550"/>
    <n v="1872"/>
  </r>
  <r>
    <x v="62"/>
    <n v="1081"/>
    <n v="797"/>
  </r>
  <r>
    <x v="62"/>
    <n v="2500"/>
    <n v="972"/>
  </r>
  <r>
    <x v="63"/>
    <n v="6000"/>
    <n v="1620"/>
  </r>
  <r>
    <x v="63"/>
    <n v="25500"/>
    <n v="2798"/>
  </r>
  <r>
    <x v="63"/>
    <n v="16000"/>
    <n v="3172"/>
  </r>
  <r>
    <x v="64"/>
    <n v="3000"/>
    <n v="2930"/>
  </r>
  <r>
    <x v="65"/>
    <n v="1468"/>
    <n v="2984"/>
  </r>
  <r>
    <x v="66"/>
    <n v="8550"/>
    <n v="2000"/>
  </r>
  <r>
    <x v="66"/>
    <n v="800"/>
    <n v="416"/>
  </r>
  <r>
    <x v="66"/>
    <n v="10231"/>
    <n v="2040"/>
  </r>
  <r>
    <x v="66"/>
    <n v="15200"/>
    <n v="2000"/>
  </r>
  <r>
    <x v="67"/>
    <n v="15"/>
    <n v="120"/>
  </r>
  <r>
    <x v="68"/>
    <n v="37000"/>
    <n v="2499"/>
  </r>
  <r>
    <x v="69"/>
    <n v="170"/>
    <n v="800"/>
  </r>
  <r>
    <x v="69"/>
    <n v="2100"/>
    <n v="2828"/>
  </r>
  <r>
    <x v="69"/>
    <n v="4883"/>
    <n v="2828"/>
  </r>
  <r>
    <x v="70"/>
    <n v="30116"/>
    <n v="3138"/>
  </r>
  <r>
    <x v="70"/>
    <n v="7200"/>
    <n v="2412"/>
  </r>
  <r>
    <x v="70"/>
    <n v="14560"/>
    <n v="2975"/>
  </r>
  <r>
    <x v="70"/>
    <n v="29600"/>
    <n v="2983"/>
  </r>
  <r>
    <x v="70"/>
    <n v="30000"/>
    <n v="3124"/>
  </r>
  <r>
    <x v="70"/>
    <n v="8400"/>
    <n v="2611"/>
  </r>
  <r>
    <x v="71"/>
    <n v="12000"/>
    <n v="2860"/>
  </r>
  <r>
    <x v="71"/>
    <n v="17000"/>
    <n v="2948"/>
  </r>
  <r>
    <x v="71"/>
    <n v="13000"/>
    <n v="2860"/>
  </r>
  <r>
    <x v="71"/>
    <n v="12771"/>
    <n v="2860"/>
  </r>
  <r>
    <x v="71"/>
    <n v="13500"/>
    <n v="2912"/>
  </r>
  <r>
    <x v="72"/>
    <n v="15536"/>
    <n v="3226"/>
  </r>
  <r>
    <x v="72"/>
    <n v="20000"/>
    <n v="3533"/>
  </r>
  <r>
    <x v="72"/>
    <n v="10000"/>
    <n v="3226"/>
  </r>
  <r>
    <x v="72"/>
    <n v="10000"/>
    <n v="3226"/>
  </r>
  <r>
    <x v="73"/>
    <n v="1000"/>
    <n v="1066"/>
  </r>
  <r>
    <x v="74"/>
    <n v="1305"/>
    <n v="805"/>
  </r>
  <r>
    <x v="74"/>
    <n v="4000"/>
    <n v="1516"/>
  </r>
  <r>
    <x v="75"/>
    <s v="4,208,294"/>
    <s v="754,7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I2:K78" firstHeaderRow="1" firstDataRow="2" firstDataCol="1"/>
  <pivotFields count="7">
    <pivotField axis="axisRow" numFmtId="1" showAll="0">
      <items count="75">
        <item x="20"/>
        <item x="60"/>
        <item x="71"/>
        <item x="0"/>
        <item x="4"/>
        <item x="13"/>
        <item x="21"/>
        <item x="36"/>
        <item x="41"/>
        <item x="56"/>
        <item x="59"/>
        <item x="61"/>
        <item x="63"/>
        <item x="66"/>
        <item x="67"/>
        <item x="69"/>
        <item x="70"/>
        <item x="72"/>
        <item x="73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62"/>
        <item x="64"/>
        <item x="65"/>
        <item x="68"/>
        <item t="default"/>
      </items>
    </pivotField>
    <pivotField showAll="0"/>
    <pivotField showAll="0"/>
    <pivotField showAll="0"/>
    <pivotField dataField="1" numFmtId="1" showAll="0"/>
    <pivotField dataField="1" numFmtId="1" showAll="0"/>
    <pivotField numFmtId="1" showAll="0"/>
  </pivotFields>
  <rowFields count="1">
    <field x="0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qft:Q467" fld="4" baseField="0" baseItem="0"/>
    <dataField name="Sum of Hrs:Q480" fld="5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ID">
  <location ref="E2:G80" firstHeaderRow="1" firstDataRow="2" firstDataCol="1"/>
  <pivotFields count="3">
    <pivotField axis="axisRow" showAll="0">
      <items count="77">
        <item x="20"/>
        <item x="60"/>
        <item x="72"/>
        <item x="0"/>
        <item x="4"/>
        <item x="13"/>
        <item x="21"/>
        <item x="36"/>
        <item x="41"/>
        <item x="56"/>
        <item x="59"/>
        <item x="61"/>
        <item x="63"/>
        <item x="66"/>
        <item x="68"/>
        <item x="70"/>
        <item x="71"/>
        <item x="73"/>
        <item x="74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62"/>
        <item x="64"/>
        <item x="65"/>
        <item x="67"/>
        <item x="69"/>
        <item x="75"/>
        <item t="default"/>
      </items>
    </pivotField>
    <pivotField dataField="1" showAll="0" defaultSubtotal="0"/>
    <pivotField dataField="1" showAll="0" defaultSubtotal="0"/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qFt" fld="1" baseField="0" baseItem="0"/>
    <dataField name="Sum of Hours" fld="2" baseField="0" baseItem="0"/>
  </dataFields>
  <formats count="6">
    <format dxfId="5">
      <pivotArea type="all" dataOnly="0" outline="0" fieldPosition="0"/>
    </format>
    <format dxfId="4">
      <pivotArea type="origin" dataOnly="0" labelOnly="1" outline="0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0" count="2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sa/4.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74"/>
  <sheetViews>
    <sheetView showGridLines="0" tabSelected="1" workbookViewId="0">
      <selection activeCell="B16" sqref="B16:G16"/>
    </sheetView>
  </sheetViews>
  <sheetFormatPr baseColWidth="10" defaultColWidth="8.83203125" defaultRowHeight="16"/>
  <cols>
    <col min="1" max="1" width="9.33203125" style="237" customWidth="1"/>
    <col min="2" max="2" width="29.83203125" style="237" customWidth="1"/>
    <col min="3" max="3" width="32.6640625" style="256" customWidth="1"/>
    <col min="4" max="4" width="7.1640625" style="237" customWidth="1"/>
    <col min="5" max="5" width="13.1640625" style="237" customWidth="1"/>
    <col min="6" max="6" width="8.5" style="237" customWidth="1"/>
    <col min="7" max="7" width="4.83203125" style="237" customWidth="1"/>
    <col min="8" max="8" width="10.6640625" style="237" customWidth="1"/>
    <col min="9" max="9" width="11.6640625" style="246" customWidth="1"/>
    <col min="10" max="10" width="12" style="237" customWidth="1"/>
    <col min="11" max="11" width="13.1640625" style="246" customWidth="1"/>
    <col min="12" max="12" width="13.6640625" style="237" customWidth="1"/>
    <col min="13" max="13" width="11.6640625" style="246" customWidth="1"/>
    <col min="14" max="14" width="11.6640625" style="237" customWidth="1"/>
    <col min="15" max="15" width="18.1640625" style="237" customWidth="1"/>
    <col min="16" max="24" width="11.6640625" style="237" customWidth="1"/>
    <col min="25" max="27" width="11.6640625" style="238" customWidth="1"/>
    <col min="28" max="28" width="9" style="238" customWidth="1"/>
    <col min="29" max="31" width="11.6640625" style="238" customWidth="1"/>
    <col min="32" max="32" width="11.6640625" style="237" customWidth="1"/>
    <col min="33" max="33" width="8.6640625" style="237" customWidth="1"/>
    <col min="34" max="34" width="11.6640625" style="237" customWidth="1"/>
    <col min="35" max="37" width="10.33203125" style="237" bestFit="1" customWidth="1"/>
    <col min="38" max="38" width="9.1640625" style="237" bestFit="1" customWidth="1"/>
    <col min="39" max="39" width="9.83203125" style="237" bestFit="1" customWidth="1"/>
    <col min="40" max="40" width="9.1640625" style="237" bestFit="1" customWidth="1"/>
    <col min="41" max="41" width="9.83203125" style="237" bestFit="1" customWidth="1"/>
    <col min="42" max="42" width="9.6640625" style="237" bestFit="1" customWidth="1"/>
    <col min="43" max="43" width="9.83203125" style="237" bestFit="1" customWidth="1"/>
    <col min="44" max="44" width="9.5" style="237" bestFit="1" customWidth="1"/>
    <col min="45" max="46" width="9.83203125" style="237" bestFit="1" customWidth="1"/>
    <col min="47" max="47" width="9.1640625" style="237" bestFit="1" customWidth="1"/>
    <col min="48" max="48" width="9.83203125" style="237" bestFit="1" customWidth="1"/>
    <col min="49" max="49" width="9.1640625" style="237" bestFit="1" customWidth="1"/>
    <col min="50" max="50" width="9.83203125" style="237" bestFit="1" customWidth="1"/>
    <col min="51" max="51" width="9.1640625" style="237" bestFit="1" customWidth="1"/>
    <col min="52" max="52" width="9.83203125" style="237" bestFit="1" customWidth="1"/>
    <col min="53" max="53" width="8.6640625" style="237" bestFit="1" customWidth="1"/>
    <col min="54" max="55" width="9.83203125" style="237" bestFit="1" customWidth="1"/>
    <col min="56" max="56" width="8.1640625" style="237" bestFit="1" customWidth="1"/>
    <col min="57" max="57" width="8.5" style="237" bestFit="1" customWidth="1"/>
    <col min="58" max="58" width="7.6640625" style="237" bestFit="1" customWidth="1"/>
    <col min="59" max="59" width="11.6640625" style="237" bestFit="1" customWidth="1"/>
    <col min="60" max="60" width="9.5" style="237" bestFit="1" customWidth="1"/>
    <col min="61" max="61" width="8.1640625" style="237" bestFit="1" customWidth="1"/>
    <col min="62" max="62" width="6.6640625" style="237" bestFit="1" customWidth="1"/>
    <col min="63" max="63" width="8.1640625" style="237" bestFit="1" customWidth="1"/>
    <col min="64" max="64" width="7.6640625" style="237" bestFit="1" customWidth="1"/>
    <col min="65" max="65" width="8.1640625" style="237" bestFit="1" customWidth="1"/>
    <col min="66" max="66" width="9.83203125" style="237" bestFit="1" customWidth="1"/>
    <col min="67" max="67" width="11" style="237" bestFit="1" customWidth="1"/>
    <col min="68" max="68" width="9.6640625" style="237" bestFit="1" customWidth="1"/>
    <col min="69" max="69" width="11.5" style="237" bestFit="1" customWidth="1"/>
    <col min="70" max="71" width="6.1640625" style="237" bestFit="1" customWidth="1"/>
    <col min="72" max="72" width="9.6640625" style="237" bestFit="1" customWidth="1"/>
    <col min="73" max="73" width="6.1640625" style="237" bestFit="1" customWidth="1"/>
    <col min="74" max="74" width="9.6640625" style="237" bestFit="1" customWidth="1"/>
    <col min="75" max="75" width="5.6640625" style="237" bestFit="1" customWidth="1"/>
    <col min="76" max="76" width="6.1640625" style="237" bestFit="1" customWidth="1"/>
    <col min="77" max="78" width="8.5" style="237" bestFit="1" customWidth="1"/>
    <col min="79" max="81" width="9.6640625" style="237" bestFit="1" customWidth="1"/>
    <col min="82" max="82" width="7.6640625" style="237" bestFit="1" customWidth="1"/>
    <col min="83" max="83" width="9.33203125" style="237" bestFit="1" customWidth="1"/>
    <col min="84" max="84" width="9.6640625" style="237" bestFit="1" customWidth="1"/>
    <col min="85" max="85" width="8.6640625" style="237" bestFit="1" customWidth="1"/>
    <col min="86" max="86" width="9.83203125" style="237" bestFit="1" customWidth="1"/>
    <col min="87" max="88" width="9.33203125" style="237" bestFit="1" customWidth="1"/>
    <col min="89" max="90" width="9.1640625" style="237" bestFit="1" customWidth="1"/>
    <col min="91" max="91" width="12.1640625" style="237" bestFit="1" customWidth="1"/>
    <col min="92" max="93" width="8.83203125" style="237" bestFit="1" customWidth="1"/>
    <col min="94" max="94" width="9.6640625" style="237" bestFit="1" customWidth="1"/>
    <col min="95" max="95" width="12.1640625" style="237" bestFit="1" customWidth="1"/>
    <col min="96" max="96" width="6.33203125" style="237" bestFit="1" customWidth="1"/>
    <col min="97" max="97" width="8.83203125" style="237" bestFit="1" customWidth="1"/>
    <col min="98" max="98" width="7.1640625" style="237" bestFit="1" customWidth="1"/>
    <col min="99" max="99" width="8.6640625" style="237" bestFit="1" customWidth="1"/>
    <col min="100" max="100" width="6.6640625" style="237" bestFit="1" customWidth="1"/>
    <col min="101" max="101" width="7.6640625" style="237" bestFit="1" customWidth="1"/>
    <col min="102" max="102" width="11.1640625" style="237" bestFit="1" customWidth="1"/>
    <col min="103" max="103" width="10.5" style="237" bestFit="1" customWidth="1"/>
    <col min="104" max="104" width="9.83203125" style="237" bestFit="1" customWidth="1"/>
    <col min="105" max="105" width="8.6640625" style="237" bestFit="1" customWidth="1"/>
    <col min="106" max="106" width="8.83203125" style="237" bestFit="1" customWidth="1"/>
    <col min="107" max="107" width="6.83203125" style="237" bestFit="1" customWidth="1"/>
    <col min="108" max="108" width="7" style="237" bestFit="1" customWidth="1"/>
    <col min="109" max="109" width="8.6640625" style="237" bestFit="1" customWidth="1"/>
    <col min="110" max="110" width="9.6640625" style="237" bestFit="1" customWidth="1"/>
    <col min="111" max="113" width="8.6640625" style="237" bestFit="1" customWidth="1"/>
    <col min="114" max="115" width="8.83203125" style="237" bestFit="1" customWidth="1"/>
    <col min="116" max="116" width="7.83203125" style="237" bestFit="1" customWidth="1"/>
    <col min="117" max="117" width="8.83203125" style="237" bestFit="1" customWidth="1"/>
    <col min="118" max="118" width="8.6640625" style="237" bestFit="1" customWidth="1"/>
    <col min="119" max="119" width="8.83203125" style="237" bestFit="1" customWidth="1"/>
    <col min="120" max="120" width="8.6640625" style="237" bestFit="1" customWidth="1"/>
    <col min="121" max="121" width="8.83203125" style="237" bestFit="1" customWidth="1"/>
    <col min="122" max="124" width="11.6640625" style="237" bestFit="1" customWidth="1"/>
    <col min="125" max="125" width="7.6640625" style="237" bestFit="1" customWidth="1"/>
    <col min="126" max="126" width="9.6640625" style="237" bestFit="1" customWidth="1"/>
    <col min="127" max="127" width="7" style="237" bestFit="1" customWidth="1"/>
    <col min="128" max="16384" width="8.83203125" style="237"/>
  </cols>
  <sheetData>
    <row r="1" spans="1:31">
      <c r="A1" s="233" t="s">
        <v>1258</v>
      </c>
      <c r="B1" s="234"/>
      <c r="C1" s="235"/>
      <c r="D1" s="236"/>
      <c r="E1" s="236"/>
      <c r="F1" s="236"/>
      <c r="G1" s="236"/>
      <c r="H1" s="236"/>
      <c r="I1" s="237"/>
      <c r="K1" s="237"/>
      <c r="M1" s="237"/>
    </row>
    <row r="2" spans="1:31">
      <c r="A2" s="239"/>
      <c r="B2" s="234"/>
      <c r="C2" s="235"/>
      <c r="D2" s="236"/>
      <c r="E2" s="236"/>
      <c r="F2" s="236"/>
      <c r="G2" s="236"/>
      <c r="H2" s="236"/>
      <c r="I2" s="237"/>
      <c r="K2" s="237"/>
      <c r="M2" s="237"/>
    </row>
    <row r="3" spans="1:31">
      <c r="A3" s="239"/>
      <c r="B3" s="234"/>
      <c r="C3" s="235"/>
      <c r="D3" s="236"/>
      <c r="E3" s="236"/>
      <c r="F3" s="236"/>
      <c r="G3" s="236"/>
      <c r="H3" s="236"/>
      <c r="I3" s="237"/>
      <c r="K3" s="237"/>
      <c r="M3" s="237"/>
    </row>
    <row r="4" spans="1:31" ht="20.5" customHeight="1">
      <c r="A4" s="240"/>
      <c r="B4" s="241"/>
      <c r="C4" s="242"/>
      <c r="D4" s="236"/>
      <c r="E4" s="236"/>
      <c r="F4" s="236"/>
      <c r="G4" s="236"/>
      <c r="H4" s="236"/>
      <c r="I4" s="237"/>
      <c r="K4" s="237"/>
      <c r="M4" s="237"/>
    </row>
    <row r="5" spans="1:31">
      <c r="A5" s="240"/>
      <c r="B5" s="236"/>
      <c r="C5" s="242"/>
      <c r="D5" s="243"/>
      <c r="E5" s="236"/>
      <c r="F5" s="236"/>
      <c r="G5" s="236"/>
      <c r="H5" s="236"/>
      <c r="I5" s="237"/>
      <c r="K5" s="237"/>
      <c r="M5" s="237"/>
    </row>
    <row r="6" spans="1:31">
      <c r="A6" s="240"/>
      <c r="B6" s="236"/>
      <c r="C6" s="242"/>
      <c r="D6" s="236"/>
      <c r="E6" s="236"/>
      <c r="F6" s="236"/>
      <c r="G6" s="236"/>
      <c r="H6" s="236"/>
      <c r="I6" s="237"/>
      <c r="K6" s="237"/>
      <c r="M6" s="237"/>
    </row>
    <row r="7" spans="1:31">
      <c r="A7" s="236"/>
      <c r="B7" s="236"/>
      <c r="C7" s="242"/>
      <c r="D7" s="236"/>
      <c r="E7" s="236"/>
      <c r="F7" s="236"/>
      <c r="G7" s="236"/>
      <c r="H7" s="236"/>
      <c r="I7" s="237"/>
      <c r="K7" s="237"/>
      <c r="M7" s="237"/>
    </row>
    <row r="8" spans="1:31">
      <c r="A8" s="236"/>
      <c r="B8" s="236"/>
      <c r="C8" s="242"/>
      <c r="D8" s="236"/>
      <c r="E8" s="236"/>
      <c r="F8" s="236"/>
      <c r="G8" s="236"/>
      <c r="H8" s="236"/>
      <c r="I8" s="237"/>
      <c r="K8" s="237"/>
      <c r="M8" s="237"/>
    </row>
    <row r="9" spans="1:31" ht="29">
      <c r="A9" s="353" t="s">
        <v>1256</v>
      </c>
      <c r="B9" s="353"/>
      <c r="C9" s="353"/>
      <c r="D9" s="353"/>
      <c r="E9" s="353"/>
      <c r="F9" s="353"/>
      <c r="G9" s="353"/>
      <c r="H9" s="353"/>
      <c r="I9" s="244"/>
      <c r="J9" s="244"/>
      <c r="K9" s="244"/>
      <c r="L9" s="244"/>
      <c r="M9" s="244"/>
      <c r="N9" s="244"/>
    </row>
    <row r="10" spans="1:31" ht="19">
      <c r="A10" s="236"/>
      <c r="B10" s="245"/>
      <c r="C10" s="242"/>
      <c r="D10" s="236"/>
      <c r="E10" s="236"/>
      <c r="F10" s="236"/>
      <c r="G10" s="236"/>
      <c r="H10" s="236"/>
    </row>
    <row r="11" spans="1:31" ht="40">
      <c r="A11" s="236"/>
      <c r="B11" s="337" t="s">
        <v>1168</v>
      </c>
      <c r="C11" s="340"/>
      <c r="D11" s="236"/>
      <c r="E11" s="246"/>
      <c r="H11" s="236"/>
    </row>
    <row r="12" spans="1:31" ht="32" customHeight="1">
      <c r="A12" s="236"/>
      <c r="B12" s="361" t="s">
        <v>1166</v>
      </c>
      <c r="C12" s="345" t="s">
        <v>1259</v>
      </c>
      <c r="D12" s="354" t="s">
        <v>165</v>
      </c>
      <c r="E12" s="354"/>
      <c r="F12" s="355"/>
      <c r="G12" s="236"/>
      <c r="H12" s="246"/>
      <c r="I12" s="237"/>
      <c r="J12" s="246"/>
      <c r="K12" s="237"/>
      <c r="L12" s="246"/>
      <c r="M12" s="237"/>
      <c r="X12" s="238"/>
      <c r="AE12" s="237"/>
    </row>
    <row r="13" spans="1:31" ht="18.75" customHeight="1">
      <c r="A13" s="236"/>
      <c r="B13" s="361"/>
      <c r="C13" s="360" t="s">
        <v>1260</v>
      </c>
      <c r="D13" s="356" t="s">
        <v>900</v>
      </c>
      <c r="E13" s="356"/>
      <c r="F13" s="357"/>
      <c r="G13" s="236"/>
      <c r="H13" s="246"/>
      <c r="I13" s="237"/>
      <c r="J13" s="246"/>
      <c r="K13" s="237"/>
      <c r="L13" s="246"/>
      <c r="M13" s="237"/>
      <c r="X13" s="238"/>
      <c r="AE13" s="237"/>
    </row>
    <row r="14" spans="1:31" ht="24" customHeight="1">
      <c r="A14" s="236"/>
      <c r="B14" s="361"/>
      <c r="C14" s="360"/>
      <c r="D14" s="358"/>
      <c r="E14" s="358"/>
      <c r="F14" s="359"/>
      <c r="G14" s="236"/>
      <c r="H14" s="246"/>
      <c r="I14" s="237"/>
      <c r="J14" s="246"/>
      <c r="K14" s="237"/>
      <c r="L14" s="246"/>
      <c r="M14" s="237"/>
      <c r="X14" s="238"/>
      <c r="AE14" s="237"/>
    </row>
    <row r="15" spans="1:31" ht="16.5" customHeight="1">
      <c r="A15" s="236"/>
      <c r="B15" s="247"/>
      <c r="C15" s="248"/>
      <c r="D15" s="249"/>
      <c r="E15" s="249"/>
      <c r="F15" s="249"/>
      <c r="G15" s="249"/>
      <c r="H15" s="236"/>
    </row>
    <row r="16" spans="1:31" s="252" customFormat="1" ht="21">
      <c r="A16" s="250"/>
      <c r="B16" s="352" t="s">
        <v>166</v>
      </c>
      <c r="C16" s="352"/>
      <c r="D16" s="352"/>
      <c r="E16" s="352"/>
      <c r="F16" s="352"/>
      <c r="G16" s="352"/>
      <c r="H16" s="250"/>
      <c r="I16" s="251"/>
      <c r="K16" s="251"/>
      <c r="M16" s="251"/>
      <c r="Y16" s="253"/>
      <c r="Z16" s="253"/>
      <c r="AA16" s="253"/>
      <c r="AB16" s="253"/>
      <c r="AC16" s="253"/>
      <c r="AD16" s="253"/>
      <c r="AE16" s="253"/>
    </row>
    <row r="17" spans="1:31">
      <c r="A17" s="236"/>
      <c r="B17" s="338" t="s">
        <v>1158</v>
      </c>
      <c r="C17" s="341"/>
      <c r="D17" s="277"/>
      <c r="E17" s="277"/>
      <c r="F17" s="277"/>
      <c r="G17" s="277"/>
      <c r="H17" s="236"/>
    </row>
    <row r="18" spans="1:31">
      <c r="A18" s="236"/>
      <c r="B18" s="338" t="s">
        <v>1159</v>
      </c>
      <c r="C18" s="341"/>
      <c r="D18" s="277"/>
      <c r="E18" s="277"/>
      <c r="F18" s="277"/>
      <c r="G18" s="277"/>
      <c r="H18" s="236"/>
    </row>
    <row r="19" spans="1:31">
      <c r="A19" s="236"/>
      <c r="B19" s="338" t="s">
        <v>1160</v>
      </c>
      <c r="C19" s="341"/>
      <c r="D19" s="277"/>
      <c r="E19" s="277"/>
      <c r="F19" s="277"/>
      <c r="G19" s="277"/>
      <c r="H19" s="236"/>
    </row>
    <row r="20" spans="1:31">
      <c r="A20" s="236"/>
      <c r="B20" s="338" t="s">
        <v>1161</v>
      </c>
      <c r="C20" s="341"/>
      <c r="D20" s="277"/>
      <c r="E20" s="277"/>
      <c r="F20" s="277"/>
      <c r="G20" s="277"/>
      <c r="H20" s="236"/>
    </row>
    <row r="21" spans="1:31" ht="21">
      <c r="A21" s="236"/>
      <c r="B21" s="339" t="s">
        <v>1167</v>
      </c>
      <c r="C21" s="345" t="s">
        <v>1261</v>
      </c>
      <c r="D21" s="277"/>
      <c r="E21" s="277"/>
      <c r="F21" s="277"/>
      <c r="G21" s="277"/>
      <c r="H21" s="236"/>
    </row>
    <row r="22" spans="1:31" ht="14.5" customHeight="1">
      <c r="A22" s="236"/>
      <c r="B22" s="240"/>
      <c r="C22" s="242"/>
      <c r="D22" s="236"/>
      <c r="E22" s="236"/>
      <c r="F22" s="236"/>
      <c r="G22" s="236"/>
      <c r="H22" s="236"/>
    </row>
    <row r="23" spans="1:31" ht="30.5" customHeight="1">
      <c r="A23" s="350" t="s">
        <v>1257</v>
      </c>
      <c r="B23" s="350"/>
      <c r="C23" s="350"/>
      <c r="D23" s="350"/>
      <c r="E23" s="350"/>
      <c r="F23" s="350"/>
      <c r="G23" s="350"/>
      <c r="H23" s="350"/>
      <c r="I23" s="237"/>
      <c r="J23" s="246"/>
      <c r="K23" s="237"/>
      <c r="L23" s="246"/>
      <c r="M23" s="237"/>
      <c r="X23" s="238"/>
      <c r="AE23" s="237"/>
    </row>
    <row r="24" spans="1:31" ht="9.75" customHeight="1">
      <c r="A24" s="254"/>
      <c r="B24" s="254"/>
      <c r="C24" s="254"/>
      <c r="D24" s="254"/>
      <c r="E24" s="254"/>
      <c r="F24" s="254"/>
      <c r="G24" s="236"/>
      <c r="H24" s="246"/>
      <c r="I24" s="237"/>
      <c r="J24" s="246"/>
      <c r="K24" s="237"/>
      <c r="L24" s="246"/>
      <c r="M24" s="237"/>
      <c r="X24" s="238"/>
      <c r="AE24" s="237"/>
    </row>
    <row r="25" spans="1:31" ht="15" customHeight="1">
      <c r="A25" s="351" t="s">
        <v>1170</v>
      </c>
      <c r="B25" s="351"/>
      <c r="C25" s="351"/>
      <c r="D25" s="351"/>
      <c r="E25" s="351"/>
      <c r="F25" s="351"/>
      <c r="G25" s="351"/>
      <c r="H25" s="351"/>
      <c r="I25" s="237"/>
      <c r="J25" s="246"/>
      <c r="K25" s="237"/>
      <c r="L25" s="246"/>
      <c r="M25" s="237"/>
      <c r="X25" s="238"/>
      <c r="AE25" s="237"/>
    </row>
    <row r="26" spans="1:31" ht="16.5" customHeight="1">
      <c r="A26" s="351"/>
      <c r="B26" s="351"/>
      <c r="C26" s="351"/>
      <c r="D26" s="351"/>
      <c r="E26" s="351"/>
      <c r="F26" s="351"/>
      <c r="G26" s="351"/>
      <c r="H26" s="351"/>
    </row>
    <row r="27" spans="1:31" ht="15">
      <c r="A27" s="351"/>
      <c r="B27" s="351"/>
      <c r="C27" s="351"/>
      <c r="D27" s="351"/>
      <c r="E27" s="351"/>
      <c r="F27" s="351"/>
      <c r="G27" s="351"/>
      <c r="H27" s="351"/>
    </row>
    <row r="28" spans="1:31">
      <c r="A28" s="255"/>
      <c r="B28" s="236"/>
      <c r="D28" s="236"/>
      <c r="E28" s="236"/>
      <c r="F28" s="236"/>
      <c r="G28" s="236"/>
      <c r="I28" s="237"/>
      <c r="K28" s="237"/>
      <c r="M28" s="237"/>
      <c r="Y28" s="237"/>
      <c r="Z28" s="237"/>
      <c r="AA28" s="237"/>
      <c r="AB28" s="237"/>
      <c r="AC28" s="237"/>
      <c r="AD28" s="237"/>
      <c r="AE28" s="237"/>
    </row>
    <row r="29" spans="1:31" ht="15" customHeight="1">
      <c r="A29" s="257"/>
      <c r="B29" s="236"/>
      <c r="C29" s="242"/>
      <c r="D29" s="236"/>
      <c r="E29" s="236"/>
      <c r="F29" s="236"/>
      <c r="G29" s="236"/>
      <c r="I29" s="237"/>
      <c r="K29" s="237"/>
      <c r="M29" s="237"/>
      <c r="Y29" s="237"/>
      <c r="Z29" s="237"/>
      <c r="AA29" s="237"/>
      <c r="AB29" s="237"/>
      <c r="AC29" s="237"/>
      <c r="AD29" s="237"/>
      <c r="AE29" s="237"/>
    </row>
    <row r="30" spans="1:31" ht="15" customHeight="1">
      <c r="B30" s="258"/>
      <c r="I30" s="237"/>
      <c r="K30" s="237"/>
      <c r="M30" s="237"/>
      <c r="Y30" s="237"/>
      <c r="Z30" s="237"/>
      <c r="AA30" s="237"/>
      <c r="AB30" s="237"/>
      <c r="AC30" s="237"/>
      <c r="AD30" s="237"/>
      <c r="AE30" s="237"/>
    </row>
    <row r="32" spans="1:31">
      <c r="B32" s="258"/>
    </row>
    <row r="33" spans="2:2">
      <c r="B33" s="258"/>
    </row>
    <row r="34" spans="2:2">
      <c r="B34" s="258"/>
    </row>
    <row r="35" spans="2:2">
      <c r="B35" s="258"/>
    </row>
    <row r="36" spans="2:2">
      <c r="B36" s="258"/>
    </row>
    <row r="37" spans="2:2">
      <c r="B37" s="258"/>
    </row>
    <row r="38" spans="2:2">
      <c r="B38" s="258"/>
    </row>
    <row r="65" spans="15:33">
      <c r="AG65" s="259"/>
    </row>
    <row r="69" spans="15:33">
      <c r="P69" s="260"/>
      <c r="Q69" s="260"/>
      <c r="R69" s="261"/>
      <c r="S69" s="262"/>
      <c r="T69" s="262"/>
      <c r="U69" s="262"/>
      <c r="V69" s="262"/>
      <c r="W69" s="263"/>
      <c r="X69" s="263"/>
      <c r="Y69" s="263"/>
      <c r="Z69" s="263"/>
      <c r="AA69" s="263"/>
    </row>
    <row r="70" spans="15:33">
      <c r="P70" s="264"/>
      <c r="Q70" s="264"/>
      <c r="R70" s="260"/>
      <c r="S70" s="262"/>
      <c r="T70" s="262"/>
      <c r="U70" s="262"/>
      <c r="V70" s="265"/>
      <c r="W70" s="260"/>
      <c r="X70" s="260"/>
      <c r="Y70" s="266"/>
      <c r="Z70" s="267"/>
      <c r="AA70" s="266"/>
    </row>
    <row r="71" spans="15:33">
      <c r="P71" s="264"/>
      <c r="Q71" s="264"/>
      <c r="R71" s="268"/>
      <c r="S71" s="266"/>
      <c r="T71" s="266"/>
      <c r="U71" s="266"/>
      <c r="V71" s="262"/>
      <c r="W71" s="260"/>
      <c r="X71" s="260"/>
      <c r="Y71" s="264"/>
      <c r="Z71" s="264"/>
      <c r="AA71" s="264"/>
    </row>
    <row r="72" spans="15:33">
      <c r="P72" s="264"/>
      <c r="Q72" s="264"/>
      <c r="R72" s="266"/>
      <c r="S72" s="266"/>
      <c r="T72" s="265"/>
      <c r="U72" s="265"/>
      <c r="V72" s="260"/>
      <c r="W72" s="260"/>
      <c r="X72" s="260"/>
      <c r="Y72" s="269"/>
      <c r="Z72" s="264"/>
      <c r="AA72" s="260"/>
    </row>
    <row r="73" spans="15:33">
      <c r="P73" s="270"/>
      <c r="Q73" s="270"/>
      <c r="R73" s="266"/>
      <c r="S73" s="266"/>
      <c r="T73" s="268"/>
      <c r="U73" s="268"/>
      <c r="V73" s="268"/>
      <c r="W73" s="260"/>
      <c r="X73" s="260"/>
      <c r="Y73" s="266"/>
      <c r="Z73" s="264"/>
      <c r="AA73" s="271"/>
    </row>
    <row r="74" spans="15:33">
      <c r="O74" s="272"/>
      <c r="P74" s="272"/>
      <c r="Q74" s="273"/>
      <c r="R74" s="273"/>
      <c r="S74" s="273"/>
      <c r="U74" s="274"/>
      <c r="V74" s="275"/>
      <c r="W74" s="274"/>
      <c r="X74" s="274"/>
      <c r="Z74" s="276"/>
    </row>
  </sheetData>
  <mergeCells count="8">
    <mergeCell ref="A23:H23"/>
    <mergeCell ref="A25:H27"/>
    <mergeCell ref="B16:G16"/>
    <mergeCell ref="A9:H9"/>
    <mergeCell ref="D12:F12"/>
    <mergeCell ref="D13:F14"/>
    <mergeCell ref="C13:C14"/>
    <mergeCell ref="B12:B14"/>
  </mergeCells>
  <hyperlinks>
    <hyperlink ref="C12" location="'2020 Library Quick Report'!A1" display="2019 Quick Report" xr:uid="{00000000-0004-0000-0000-000000000000}"/>
    <hyperlink ref="C13" location="'2013 Charts'!A1" display="2013 Charts" xr:uid="{00000000-0004-0000-0000-000001000000}"/>
    <hyperlink ref="C13:C14" location="'2020 Individual Charts'!A1" display="2020 Charts" xr:uid="{00000000-0004-0000-0000-000006000000}"/>
    <hyperlink ref="A25" r:id="rId1" display="These charts are licensed under a Creative Commons Attribution-NonCommercial-ShareAlike 4.0 International License," xr:uid="{00000000-0004-0000-0000-000003000000}"/>
    <hyperlink ref="C21" location="'2020 Comparison Charts'!A1" display="2020 Comparison Charts" xr:uid="{00000000-0004-0000-0000-000002000000}"/>
  </hyperlinks>
  <printOptions horizontalCentered="1" verticalCentered="1"/>
  <pageMargins left="0.25" right="0.25" top="0.75" bottom="0.75" header="0.3" footer="0.3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507" yWindow="818" count="2">
        <x14:dataValidation type="list" showInputMessage="1" showErrorMessage="1" prompt="Find library in drop-down list" xr:uid="{00000000-0002-0000-0000-000000000000}">
          <x14:formula1>
            <xm:f>'2020Data'!$A$2:$A$83</xm:f>
          </x14:formula1>
          <xm:sqref>C17:C20</xm:sqref>
        </x14:dataValidation>
        <x14:dataValidation type="list" allowBlank="1" showInputMessage="1" showErrorMessage="1" prompt="Find your library in the drop-down list" xr:uid="{00000000-0002-0000-0000-000001000000}">
          <x14:formula1>
            <xm:f>'2020Data'!A2:A83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8"/>
  <sheetViews>
    <sheetView showGridLines="0" zoomScale="80" zoomScaleNormal="80" zoomScaleSheetLayoutView="80" zoomScalePageLayoutView="50" workbookViewId="0">
      <selection activeCell="C5" sqref="C5"/>
    </sheetView>
  </sheetViews>
  <sheetFormatPr baseColWidth="10" defaultColWidth="9" defaultRowHeight="14"/>
  <cols>
    <col min="1" max="1" width="2.1640625" style="1" customWidth="1"/>
    <col min="2" max="2" width="53" style="193" customWidth="1"/>
    <col min="3" max="3" width="25.6640625" style="1" customWidth="1"/>
    <col min="4" max="4" width="2.1640625" style="1" customWidth="1"/>
    <col min="5" max="5" width="40.6640625" style="1" customWidth="1"/>
    <col min="6" max="6" width="13.1640625" style="1" bestFit="1" customWidth="1"/>
    <col min="7" max="16384" width="9" style="1"/>
  </cols>
  <sheetData>
    <row r="1" spans="1:10" ht="15" thickBot="1"/>
    <row r="2" spans="1:10" s="3" customFormat="1" ht="33">
      <c r="B2" s="366" t="e">
        <f>VLOOKUP(Input!$C$11, '2020Data'!$A$1:$DZ$83,122,0)</f>
        <v>#N/A</v>
      </c>
      <c r="C2" s="367"/>
      <c r="D2" s="367"/>
      <c r="E2" s="367"/>
      <c r="F2" s="368"/>
      <c r="G2" s="2"/>
      <c r="H2" s="2"/>
      <c r="I2" s="2"/>
      <c r="J2" s="2"/>
    </row>
    <row r="3" spans="1:10" s="3" customFormat="1" ht="19" thickBot="1">
      <c r="B3" s="369" t="s">
        <v>1255</v>
      </c>
      <c r="C3" s="370"/>
      <c r="D3" s="370"/>
      <c r="E3" s="370"/>
      <c r="F3" s="371"/>
      <c r="G3" s="2"/>
      <c r="H3" s="2"/>
      <c r="I3" s="2"/>
      <c r="J3" s="2"/>
    </row>
    <row r="4" spans="1:10" ht="15" customHeight="1">
      <c r="B4" s="362" t="s">
        <v>136</v>
      </c>
      <c r="C4" s="363"/>
      <c r="D4" s="4"/>
      <c r="E4" s="362" t="s">
        <v>145</v>
      </c>
      <c r="F4" s="363"/>
    </row>
    <row r="5" spans="1:10" ht="15" customHeight="1">
      <c r="B5" s="194" t="s">
        <v>124</v>
      </c>
      <c r="C5" s="28" t="e">
        <f>VLOOKUP(Input!$C$11,'2020Data'!$A$1:$DX$83,1)</f>
        <v>#N/A</v>
      </c>
      <c r="D5" s="216"/>
      <c r="E5" s="5" t="s">
        <v>146</v>
      </c>
      <c r="F5" s="6" t="e">
        <f>VLOOKUP(Input!$C$11,'2020Data'!$A$1:$DX$83,52,0)</f>
        <v>#N/A</v>
      </c>
    </row>
    <row r="6" spans="1:10" ht="15">
      <c r="B6" s="194" t="s">
        <v>125</v>
      </c>
      <c r="C6" s="28" t="e">
        <f>VLOOKUP(Input!$C$11,'2020Data'!$A$1:$DX$85,123,0)</f>
        <v>#N/A</v>
      </c>
      <c r="D6" s="216"/>
      <c r="E6" s="5" t="s">
        <v>178</v>
      </c>
      <c r="F6" s="6" t="e">
        <f>VLOOKUP(Input!$C$11,'2020Data'!$A$1:$DX$83,54,0)</f>
        <v>#N/A</v>
      </c>
    </row>
    <row r="7" spans="1:10" ht="15" customHeight="1">
      <c r="B7" s="194" t="s">
        <v>134</v>
      </c>
      <c r="C7" s="28" t="e">
        <f>VLOOKUP(Input!$C$11,'2020Data'!$A$1:$DX$85,119,0)</f>
        <v>#N/A</v>
      </c>
      <c r="D7" s="216"/>
      <c r="E7" s="5" t="s">
        <v>179</v>
      </c>
      <c r="F7" s="6" t="e">
        <f>VLOOKUP(Input!$C$11,'2020Data'!$A$1:$DX$83,56,0)</f>
        <v>#N/A</v>
      </c>
    </row>
    <row r="8" spans="1:10" ht="15" customHeight="1">
      <c r="B8" s="194" t="s">
        <v>168</v>
      </c>
      <c r="C8" s="31" t="e">
        <f>VLOOKUP(Input!$C$11,'2020Data'!$A$1:$DX$83,3)</f>
        <v>#N/A</v>
      </c>
      <c r="D8" s="216"/>
      <c r="E8" s="5" t="s">
        <v>147</v>
      </c>
      <c r="F8" s="6" t="e">
        <f>VLOOKUP(Input!$C$11,'2020Data'!$A$1:$DX$83,58,0)</f>
        <v>#N/A</v>
      </c>
    </row>
    <row r="9" spans="1:10" ht="15" customHeight="1">
      <c r="B9" s="194" t="s">
        <v>169</v>
      </c>
      <c r="C9" s="9" t="e">
        <f>VLOOKUP(Input!$C$11,'2020Data'!$A$1:$DX$83,4,0)</f>
        <v>#N/A</v>
      </c>
      <c r="D9" s="216"/>
      <c r="E9" s="5" t="s">
        <v>180</v>
      </c>
      <c r="F9" s="6" t="e">
        <f>VLOOKUP(Input!$C$11,'2020Data'!$A$1:$DX$83,55,0)</f>
        <v>#N/A</v>
      </c>
    </row>
    <row r="10" spans="1:10" ht="15" customHeight="1" thickBot="1">
      <c r="B10" s="195" t="s">
        <v>170</v>
      </c>
      <c r="C10" s="29" t="e">
        <f>VLOOKUP(Input!$C$11,'2020Data'!$A$1:$DX$83,5,0)</f>
        <v>#N/A</v>
      </c>
      <c r="D10" s="216"/>
      <c r="E10" s="5" t="s">
        <v>181</v>
      </c>
      <c r="F10" s="6" t="e">
        <f>VLOOKUP(Input!$C$11,'2020Data'!$A$1:$DX$83,57,0)</f>
        <v>#N/A</v>
      </c>
    </row>
    <row r="11" spans="1:10" ht="15" customHeight="1">
      <c r="B11" s="194"/>
      <c r="C11" s="216"/>
      <c r="D11" s="216"/>
      <c r="E11" s="5" t="s">
        <v>932</v>
      </c>
      <c r="F11" s="6" t="e">
        <f>VLOOKUP(Input!$C$11,'2020Data'!$A$1:$DX$83,59,0)</f>
        <v>#N/A</v>
      </c>
    </row>
    <row r="12" spans="1:10" ht="15" customHeight="1" thickBot="1">
      <c r="B12" s="194"/>
      <c r="C12" s="216"/>
      <c r="D12" s="216"/>
      <c r="E12" s="10" t="s">
        <v>182</v>
      </c>
      <c r="F12" s="7" t="e">
        <f>VLOOKUP(Input!$C$11,'2020Data'!$A$1:$DX$83,63,0)</f>
        <v>#N/A</v>
      </c>
    </row>
    <row r="13" spans="1:10" ht="15" customHeight="1">
      <c r="A13" s="216"/>
      <c r="B13" s="362" t="s">
        <v>137</v>
      </c>
      <c r="C13" s="363"/>
      <c r="D13" s="216"/>
      <c r="E13" s="5" t="s">
        <v>183</v>
      </c>
      <c r="F13" s="6" t="e">
        <f>VLOOKUP(Input!$C$11,'2020Data'!$A$1:$DX$83,65,0)</f>
        <v>#N/A</v>
      </c>
    </row>
    <row r="14" spans="1:10" ht="15" customHeight="1">
      <c r="B14" s="194" t="s">
        <v>138</v>
      </c>
      <c r="C14" s="11" t="e">
        <f>VLOOKUP(Input!$C$11,'2020Data'!$A$1:$DX$83,10,0)</f>
        <v>#N/A</v>
      </c>
      <c r="D14" s="216"/>
      <c r="E14" s="5" t="s">
        <v>159</v>
      </c>
      <c r="F14" s="8" t="e">
        <f>VLOOKUP(Input!$C$11,'2020Data'!$A$1:$DX$83,53,0)</f>
        <v>#N/A</v>
      </c>
    </row>
    <row r="15" spans="1:10" ht="15" customHeight="1" thickBot="1">
      <c r="B15" s="194" t="s">
        <v>139</v>
      </c>
      <c r="C15" s="11" t="e">
        <f>VLOOKUP(Input!$C$11,'2020Data'!$A$1:$DX$83,11,0)</f>
        <v>#N/A</v>
      </c>
      <c r="D15" s="216"/>
      <c r="E15" s="12" t="s">
        <v>104</v>
      </c>
      <c r="F15" s="25" t="e">
        <f>VLOOKUP(Input!$C$11,'2020Data'!$A$1:$DX$83,64,0)</f>
        <v>#N/A</v>
      </c>
    </row>
    <row r="16" spans="1:10" ht="15" customHeight="1" thickBot="1">
      <c r="B16" s="196" t="s">
        <v>140</v>
      </c>
      <c r="C16" s="11" t="e">
        <f>VLOOKUP(Input!$C$11,'2020Data'!$A$1:$DX$83,12,0)</f>
        <v>#N/A</v>
      </c>
      <c r="D16" s="216"/>
      <c r="E16" s="216"/>
      <c r="F16" s="9"/>
    </row>
    <row r="17" spans="2:6" ht="15" customHeight="1">
      <c r="B17" s="194" t="s">
        <v>171</v>
      </c>
      <c r="C17" s="11" t="e">
        <f>VLOOKUP(Input!$C$11,'2020Data'!$A$1:$DX$83,14,0)</f>
        <v>#N/A</v>
      </c>
      <c r="D17" s="216"/>
      <c r="E17" s="362" t="s">
        <v>148</v>
      </c>
      <c r="F17" s="363"/>
    </row>
    <row r="18" spans="2:6" ht="15" customHeight="1">
      <c r="B18" s="194" t="s">
        <v>172</v>
      </c>
      <c r="C18" s="11" t="e">
        <f>VLOOKUP(Input!$C$11,'2020Data'!$A$1:$DX$83,15,0)</f>
        <v>#N/A</v>
      </c>
      <c r="D18" s="216"/>
      <c r="E18" s="5" t="s">
        <v>1116</v>
      </c>
      <c r="F18" s="6" t="e">
        <f>VLOOKUP(Input!$C$11,'2020Data'!$A$1:$DX$83,68,0)</f>
        <v>#N/A</v>
      </c>
    </row>
    <row r="19" spans="2:6" ht="15" customHeight="1">
      <c r="B19" s="194" t="s">
        <v>173</v>
      </c>
      <c r="C19" s="11" t="e">
        <f>VLOOKUP(Input!$C$11,'2020Data'!$A$1:$DX$83,16,0)</f>
        <v>#N/A</v>
      </c>
      <c r="D19" s="216"/>
      <c r="E19" s="5" t="s">
        <v>1117</v>
      </c>
      <c r="F19" s="6" t="e">
        <f>VLOOKUP(Input!$C$11,'2020Data'!$A$1:$DX$83,70,0)</f>
        <v>#N/A</v>
      </c>
    </row>
    <row r="20" spans="2:6" ht="15" customHeight="1">
      <c r="B20" s="196" t="s">
        <v>141</v>
      </c>
      <c r="C20" s="11" t="e">
        <f>VLOOKUP(Input!$C$11,'2020Data'!$A$1:$DX$83,17,0)</f>
        <v>#N/A</v>
      </c>
      <c r="D20" s="216"/>
      <c r="E20" s="5" t="s">
        <v>1118</v>
      </c>
      <c r="F20" s="6" t="e">
        <f>VLOOKUP(Input!$C$11,'2020Data'!$A$1:$DX$83,71,0)</f>
        <v>#N/A</v>
      </c>
    </row>
    <row r="21" spans="2:6" ht="15" customHeight="1">
      <c r="B21" s="194" t="s">
        <v>142</v>
      </c>
      <c r="C21" s="11" t="e">
        <f>VLOOKUP(Input!$C$11,'2020Data'!$A$1:$DX$83,19,0)</f>
        <v>#N/A</v>
      </c>
      <c r="D21" s="216"/>
      <c r="E21" s="5" t="s">
        <v>1119</v>
      </c>
      <c r="F21" s="6" t="e">
        <f>VLOOKUP(Input!$C$11,'2020Data'!$A$1:$DX$83,72,0)</f>
        <v>#N/A</v>
      </c>
    </row>
    <row r="22" spans="2:6" ht="15" customHeight="1">
      <c r="B22" s="197" t="s">
        <v>156</v>
      </c>
      <c r="C22" s="22" t="e">
        <f>VLOOKUP(Input!$C$11,'2020Data'!$A$1:$DX$83,22,0)</f>
        <v>#N/A</v>
      </c>
      <c r="D22" s="216"/>
      <c r="E22" s="5" t="s">
        <v>184</v>
      </c>
      <c r="F22" s="6" t="e">
        <f>VLOOKUP(Input!$C$11,'2020Data'!$A$1:$DX$83,89,0)</f>
        <v>#N/A</v>
      </c>
    </row>
    <row r="23" spans="2:6" ht="15" customHeight="1">
      <c r="B23" s="194" t="s">
        <v>155</v>
      </c>
      <c r="C23" s="26" t="e">
        <f>VLOOKUP(Input!$C$11,'2020Data'!$A$1:$DX$83,13)</f>
        <v>#N/A</v>
      </c>
      <c r="D23" s="216"/>
      <c r="E23" s="5"/>
      <c r="F23" s="6"/>
    </row>
    <row r="24" spans="2:6" ht="15" customHeight="1">
      <c r="B24" s="194" t="s">
        <v>894</v>
      </c>
      <c r="C24" s="26" t="e">
        <f>VLOOKUP(Input!$C$11,'2020Data'!$A$1:$DX$83,25,0)</f>
        <v>#N/A</v>
      </c>
      <c r="D24" s="216"/>
      <c r="E24" s="5" t="s">
        <v>185</v>
      </c>
      <c r="F24" s="6" t="e">
        <f>VLOOKUP(Input!$C$11,'2020Data'!$A$1:$DX$83,66,0)</f>
        <v>#N/A</v>
      </c>
    </row>
    <row r="25" spans="2:6" ht="15" customHeight="1">
      <c r="B25" s="194" t="s">
        <v>895</v>
      </c>
      <c r="C25" s="26" t="e">
        <f>VLOOKUP(Input!$C$11,'2020Data'!$A$1:$DX$83,23,0)</f>
        <v>#N/A</v>
      </c>
      <c r="D25" s="216"/>
      <c r="E25" s="5" t="s">
        <v>186</v>
      </c>
      <c r="F25" s="6" t="e">
        <f>VLOOKUP(Input!$C$11,'2020Data'!$A$1:$DX$83,87,0)</f>
        <v>#N/A</v>
      </c>
    </row>
    <row r="26" spans="2:6" ht="15" customHeight="1">
      <c r="B26" s="194" t="s">
        <v>896</v>
      </c>
      <c r="C26" s="27" t="e">
        <f>VLOOKUP(Input!$C$11,'2020Data'!$A$1:$DX$83,24,0)</f>
        <v>#N/A</v>
      </c>
      <c r="D26" s="216"/>
      <c r="E26" s="5" t="s">
        <v>187</v>
      </c>
      <c r="F26" s="6" t="e">
        <f>VLOOKUP(Input!$C$11,'2020Data'!$A$1:$DX$83,81,0)</f>
        <v>#N/A</v>
      </c>
    </row>
    <row r="27" spans="2:6" ht="15.75" customHeight="1">
      <c r="B27" s="194" t="s">
        <v>897</v>
      </c>
      <c r="C27" s="27" t="e">
        <f>VLOOKUP(Input!$C$11,'2020Data'!$A$1:$DX$83,25,0)</f>
        <v>#N/A</v>
      </c>
      <c r="D27" s="216"/>
      <c r="E27" s="5" t="s">
        <v>188</v>
      </c>
      <c r="F27" s="6" t="e">
        <f>VLOOKUP(Input!$C$11,'2020Data'!$A$1:$DX$83,85,0)</f>
        <v>#N/A</v>
      </c>
    </row>
    <row r="28" spans="2:6" ht="27.75" customHeight="1">
      <c r="B28" s="194" t="s">
        <v>898</v>
      </c>
      <c r="C28" s="27" t="e">
        <f>VLOOKUP(Input!$C$11,'2020Data'!$A$1:$DX$83,26,0)</f>
        <v>#N/A</v>
      </c>
      <c r="D28" s="216"/>
      <c r="E28" s="5" t="s">
        <v>1162</v>
      </c>
      <c r="F28" s="8" t="e">
        <f>VLOOKUP(Input!$C$11,'2020Data'!$A$1:$DX$83,73,0)</f>
        <v>#N/A</v>
      </c>
    </row>
    <row r="29" spans="2:6" ht="15">
      <c r="B29" s="194" t="s">
        <v>135</v>
      </c>
      <c r="C29" s="11" t="e">
        <f>VLOOKUP(Input!$C$11,'2020Data'!$A$1:$DX$83,28,0)</f>
        <v>#N/A</v>
      </c>
      <c r="D29" s="216"/>
      <c r="E29" s="5" t="s">
        <v>1163</v>
      </c>
      <c r="F29" s="6" t="e">
        <f>VLOOKUP(Input!$C$11,'2020Data'!$A$1:$DX$83,74,0)</f>
        <v>#N/A</v>
      </c>
    </row>
    <row r="30" spans="2:6">
      <c r="B30" s="364" t="s">
        <v>157</v>
      </c>
      <c r="C30" s="365"/>
      <c r="D30" s="216"/>
      <c r="E30" s="5" t="s">
        <v>1164</v>
      </c>
      <c r="F30" s="8" t="e">
        <f>VLOOKUP(Input!$C$11,'2020Data'!$A$1:$DX$83,75,0)</f>
        <v>#N/A</v>
      </c>
    </row>
    <row r="31" spans="2:6" ht="15">
      <c r="B31" s="194" t="s">
        <v>1154</v>
      </c>
      <c r="C31" s="11" t="e">
        <f>VLOOKUP(Input!$C$11,'2020Data'!$A$1:$DX$83,29,0)</f>
        <v>#N/A</v>
      </c>
      <c r="D31" s="216"/>
      <c r="E31" s="5" t="s">
        <v>1165</v>
      </c>
      <c r="F31" s="8" t="e">
        <f>VLOOKUP(Input!$C$11,'2020Data'!$A$1:$DX$83,76,0)</f>
        <v>#N/A</v>
      </c>
    </row>
    <row r="32" spans="2:6" ht="15" customHeight="1">
      <c r="B32" s="194" t="s">
        <v>911</v>
      </c>
      <c r="C32" s="11" t="e">
        <f>VLOOKUP(Input!$C$11,'2020Data'!$A$1:$DX$83,30,0)</f>
        <v>#N/A</v>
      </c>
      <c r="D32" s="216"/>
      <c r="E32" s="5" t="s">
        <v>160</v>
      </c>
      <c r="F32" s="8" t="e">
        <f>VLOOKUP(Input!$C$11,'2020Data'!$A$1:$DX$83,77,0)</f>
        <v>#N/A</v>
      </c>
    </row>
    <row r="33" spans="1:7" ht="15" customHeight="1" thickBot="1">
      <c r="B33" s="195" t="s">
        <v>955</v>
      </c>
      <c r="C33" s="24" t="e">
        <f>VLOOKUP(Input!$C$11,'2020Data'!$A$1:$DX$83,31,0)</f>
        <v>#N/A</v>
      </c>
      <c r="D33" s="216"/>
      <c r="E33" s="5" t="s">
        <v>167</v>
      </c>
      <c r="F33" s="8" t="e">
        <f>VLOOKUP(Input!$C$11,'2020Data'!$A$1:$DX$83,67,0)</f>
        <v>#N/A</v>
      </c>
    </row>
    <row r="34" spans="1:7" ht="15" customHeight="1" thickBot="1">
      <c r="B34" s="194"/>
      <c r="C34" s="216"/>
      <c r="D34" s="216"/>
      <c r="E34" s="5" t="s">
        <v>161</v>
      </c>
      <c r="F34" s="8" t="e">
        <f>VLOOKUP(Input!$C$11,'2020Data'!$A$1:$DX$83,86,0)</f>
        <v>#N/A</v>
      </c>
    </row>
    <row r="35" spans="1:7" ht="15" customHeight="1" thickBot="1">
      <c r="B35" s="362" t="s">
        <v>143</v>
      </c>
      <c r="C35" s="363"/>
      <c r="D35" s="216"/>
      <c r="E35" s="12" t="s">
        <v>162</v>
      </c>
      <c r="F35" s="25" t="e">
        <f>VLOOKUP(Input!$C$11,'2020Data'!$A$1:$DX$83,88,0)</f>
        <v>#N/A</v>
      </c>
    </row>
    <row r="36" spans="1:7" ht="15" customHeight="1" thickBot="1">
      <c r="A36" s="216"/>
      <c r="B36" s="194" t="s">
        <v>124</v>
      </c>
      <c r="C36" s="11" t="e">
        <f>VLOOKUP(Input!$C$11,'2020Data'!$A$1:$DX$83,32,0)</f>
        <v>#N/A</v>
      </c>
      <c r="D36" s="216"/>
      <c r="E36" s="216"/>
      <c r="F36" s="217"/>
    </row>
    <row r="37" spans="1:7" ht="15" customHeight="1">
      <c r="B37" s="194" t="s">
        <v>125</v>
      </c>
      <c r="C37" s="11" t="e">
        <f>VLOOKUP(Input!$C$11,'2020Data'!$A$1:$DX$83,33,0)</f>
        <v>#N/A</v>
      </c>
      <c r="D37" s="216"/>
      <c r="E37" s="362" t="s">
        <v>150</v>
      </c>
      <c r="F37" s="363"/>
    </row>
    <row r="38" spans="1:7" ht="15" customHeight="1">
      <c r="B38" s="196" t="s">
        <v>956</v>
      </c>
      <c r="C38" s="11" t="e">
        <f>VLOOKUP(Input!$C$11,'2020Data'!$A$1:$DX$83,35,0)</f>
        <v>#N/A</v>
      </c>
      <c r="D38" s="216"/>
      <c r="E38" s="5" t="s">
        <v>149</v>
      </c>
      <c r="F38" s="8" t="e">
        <f>VLOOKUP(Input!$C$11,'2020Data'!$A$1:$DX$83,93,0)</f>
        <v>#N/A</v>
      </c>
      <c r="G38" s="216"/>
    </row>
    <row r="39" spans="1:7" ht="15" customHeight="1">
      <c r="B39" s="194" t="s">
        <v>174</v>
      </c>
      <c r="C39" s="11" t="e">
        <f>VLOOKUP(Input!$C$11,'2020Data'!$A$1:$DX$83,39,0)</f>
        <v>#N/A</v>
      </c>
      <c r="D39" s="216"/>
      <c r="E39" s="5" t="s">
        <v>189</v>
      </c>
      <c r="F39" s="8" t="e">
        <f>VLOOKUP(Input!$C$11,'2020Data'!$A$1:$DX$83,95,0)</f>
        <v>#N/A</v>
      </c>
    </row>
    <row r="40" spans="1:7" ht="15" customHeight="1">
      <c r="B40" s="194" t="s">
        <v>928</v>
      </c>
      <c r="C40" s="11" t="e">
        <f>VLOOKUP(Input!$C$11,'2020Data'!$A$1:$DX$83,38,0)</f>
        <v>#N/A</v>
      </c>
      <c r="D40" s="216"/>
      <c r="E40" s="5" t="s">
        <v>190</v>
      </c>
      <c r="F40" s="8" t="e">
        <f>VLOOKUP(Input!$C$11,'2020Data'!$A$1:$DX$83,96,0)</f>
        <v>#N/A</v>
      </c>
    </row>
    <row r="41" spans="1:7" ht="15" customHeight="1">
      <c r="B41" s="194" t="s">
        <v>175</v>
      </c>
      <c r="C41" s="11" t="e">
        <f>VLOOKUP(Input!$C$11,'2020Data'!$A$1:$DX$83,37,0)</f>
        <v>#N/A</v>
      </c>
      <c r="D41" s="216"/>
      <c r="E41" s="5" t="s">
        <v>191</v>
      </c>
      <c r="F41" s="8" t="e">
        <f>VLOOKUP(Input!$C$11,'2020Data'!$A$1:$DX$83,97,0)</f>
        <v>#N/A</v>
      </c>
    </row>
    <row r="42" spans="1:7" ht="15" customHeight="1">
      <c r="B42" s="194" t="s">
        <v>176</v>
      </c>
      <c r="C42" s="11" t="e">
        <f>VLOOKUP(Input!$C$11,'2020Data'!$A$1:$DX$83,40,0)</f>
        <v>#N/A</v>
      </c>
      <c r="D42" s="216"/>
      <c r="E42" s="5" t="s">
        <v>1120</v>
      </c>
      <c r="F42" s="11" t="e">
        <f>VLOOKUP(Input!$C$11,'2020Data'!$A$1:$DX$83,100,0)</f>
        <v>#N/A</v>
      </c>
    </row>
    <row r="43" spans="1:7" ht="15" customHeight="1">
      <c r="B43" s="197" t="s">
        <v>144</v>
      </c>
      <c r="C43" s="22" t="e">
        <f>VLOOKUP(Input!$C$11,'2020Data'!$A$1:$DX$83,42,0)</f>
        <v>#N/A</v>
      </c>
      <c r="D43" s="216"/>
      <c r="E43" s="5" t="s">
        <v>931</v>
      </c>
      <c r="F43" s="6" t="e">
        <f>VLOOKUP(Input!$C$11,'2020Data'!$A$1:$DX$83,99,0)</f>
        <v>#N/A</v>
      </c>
    </row>
    <row r="44" spans="1:7" ht="15" customHeight="1">
      <c r="B44" s="194" t="s">
        <v>912</v>
      </c>
      <c r="C44" s="23" t="e">
        <f>VLOOKUP(Input!$C$11,'2020Data'!$A$1:$DX$83,36)</f>
        <v>#N/A</v>
      </c>
      <c r="D44" s="216"/>
      <c r="E44" s="5" t="s">
        <v>192</v>
      </c>
      <c r="F44" s="8" t="e">
        <f>VLOOKUP(Input!$C$11,'2020Data'!$A$1:$DX$83,94,0)</f>
        <v>#N/A</v>
      </c>
    </row>
    <row r="45" spans="1:7" ht="15" customHeight="1" thickBot="1">
      <c r="B45" s="194" t="s">
        <v>158</v>
      </c>
      <c r="C45" s="23" t="e">
        <f>VLOOKUP(Input!$C$11,'2020Data'!$A$1:$DX$83,43)</f>
        <v>#N/A</v>
      </c>
      <c r="D45" s="216"/>
      <c r="E45" s="12" t="s">
        <v>193</v>
      </c>
      <c r="F45" s="18" t="e">
        <f>VLOOKUP(Input!$C$11,'2020Data'!$A$1:$DX$83,98,0)</f>
        <v>#N/A</v>
      </c>
    </row>
    <row r="46" spans="1:7" ht="15" customHeight="1">
      <c r="B46" s="364" t="s">
        <v>163</v>
      </c>
      <c r="C46" s="365"/>
      <c r="D46" s="216"/>
      <c r="E46" s="231"/>
      <c r="F46" s="232"/>
    </row>
    <row r="47" spans="1:7" ht="15" customHeight="1" thickBot="1">
      <c r="B47" s="195" t="s">
        <v>154</v>
      </c>
      <c r="C47" s="24" t="e">
        <f>VLOOKUP(Input!$C$11,'2020Data'!$A$1:$DX$83,51,0)</f>
        <v>#N/A</v>
      </c>
      <c r="D47" s="216"/>
      <c r="E47" s="12"/>
      <c r="F47" s="29"/>
    </row>
    <row r="48" spans="1:7" ht="15" customHeight="1">
      <c r="B48" s="194"/>
      <c r="C48" s="216"/>
      <c r="D48" s="216"/>
      <c r="E48" s="362" t="s">
        <v>954</v>
      </c>
      <c r="F48" s="363"/>
    </row>
    <row r="49" spans="1:6" ht="15" customHeight="1" thickBot="1">
      <c r="B49" s="194"/>
      <c r="C49" s="216"/>
      <c r="D49" s="216"/>
      <c r="E49" s="5" t="s">
        <v>194</v>
      </c>
      <c r="F49" s="6" t="e">
        <f>VLOOKUP(Input!$C$11,'2020Data'!$A$1:$DX$83,104,0)</f>
        <v>#N/A</v>
      </c>
    </row>
    <row r="50" spans="1:6" ht="15" customHeight="1" thickBot="1">
      <c r="B50" s="362" t="s">
        <v>153</v>
      </c>
      <c r="C50" s="363"/>
      <c r="D50" s="216"/>
      <c r="E50" s="12" t="s">
        <v>195</v>
      </c>
      <c r="F50" s="18" t="e">
        <f>VLOOKUP(Input!$C$11,'2020Data'!$A$1:$DX$83,105,0)</f>
        <v>#N/A</v>
      </c>
    </row>
    <row r="51" spans="1:6" ht="15" customHeight="1" thickBot="1">
      <c r="B51" s="194" t="s">
        <v>1171</v>
      </c>
      <c r="C51" s="19" t="e">
        <f>VLOOKUP(Input!$C$11,'2020Data'!$A$1:$DX$83,6,0)</f>
        <v>#N/A</v>
      </c>
      <c r="D51" s="216"/>
      <c r="E51" s="216"/>
      <c r="F51" s="9"/>
    </row>
    <row r="52" spans="1:6" ht="15" customHeight="1">
      <c r="A52" s="216"/>
      <c r="B52" s="194" t="s">
        <v>177</v>
      </c>
      <c r="C52" s="20" t="e">
        <f>VLOOKUP(Input!$C$11,'2020Data'!$A$1:$DX$83,9,0)</f>
        <v>#N/A</v>
      </c>
      <c r="D52" s="216"/>
      <c r="E52" s="362" t="s">
        <v>151</v>
      </c>
      <c r="F52" s="363"/>
    </row>
    <row r="53" spans="1:6" ht="15" customHeight="1" thickBot="1">
      <c r="B53" s="195" t="s">
        <v>1172</v>
      </c>
      <c r="C53" s="21" t="e">
        <f>VLOOKUP(Input!$C$11,'2020Data'!$A$1:$DX$83,110,0)</f>
        <v>#N/A</v>
      </c>
      <c r="D53" s="216"/>
      <c r="E53" s="5" t="s">
        <v>196</v>
      </c>
      <c r="F53" s="6" t="e">
        <f>VLOOKUP(Input!$C$11,'2020Data'!$A$1:$DX$83,106)</f>
        <v>#N/A</v>
      </c>
    </row>
    <row r="54" spans="1:6" ht="15" customHeight="1">
      <c r="D54" s="216"/>
      <c r="E54" s="5" t="s">
        <v>197</v>
      </c>
      <c r="F54" s="6" t="e">
        <f>VLOOKUP(Input!$C$11,'2020Data'!$A$1:$DX$83,107)</f>
        <v>#N/A</v>
      </c>
    </row>
    <row r="55" spans="1:6" ht="15" customHeight="1">
      <c r="D55" s="216"/>
      <c r="E55" s="5" t="s">
        <v>152</v>
      </c>
      <c r="F55" s="30" t="e">
        <f>VLOOKUP(Input!$C$11,'2020Data'!$A$1:$DX$83,108)</f>
        <v>#N/A</v>
      </c>
    </row>
    <row r="56" spans="1:6" ht="15" customHeight="1" thickBot="1">
      <c r="D56" s="216"/>
      <c r="E56" s="12" t="s">
        <v>198</v>
      </c>
      <c r="F56" s="18" t="e">
        <f>VLOOKUP(Input!$C$11,'2020Data'!$A$1:$DX$83,109)</f>
        <v>#N/A</v>
      </c>
    </row>
    <row r="57" spans="1:6" ht="15" customHeight="1">
      <c r="D57" s="216"/>
    </row>
    <row r="58" spans="1:6" ht="15" customHeight="1">
      <c r="D58" s="216"/>
    </row>
  </sheetData>
  <mergeCells count="13">
    <mergeCell ref="B2:F2"/>
    <mergeCell ref="B3:F3"/>
    <mergeCell ref="B4:C4"/>
    <mergeCell ref="E4:F4"/>
    <mergeCell ref="B13:C13"/>
    <mergeCell ref="E52:F52"/>
    <mergeCell ref="E17:F17"/>
    <mergeCell ref="B35:C35"/>
    <mergeCell ref="E37:F37"/>
    <mergeCell ref="B50:C50"/>
    <mergeCell ref="E48:F48"/>
    <mergeCell ref="B30:C30"/>
    <mergeCell ref="B46:C46"/>
  </mergeCells>
  <printOptions horizontalCentered="1"/>
  <pageMargins left="0.37187500000000001" right="0.37187500000000001" top="0.92" bottom="0.25" header="0.28000000000000003" footer="0.3"/>
  <pageSetup scale="70" orientation="portrait" r:id="rId1"/>
  <headerFooter>
    <oddFooter>&amp;L&amp;"Arial,Regular"&amp;10Information reported in 2018 Texas Public Libraries Annual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5:T227"/>
  <sheetViews>
    <sheetView showRuler="0" topLeftCell="A9" zoomScaleNormal="100" zoomScaleSheetLayoutView="50" workbookViewId="0">
      <selection activeCell="B6" sqref="B6:O6"/>
    </sheetView>
  </sheetViews>
  <sheetFormatPr baseColWidth="10" defaultColWidth="9" defaultRowHeight="19"/>
  <cols>
    <col min="1" max="1" width="3" style="279" customWidth="1"/>
    <col min="2" max="2" width="9" style="280"/>
    <col min="3" max="6" width="9" style="279"/>
    <col min="7" max="7" width="9" style="288"/>
    <col min="8" max="8" width="9" style="289"/>
    <col min="9" max="9" width="9" style="288"/>
    <col min="10" max="16384" width="9" style="279"/>
  </cols>
  <sheetData>
    <row r="5" spans="1:20" s="278" customFormat="1" ht="22">
      <c r="B5" s="373" t="s">
        <v>1263</v>
      </c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T5" s="279"/>
    </row>
    <row r="6" spans="1:20" s="278" customFormat="1" ht="31">
      <c r="B6" s="374" t="e">
        <f>VLOOKUP(Input!$C$11,'2020Data'!$A$2:$DZ$83,122,0)</f>
        <v>#N/A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T6" s="279"/>
    </row>
    <row r="7" spans="1:20" s="278" customFormat="1" ht="20" customHeight="1">
      <c r="A7" s="279"/>
      <c r="B7" s="280"/>
      <c r="C7" s="281"/>
      <c r="D7" s="281"/>
      <c r="E7" s="281"/>
      <c r="F7" s="281"/>
      <c r="G7" s="282"/>
      <c r="H7" s="283"/>
      <c r="I7" s="282"/>
      <c r="J7" s="281"/>
      <c r="K7" s="281"/>
      <c r="T7" s="279"/>
    </row>
    <row r="8" spans="1:20" s="278" customFormat="1" ht="20" customHeight="1">
      <c r="A8" s="279"/>
      <c r="B8" s="280"/>
      <c r="C8" s="281"/>
      <c r="D8" s="281"/>
      <c r="E8" s="281"/>
      <c r="F8" s="281"/>
      <c r="G8" s="282"/>
      <c r="H8" s="283"/>
      <c r="I8" s="282"/>
      <c r="J8" s="281"/>
      <c r="K8" s="281"/>
      <c r="T8" s="279"/>
    </row>
    <row r="9" spans="1:20" s="278" customFormat="1" ht="20" customHeight="1">
      <c r="A9" s="279"/>
      <c r="B9" s="280"/>
      <c r="C9" s="281"/>
      <c r="D9" s="281"/>
      <c r="E9" s="281"/>
      <c r="F9" s="281"/>
      <c r="G9" s="282"/>
      <c r="H9" s="283"/>
      <c r="I9" s="282"/>
      <c r="J9" s="281"/>
      <c r="K9" s="281"/>
      <c r="T9" s="279"/>
    </row>
    <row r="10" spans="1:20" s="278" customFormat="1" ht="20" customHeight="1">
      <c r="A10" s="279"/>
      <c r="B10" s="280"/>
      <c r="C10" s="281"/>
      <c r="D10" s="281"/>
      <c r="E10" s="281"/>
      <c r="F10" s="281"/>
      <c r="G10" s="282"/>
      <c r="H10" s="283"/>
      <c r="I10" s="282"/>
      <c r="J10" s="281"/>
      <c r="K10" s="281"/>
      <c r="T10" s="279"/>
    </row>
    <row r="11" spans="1:20" s="278" customFormat="1" ht="20" customHeight="1">
      <c r="A11" s="279"/>
      <c r="B11" s="280"/>
      <c r="C11" s="281"/>
      <c r="D11" s="281"/>
      <c r="E11" s="281"/>
      <c r="F11" s="281"/>
      <c r="G11" s="282"/>
      <c r="H11" s="283"/>
      <c r="I11" s="282"/>
      <c r="J11" s="281"/>
      <c r="K11" s="281"/>
      <c r="T11" s="279"/>
    </row>
    <row r="12" spans="1:20" s="278" customFormat="1" ht="20" customHeight="1">
      <c r="A12" s="279"/>
      <c r="B12" s="280"/>
      <c r="C12" s="281"/>
      <c r="D12" s="281"/>
      <c r="E12" s="281"/>
      <c r="F12" s="281"/>
      <c r="G12" s="282"/>
      <c r="H12" s="283"/>
      <c r="I12" s="282"/>
      <c r="J12" s="281"/>
      <c r="K12" s="281"/>
      <c r="T12" s="279"/>
    </row>
    <row r="13" spans="1:20" s="285" customFormat="1" ht="25.5" customHeight="1">
      <c r="A13" s="279"/>
      <c r="B13" s="280"/>
      <c r="C13" s="281"/>
      <c r="D13" s="284"/>
      <c r="E13" s="284"/>
      <c r="F13" s="284"/>
      <c r="G13" s="282"/>
      <c r="H13" s="283"/>
      <c r="I13" s="282"/>
      <c r="J13" s="284"/>
      <c r="K13" s="284"/>
      <c r="L13" s="278"/>
      <c r="M13" s="278"/>
      <c r="N13" s="278"/>
      <c r="O13" s="278"/>
    </row>
    <row r="14" spans="1:20" s="285" customFormat="1" ht="16.5" customHeight="1">
      <c r="A14" s="279"/>
      <c r="B14" s="280"/>
      <c r="C14" s="281"/>
      <c r="D14" s="294"/>
      <c r="E14" s="284"/>
      <c r="F14" s="284"/>
      <c r="G14" s="282"/>
      <c r="H14" s="295"/>
      <c r="I14" s="282"/>
      <c r="J14" s="284"/>
      <c r="K14" s="284"/>
      <c r="L14" s="278"/>
      <c r="M14" s="278"/>
      <c r="N14" s="278"/>
      <c r="O14" s="278"/>
    </row>
    <row r="15" spans="1:20" s="286" customFormat="1" ht="43.25" customHeight="1">
      <c r="B15" s="380" t="s">
        <v>199</v>
      </c>
      <c r="C15" s="380"/>
      <c r="D15" s="375" t="s">
        <v>2</v>
      </c>
      <c r="E15" s="376"/>
      <c r="F15" s="375" t="s">
        <v>131</v>
      </c>
      <c r="G15" s="376"/>
      <c r="H15" s="375" t="s">
        <v>3</v>
      </c>
      <c r="I15" s="376"/>
      <c r="J15" s="377" t="s">
        <v>933</v>
      </c>
      <c r="K15" s="378"/>
      <c r="L15" s="379"/>
      <c r="M15" s="296"/>
    </row>
    <row r="16" spans="1:20" ht="8" customHeight="1">
      <c r="J16" s="297"/>
    </row>
    <row r="17" spans="2:17" ht="8" customHeight="1">
      <c r="J17" s="297"/>
    </row>
    <row r="18" spans="2:17" ht="8" customHeight="1">
      <c r="J18" s="297"/>
    </row>
    <row r="19" spans="2:17" ht="8" customHeight="1">
      <c r="J19" s="297"/>
    </row>
    <row r="20" spans="2:17" ht="25.5" customHeight="1">
      <c r="B20" s="381" t="s">
        <v>1</v>
      </c>
      <c r="C20" s="381"/>
      <c r="D20" s="381"/>
      <c r="E20" s="323"/>
      <c r="F20" s="320"/>
      <c r="G20" s="321"/>
      <c r="H20" s="322"/>
      <c r="I20" s="321"/>
      <c r="J20" s="320"/>
      <c r="K20" s="320"/>
      <c r="L20" s="320"/>
      <c r="M20" s="320"/>
      <c r="N20" s="320"/>
      <c r="O20" s="320"/>
    </row>
    <row r="21" spans="2:17" ht="20" customHeight="1">
      <c r="B21" s="290"/>
    </row>
    <row r="22" spans="2:17" ht="18" customHeight="1">
      <c r="B22" s="290"/>
      <c r="Q22" s="279" t="s">
        <v>132</v>
      </c>
    </row>
    <row r="23" spans="2:17" ht="18" customHeight="1">
      <c r="B23" s="290"/>
    </row>
    <row r="24" spans="2:17" ht="18" customHeight="1">
      <c r="B24" s="290"/>
    </row>
    <row r="25" spans="2:17" ht="18" customHeight="1">
      <c r="B25" s="290"/>
      <c r="Q25" s="279" t="s">
        <v>132</v>
      </c>
    </row>
    <row r="26" spans="2:17" ht="18" customHeight="1">
      <c r="B26" s="290"/>
    </row>
    <row r="27" spans="2:17" ht="18" customHeight="1">
      <c r="B27" s="290"/>
    </row>
    <row r="28" spans="2:17" ht="18" customHeight="1">
      <c r="B28" s="290"/>
    </row>
    <row r="29" spans="2:17" ht="18" customHeight="1"/>
    <row r="30" spans="2:17" ht="18" customHeight="1"/>
    <row r="31" spans="2:17" ht="18" customHeight="1"/>
    <row r="32" spans="2:1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spans="8:8" ht="18" customHeight="1"/>
    <row r="50" spans="8:8" ht="18" customHeight="1"/>
    <row r="51" spans="8:8" ht="18" customHeight="1"/>
    <row r="52" spans="8:8" ht="18" customHeight="1"/>
    <row r="53" spans="8:8" ht="18" customHeight="1"/>
    <row r="54" spans="8:8" ht="18" customHeight="1"/>
    <row r="55" spans="8:8" ht="18" customHeight="1"/>
    <row r="56" spans="8:8" ht="18" customHeight="1"/>
    <row r="57" spans="8:8" ht="18" customHeight="1"/>
    <row r="58" spans="8:8" ht="18" customHeight="1"/>
    <row r="59" spans="8:8" ht="18" customHeight="1"/>
    <row r="60" spans="8:8" ht="18" customHeight="1"/>
    <row r="61" spans="8:8" ht="18" customHeight="1">
      <c r="H61" s="291" t="s">
        <v>164</v>
      </c>
    </row>
    <row r="62" spans="8:8" ht="18" customHeight="1"/>
    <row r="63" spans="8:8" ht="18" customHeight="1"/>
    <row r="64" spans="8:8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spans="2:14" ht="18" customHeight="1"/>
    <row r="82" spans="2:14" ht="18" customHeight="1"/>
    <row r="83" spans="2:14" ht="18" customHeight="1"/>
    <row r="84" spans="2:14" ht="18" customHeight="1"/>
    <row r="85" spans="2:14" ht="18" customHeight="1"/>
    <row r="86" spans="2:14" ht="18" customHeight="1"/>
    <row r="87" spans="2:14" ht="18" customHeight="1"/>
    <row r="88" spans="2:14" ht="18" customHeight="1"/>
    <row r="89" spans="2:14" ht="18" customHeight="1"/>
    <row r="90" spans="2:14" ht="18" customHeight="1"/>
    <row r="91" spans="2:14" ht="18" customHeight="1">
      <c r="H91" s="291" t="s">
        <v>164</v>
      </c>
    </row>
    <row r="92" spans="2:14" ht="18" customHeight="1"/>
    <row r="93" spans="2:14" ht="18" customHeight="1"/>
    <row r="94" spans="2:14" ht="21.75" customHeight="1">
      <c r="B94" s="382" t="s">
        <v>2</v>
      </c>
      <c r="C94" s="382"/>
      <c r="D94" s="382"/>
      <c r="E94" s="323"/>
      <c r="F94" s="323"/>
      <c r="G94" s="324"/>
      <c r="H94" s="325"/>
      <c r="I94" s="324"/>
      <c r="J94" s="323"/>
      <c r="K94" s="323"/>
      <c r="L94" s="323"/>
      <c r="M94" s="323"/>
      <c r="N94" s="323"/>
    </row>
    <row r="95" spans="2:14" ht="18" customHeight="1">
      <c r="B95" s="298"/>
      <c r="C95" s="298"/>
      <c r="D95" s="298"/>
    </row>
    <row r="96" spans="2:14" ht="18" customHeight="1"/>
    <row r="97" spans="2:14" ht="18" customHeight="1">
      <c r="B97" s="279"/>
    </row>
    <row r="98" spans="2:14" ht="18" customHeight="1"/>
    <row r="99" spans="2:14" ht="18" customHeight="1"/>
    <row r="100" spans="2:14" ht="18" customHeight="1"/>
    <row r="101" spans="2:14" ht="18" customHeight="1"/>
    <row r="104" spans="2:14">
      <c r="B104" s="292"/>
    </row>
    <row r="109" spans="2:14">
      <c r="H109" s="291" t="s">
        <v>164</v>
      </c>
    </row>
    <row r="110" spans="2:14">
      <c r="H110" s="291"/>
    </row>
    <row r="111" spans="2:14" ht="24.75" customHeight="1">
      <c r="B111" s="382" t="s">
        <v>131</v>
      </c>
      <c r="C111" s="382"/>
      <c r="D111" s="382"/>
      <c r="E111" s="323"/>
      <c r="F111" s="323"/>
      <c r="G111" s="324"/>
      <c r="H111" s="323"/>
      <c r="I111" s="324"/>
      <c r="J111" s="323"/>
      <c r="K111" s="323"/>
      <c r="L111" s="323"/>
      <c r="M111" s="323"/>
      <c r="N111" s="323"/>
    </row>
    <row r="112" spans="2:14" ht="21">
      <c r="B112" s="298"/>
      <c r="C112" s="298"/>
      <c r="D112" s="298"/>
      <c r="H112" s="291"/>
    </row>
    <row r="113" spans="2:14" ht="15">
      <c r="B113" s="279"/>
    </row>
    <row r="118" spans="2:14">
      <c r="H118" s="293"/>
    </row>
    <row r="120" spans="2:14">
      <c r="B120" s="292"/>
    </row>
    <row r="126" spans="2:14">
      <c r="H126" s="291" t="s">
        <v>164</v>
      </c>
    </row>
    <row r="127" spans="2:14" ht="26">
      <c r="B127" s="382" t="s">
        <v>3</v>
      </c>
      <c r="C127" s="382"/>
      <c r="D127" s="382"/>
      <c r="E127" s="323"/>
      <c r="F127" s="323"/>
      <c r="G127" s="324"/>
      <c r="H127" s="325"/>
      <c r="I127" s="324"/>
      <c r="J127" s="323"/>
      <c r="K127" s="323"/>
      <c r="L127" s="323"/>
      <c r="M127" s="323"/>
      <c r="N127" s="323"/>
    </row>
    <row r="128" spans="2:14" ht="21">
      <c r="B128" s="298"/>
      <c r="C128" s="298"/>
      <c r="D128" s="298"/>
    </row>
    <row r="129" spans="2:2" ht="15">
      <c r="B129" s="279"/>
    </row>
    <row r="130" spans="2:2" ht="15">
      <c r="B130" s="279"/>
    </row>
    <row r="150" spans="8:9">
      <c r="I150" s="288" t="s">
        <v>132</v>
      </c>
    </row>
    <row r="155" spans="8:9">
      <c r="H155" s="291" t="s">
        <v>164</v>
      </c>
    </row>
    <row r="169" spans="8:8">
      <c r="H169" s="291" t="s">
        <v>164</v>
      </c>
    </row>
    <row r="185" spans="2:14" ht="26">
      <c r="B185" s="372" t="s">
        <v>133</v>
      </c>
      <c r="C185" s="372"/>
      <c r="D185" s="372"/>
      <c r="E185" s="320"/>
      <c r="F185" s="320"/>
      <c r="G185" s="321"/>
      <c r="H185" s="322"/>
      <c r="I185" s="321"/>
      <c r="J185" s="320"/>
      <c r="K185" s="320"/>
      <c r="L185" s="320"/>
      <c r="M185" s="320"/>
      <c r="N185" s="320"/>
    </row>
    <row r="186" spans="2:14" ht="21">
      <c r="B186" s="299"/>
      <c r="C186" s="299"/>
      <c r="D186" s="299"/>
    </row>
    <row r="200" spans="2:2" ht="15">
      <c r="B200" s="279"/>
    </row>
    <row r="227" spans="8:8">
      <c r="H227" s="291" t="s">
        <v>164</v>
      </c>
    </row>
  </sheetData>
  <mergeCells count="12">
    <mergeCell ref="B185:D185"/>
    <mergeCell ref="B5:O5"/>
    <mergeCell ref="B6:O6"/>
    <mergeCell ref="D15:E15"/>
    <mergeCell ref="F15:G15"/>
    <mergeCell ref="H15:I15"/>
    <mergeCell ref="J15:L15"/>
    <mergeCell ref="B15:C15"/>
    <mergeCell ref="B20:D20"/>
    <mergeCell ref="B94:D94"/>
    <mergeCell ref="B111:D111"/>
    <mergeCell ref="B127:D127"/>
  </mergeCells>
  <hyperlinks>
    <hyperlink ref="D15" location="'2012 Charts'!B83" display="Collection " xr:uid="{00000000-0004-0000-0200-000000000000}"/>
    <hyperlink ref="F15" location="'2012 Charts'!B97" display="Revenue " xr:uid="{00000000-0004-0000-0200-000001000000}"/>
    <hyperlink ref="H15" location="'2012 Charts'!B114" display="Expenditure " xr:uid="{00000000-0004-0000-0200-000002000000}"/>
    <hyperlink ref="D15:E15" location="'2019 Individual Charts'!A94" display="Collection Charts" xr:uid="{00000000-0004-0000-0200-000003000000}"/>
    <hyperlink ref="F15:G15" location="'2019 Individual Charts'!A111" display="Revenue Charts" xr:uid="{00000000-0004-0000-0200-000004000000}"/>
    <hyperlink ref="H15:I15" location="'2019 Individual Charts'!A127" display="Expenditure Charts" xr:uid="{00000000-0004-0000-0200-000005000000}"/>
    <hyperlink ref="H109" location="'2019 Individual Charts'!A1" display="return to top" xr:uid="{00000000-0004-0000-0200-000006000000}"/>
    <hyperlink ref="H169" location="'2019 Individual Charts'!A1" display="return to top" xr:uid="{00000000-0004-0000-0200-000007000000}"/>
    <hyperlink ref="H227" location="'2019 Individual Charts'!A1" display="return to top" xr:uid="{00000000-0004-0000-0200-000008000000}"/>
    <hyperlink ref="J15:L15" location="'2019 Individual Charts'!A185" display="Other Measures Charts" xr:uid="{00000000-0004-0000-0200-00000A000000}"/>
    <hyperlink ref="H155" location="'2019 Individual Charts'!A1" display="return to top" xr:uid="{00000000-0004-0000-0200-00000B000000}"/>
    <hyperlink ref="H126" location="'2019 Individual Charts'!A1" display="return to top" xr:uid="{00000000-0004-0000-0200-00000C000000}"/>
    <hyperlink ref="H91" location="'2019 Individual Charts'!A1" display="return to top" xr:uid="{00000000-0004-0000-0200-00000D000000}"/>
    <hyperlink ref="H61" location="'2019 Individual Charts'!A1" display="return to top" xr:uid="{00000000-0004-0000-0200-00000E000000}"/>
  </hyperlinks>
  <printOptions horizontalCentered="1"/>
  <pageMargins left="0.2" right="0.2" top="0.38" bottom="0.37" header="0.24" footer="0.24"/>
  <pageSetup fitToWidth="0" fitToHeight="0" orientation="landscape" r:id="rId1"/>
  <headerFooter differentFirst="1">
    <oddFooter>&amp;R&amp;9&amp;F,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5:N331"/>
  <sheetViews>
    <sheetView showGridLines="0" showRuler="0" zoomScale="120" zoomScaleNormal="120" zoomScaleSheetLayoutView="100" workbookViewId="0">
      <selection activeCell="O6" sqref="O6"/>
    </sheetView>
  </sheetViews>
  <sheetFormatPr baseColWidth="10" defaultColWidth="9" defaultRowHeight="21"/>
  <cols>
    <col min="1" max="1" width="4.83203125" style="301" customWidth="1"/>
    <col min="2" max="2" width="11.6640625" style="314" customWidth="1"/>
    <col min="3" max="9" width="9" style="301"/>
    <col min="10" max="10" width="9" style="308"/>
    <col min="11" max="11" width="12.1640625" style="316" customWidth="1"/>
    <col min="12" max="16384" width="9" style="301"/>
  </cols>
  <sheetData>
    <row r="5" spans="1:14" ht="21" customHeight="1">
      <c r="A5" s="373" t="s">
        <v>1262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00"/>
    </row>
    <row r="6" spans="1:14" ht="33.75" customHeight="1">
      <c r="A6" s="383" t="e">
        <f>VLOOKUP(Input!C11,'2020Data'!$A$2:$DX$86,122,0)</f>
        <v>#N/A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00"/>
    </row>
    <row r="7" spans="1:14" ht="24">
      <c r="A7" s="302"/>
      <c r="B7" s="303"/>
      <c r="C7" s="304"/>
      <c r="D7" s="304"/>
      <c r="E7" s="304"/>
      <c r="F7" s="304"/>
      <c r="G7" s="304"/>
      <c r="H7" s="304"/>
      <c r="I7" s="304"/>
      <c r="J7" s="305"/>
      <c r="K7" s="306"/>
    </row>
    <row r="8" spans="1:14" ht="24">
      <c r="A8" s="302"/>
      <c r="B8" s="303"/>
      <c r="C8" s="304"/>
      <c r="D8" s="304"/>
      <c r="E8" s="304"/>
      <c r="F8" s="304"/>
      <c r="G8" s="304"/>
      <c r="H8" s="304"/>
      <c r="I8" s="304"/>
      <c r="J8" s="305"/>
      <c r="K8" s="306"/>
    </row>
    <row r="9" spans="1:14" ht="24">
      <c r="A9" s="302"/>
      <c r="B9" s="303"/>
      <c r="C9" s="304"/>
      <c r="D9" s="304"/>
      <c r="E9" s="304"/>
      <c r="F9" s="304"/>
      <c r="G9" s="304"/>
      <c r="H9" s="304"/>
      <c r="I9" s="304"/>
      <c r="J9" s="305"/>
      <c r="K9" s="306"/>
    </row>
    <row r="10" spans="1:14" ht="24">
      <c r="A10" s="302"/>
      <c r="B10" s="303"/>
      <c r="C10" s="304"/>
      <c r="D10" s="304"/>
      <c r="E10" s="304"/>
      <c r="F10" s="304"/>
      <c r="G10" s="304"/>
      <c r="H10" s="304"/>
      <c r="I10" s="304"/>
      <c r="J10" s="305"/>
      <c r="K10" s="306"/>
    </row>
    <row r="11" spans="1:14" ht="24">
      <c r="A11" s="302"/>
      <c r="B11" s="303"/>
      <c r="C11" s="304"/>
      <c r="D11" s="304"/>
      <c r="E11" s="304"/>
      <c r="F11" s="304"/>
      <c r="G11" s="304"/>
      <c r="H11" s="304"/>
      <c r="I11" s="304"/>
      <c r="J11" s="305"/>
      <c r="K11" s="306"/>
    </row>
    <row r="12" spans="1:14" s="302" customFormat="1" ht="24">
      <c r="B12" s="303"/>
      <c r="C12" s="304"/>
      <c r="D12" s="304"/>
      <c r="E12" s="304"/>
      <c r="F12" s="304"/>
      <c r="G12" s="304"/>
      <c r="H12" s="304"/>
      <c r="I12" s="304"/>
      <c r="J12" s="305"/>
      <c r="K12" s="306"/>
    </row>
    <row r="13" spans="1:14" s="307" customFormat="1" ht="16">
      <c r="D13" s="301"/>
      <c r="F13" s="301"/>
      <c r="H13" s="301"/>
      <c r="J13" s="308"/>
      <c r="K13" s="309"/>
      <c r="L13" s="301"/>
      <c r="M13" s="301"/>
      <c r="N13" s="310"/>
    </row>
    <row r="14" spans="1:14" s="307" customFormat="1" ht="16">
      <c r="D14" s="301"/>
      <c r="F14" s="301"/>
      <c r="H14" s="301"/>
      <c r="J14" s="308"/>
      <c r="K14" s="309"/>
      <c r="L14" s="301"/>
      <c r="M14" s="301"/>
      <c r="N14" s="310"/>
    </row>
    <row r="15" spans="1:14" s="286" customFormat="1" ht="48.5" customHeight="1">
      <c r="A15" s="380" t="s">
        <v>199</v>
      </c>
      <c r="B15" s="380"/>
      <c r="C15" s="387" t="s">
        <v>2</v>
      </c>
      <c r="D15" s="387"/>
      <c r="E15" s="387" t="s">
        <v>131</v>
      </c>
      <c r="F15" s="387"/>
      <c r="G15" s="387" t="s">
        <v>3</v>
      </c>
      <c r="H15" s="387"/>
      <c r="I15" s="387" t="s">
        <v>933</v>
      </c>
      <c r="J15" s="387"/>
      <c r="K15" s="387"/>
      <c r="L15" s="287"/>
    </row>
    <row r="16" spans="1:14" s="290" customFormat="1">
      <c r="B16" s="302"/>
      <c r="C16" s="302"/>
      <c r="D16" s="311"/>
      <c r="E16" s="311"/>
      <c r="F16" s="302"/>
      <c r="G16" s="302"/>
      <c r="H16" s="389"/>
      <c r="I16" s="389"/>
      <c r="J16" s="389"/>
      <c r="K16" s="309"/>
    </row>
    <row r="17" spans="1:11" s="307" customFormat="1" ht="26">
      <c r="A17" s="290"/>
      <c r="B17" s="381" t="s">
        <v>1</v>
      </c>
      <c r="C17" s="381"/>
      <c r="D17" s="381"/>
      <c r="E17" s="326"/>
      <c r="F17" s="327"/>
      <c r="G17" s="327"/>
      <c r="H17" s="327"/>
      <c r="I17" s="327"/>
      <c r="J17" s="328"/>
      <c r="K17" s="329"/>
    </row>
    <row r="18" spans="1:11" s="307" customFormat="1" ht="17.25" customHeight="1">
      <c r="B18" s="302"/>
      <c r="J18" s="312"/>
      <c r="K18" s="309"/>
    </row>
    <row r="19" spans="1:11" s="313" customFormat="1" ht="18" customHeight="1">
      <c r="A19" s="307"/>
      <c r="B19" s="302"/>
      <c r="C19" s="307"/>
      <c r="D19" s="307"/>
      <c r="E19" s="307"/>
      <c r="F19" s="307"/>
      <c r="G19" s="307"/>
      <c r="H19" s="307"/>
      <c r="I19" s="307"/>
      <c r="J19" s="312"/>
      <c r="K19" s="309"/>
    </row>
    <row r="20" spans="1:11" ht="29">
      <c r="A20" s="313"/>
      <c r="B20" s="388"/>
      <c r="C20" s="388"/>
      <c r="D20" s="388"/>
      <c r="E20" s="388"/>
      <c r="F20" s="388"/>
      <c r="G20" s="388"/>
      <c r="H20" s="388"/>
      <c r="I20" s="388"/>
      <c r="J20" s="388"/>
      <c r="K20" s="388"/>
    </row>
    <row r="63" spans="11:11">
      <c r="K63" s="291" t="s">
        <v>164</v>
      </c>
    </row>
    <row r="67" spans="11:11">
      <c r="K67" s="315"/>
    </row>
    <row r="97" spans="11:11">
      <c r="K97" s="291" t="s">
        <v>164</v>
      </c>
    </row>
    <row r="118" spans="2:11" ht="15">
      <c r="B118" s="301"/>
    </row>
    <row r="120" spans="2:11">
      <c r="K120" s="291" t="s">
        <v>164</v>
      </c>
    </row>
    <row r="121" spans="2:11" ht="26">
      <c r="B121" s="381" t="s">
        <v>2</v>
      </c>
      <c r="C121" s="381"/>
      <c r="D121" s="381"/>
      <c r="E121" s="330"/>
      <c r="F121" s="330"/>
      <c r="G121" s="330"/>
      <c r="H121" s="330"/>
      <c r="I121" s="330"/>
      <c r="J121" s="331"/>
      <c r="K121" s="332"/>
    </row>
    <row r="123" spans="2:11" ht="15">
      <c r="B123" s="301"/>
    </row>
    <row r="142" spans="2:12" ht="15">
      <c r="B142" s="301"/>
      <c r="L142" s="317"/>
    </row>
    <row r="143" spans="2:12">
      <c r="K143" s="291" t="s">
        <v>164</v>
      </c>
    </row>
    <row r="144" spans="2:12" ht="26">
      <c r="B144" s="381" t="s">
        <v>131</v>
      </c>
      <c r="C144" s="381"/>
      <c r="D144" s="381"/>
      <c r="E144" s="330"/>
      <c r="F144" s="330"/>
      <c r="G144" s="330"/>
      <c r="H144" s="330"/>
      <c r="I144" s="330"/>
      <c r="J144" s="331"/>
      <c r="K144" s="332"/>
    </row>
    <row r="145" spans="2:2" ht="15">
      <c r="B145" s="301"/>
    </row>
    <row r="155" spans="2:2" ht="15">
      <c r="B155" s="301"/>
    </row>
    <row r="169" spans="2:11">
      <c r="K169" s="291" t="s">
        <v>164</v>
      </c>
    </row>
    <row r="171" spans="2:11" ht="26">
      <c r="B171" s="334" t="s">
        <v>3</v>
      </c>
      <c r="C171" s="333"/>
      <c r="D171" s="333"/>
      <c r="E171" s="330"/>
      <c r="F171" s="330"/>
      <c r="G171" s="330"/>
      <c r="H171" s="330"/>
      <c r="I171" s="330"/>
      <c r="J171" s="331"/>
      <c r="K171" s="330"/>
    </row>
    <row r="173" spans="2:11" ht="15">
      <c r="B173" s="301"/>
    </row>
    <row r="181" spans="2:2" ht="15">
      <c r="B181" s="301"/>
    </row>
    <row r="188" spans="2:2" ht="15">
      <c r="B188" s="301"/>
    </row>
    <row r="189" spans="2:2" ht="15">
      <c r="B189" s="301"/>
    </row>
    <row r="208" spans="11:11">
      <c r="K208" s="291" t="s">
        <v>164</v>
      </c>
    </row>
    <row r="241" spans="11:11">
      <c r="K241" s="291" t="s">
        <v>164</v>
      </c>
    </row>
    <row r="242" spans="11:11">
      <c r="K242" s="318"/>
    </row>
    <row r="243" spans="11:11">
      <c r="K243" s="318"/>
    </row>
    <row r="244" spans="11:11">
      <c r="K244" s="318"/>
    </row>
    <row r="245" spans="11:11">
      <c r="K245" s="318"/>
    </row>
    <row r="246" spans="11:11">
      <c r="K246" s="318"/>
    </row>
    <row r="247" spans="11:11">
      <c r="K247" s="318"/>
    </row>
    <row r="248" spans="11:11">
      <c r="K248" s="318"/>
    </row>
    <row r="249" spans="11:11">
      <c r="K249" s="318"/>
    </row>
    <row r="250" spans="11:11">
      <c r="K250" s="318"/>
    </row>
    <row r="251" spans="11:11">
      <c r="K251" s="318"/>
    </row>
    <row r="252" spans="11:11">
      <c r="K252" s="318"/>
    </row>
    <row r="253" spans="11:11">
      <c r="K253" s="318"/>
    </row>
    <row r="254" spans="11:11">
      <c r="K254" s="318"/>
    </row>
    <row r="255" spans="11:11">
      <c r="K255" s="318"/>
    </row>
    <row r="256" spans="11:11">
      <c r="K256" s="318"/>
    </row>
    <row r="257" spans="2:11">
      <c r="K257" s="318"/>
    </row>
    <row r="258" spans="2:11">
      <c r="K258" s="318"/>
    </row>
    <row r="259" spans="2:11">
      <c r="K259" s="318"/>
    </row>
    <row r="260" spans="2:11">
      <c r="K260" s="318"/>
    </row>
    <row r="261" spans="2:11">
      <c r="K261" s="318"/>
    </row>
    <row r="262" spans="2:11">
      <c r="K262" s="318"/>
    </row>
    <row r="263" spans="2:11">
      <c r="K263" s="318"/>
    </row>
    <row r="264" spans="2:11">
      <c r="K264" s="291" t="s">
        <v>164</v>
      </c>
    </row>
    <row r="265" spans="2:11">
      <c r="K265" s="318"/>
    </row>
    <row r="266" spans="2:11" ht="27">
      <c r="B266" s="385" t="s">
        <v>133</v>
      </c>
      <c r="C266" s="386"/>
      <c r="D266" s="386"/>
      <c r="E266" s="335"/>
      <c r="F266" s="335"/>
      <c r="G266" s="335"/>
      <c r="H266" s="335"/>
      <c r="I266" s="335"/>
      <c r="J266" s="336"/>
      <c r="K266" s="335"/>
    </row>
    <row r="271" spans="2:11" ht="15">
      <c r="B271" s="301"/>
      <c r="K271" s="315"/>
    </row>
    <row r="283" spans="2:2" ht="15">
      <c r="B283" s="301"/>
    </row>
    <row r="314" spans="1:11" s="319" customFormat="1" ht="29">
      <c r="A314" s="301"/>
      <c r="B314" s="314"/>
      <c r="C314" s="301"/>
      <c r="D314" s="301"/>
      <c r="E314" s="301"/>
      <c r="F314" s="301"/>
      <c r="G314" s="301"/>
      <c r="H314" s="301"/>
      <c r="I314" s="301"/>
      <c r="J314" s="308"/>
      <c r="K314" s="316"/>
    </row>
    <row r="315" spans="1:11" s="319" customFormat="1" ht="29">
      <c r="A315" s="301"/>
      <c r="B315" s="314"/>
      <c r="C315" s="301"/>
      <c r="D315" s="301"/>
      <c r="E315" s="301"/>
      <c r="F315" s="301"/>
      <c r="G315" s="301"/>
      <c r="H315" s="301"/>
      <c r="I315" s="301"/>
      <c r="J315" s="308"/>
      <c r="K315" s="316"/>
    </row>
    <row r="316" spans="1:11" ht="29">
      <c r="A316" s="319"/>
      <c r="C316" s="313"/>
      <c r="D316" s="313"/>
      <c r="E316" s="313"/>
      <c r="F316" s="313"/>
      <c r="G316" s="313"/>
      <c r="H316" s="313"/>
      <c r="I316" s="313"/>
      <c r="J316" s="312"/>
      <c r="K316" s="309"/>
    </row>
    <row r="319" spans="1:11">
      <c r="G319" s="301" t="s">
        <v>132</v>
      </c>
      <c r="K319" s="318"/>
    </row>
    <row r="331" spans="11:11">
      <c r="K331" s="291" t="s">
        <v>164</v>
      </c>
    </row>
  </sheetData>
  <mergeCells count="13">
    <mergeCell ref="A6:K6"/>
    <mergeCell ref="A5:K5"/>
    <mergeCell ref="B121:D121"/>
    <mergeCell ref="B144:D144"/>
    <mergeCell ref="B266:D266"/>
    <mergeCell ref="A15:B15"/>
    <mergeCell ref="I15:K15"/>
    <mergeCell ref="B20:K20"/>
    <mergeCell ref="H16:J16"/>
    <mergeCell ref="C15:D15"/>
    <mergeCell ref="E15:F15"/>
    <mergeCell ref="G15:H15"/>
    <mergeCell ref="B17:D17"/>
  </mergeCells>
  <hyperlinks>
    <hyperlink ref="C15" location="'2012 Comparison Charts'!B140" display="Collection " xr:uid="{00000000-0004-0000-0300-000000000000}"/>
    <hyperlink ref="E15" location="'2012 Comparison Charts'!B164" display="Revenue " xr:uid="{00000000-0004-0000-0300-000001000000}"/>
    <hyperlink ref="G15" location="'2012 Comparison Charts'!B200" display="Expenditure " xr:uid="{00000000-0004-0000-0300-000002000000}"/>
    <hyperlink ref="I15" location="'2012 Comparison Charts'!B282" display="Other Measures" xr:uid="{00000000-0004-0000-0300-000003000000}"/>
    <hyperlink ref="K120" location="'2019 Comparison Charts'!A1" tooltip="Top" display="return to top" xr:uid="{00000000-0004-0000-0300-000006000000}"/>
    <hyperlink ref="C15:D15" location="'2019 Comparison Charts'!A121" display="Collection Charts" xr:uid="{00000000-0004-0000-0300-00000B000000}"/>
    <hyperlink ref="E15:F15" location="'2019 Comparison Charts'!A144" display="Revenue Charts" xr:uid="{00000000-0004-0000-0300-00000C000000}"/>
    <hyperlink ref="G15:H15" location="'2019 Comparison Charts'!A171" display="Expenditure Charts" xr:uid="{00000000-0004-0000-0300-00000D000000}"/>
    <hyperlink ref="K169" location="'2019 Comparison Charts'!A1" tooltip="Top" display="return to top" xr:uid="{00000000-0004-0000-0300-00000E000000}"/>
    <hyperlink ref="I15:K15" location="'2019 Comparison Charts'!A266" display="Other Measures Charts" xr:uid="{00000000-0004-0000-0300-00000F000000}"/>
    <hyperlink ref="K208" location="'2019 Comparison Charts'!A1" tooltip="Top" display="return to top" xr:uid="{5CA31CBA-EC94-4C5B-A8B1-83313B5A3D7B}"/>
    <hyperlink ref="K241" location="'2019 Comparison Charts'!A1" tooltip="Top" display="return to top" xr:uid="{4E23C0CF-06AC-4AB6-A506-98DC0006EB70}"/>
    <hyperlink ref="K264" location="'2019 Comparison Charts'!A1" tooltip="Top" display="return to top" xr:uid="{D0BE4974-11CC-4948-8FFA-F18FA0482751}"/>
    <hyperlink ref="K331" location="'2019 Comparison Charts'!A1" tooltip="Top" display="return to top" xr:uid="{E295E1A7-4E9A-4A9C-A0D2-F5AE3CE9CA87}"/>
    <hyperlink ref="K63" location="'2017 Comparison Charts'!A1" tooltip="Top" display="return to top" xr:uid="{0F7CA973-6BDE-45E8-BC7A-51CE14B4214C}"/>
    <hyperlink ref="K97" location="'2019 Comparison Charts'!A1" tooltip="Top" display="return to top" xr:uid="{4DFE3B14-8344-4D98-8AB6-A89DFBBCDE0A}"/>
    <hyperlink ref="K143" location="'2019 Comparison Charts'!A1" tooltip="Top" display="return to top" xr:uid="{E5FFDD49-30A4-4826-9386-825C836A49EB}"/>
  </hyperlinks>
  <printOptions horizontalCentered="1"/>
  <pageMargins left="0.25" right="0.25" top="0.33" bottom="0.5" header="0.05" footer="0.3"/>
  <pageSetup orientation="portrait" r:id="rId1"/>
  <headerFooter differentFirst="1">
    <oddFooter>&amp;R&amp;9Texas State Library and Archives Commission, Page &amp;P</oddFooter>
  </headerFooter>
  <rowBreaks count="4" manualBreakCount="4">
    <brk id="96" max="10" man="1"/>
    <brk id="119" max="10" man="1"/>
    <brk id="143" max="10" man="1"/>
    <brk id="170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B118"/>
  <sheetViews>
    <sheetView zoomScaleNormal="100" workbookViewId="0">
      <pane xSplit="2" ySplit="1" topLeftCell="C100" activePane="bottomRight" state="frozen"/>
      <selection pane="topRight" activeCell="C1" sqref="C1"/>
      <selection pane="bottomLeft" activeCell="A3" sqref="A3"/>
      <selection pane="bottomRight" activeCell="B118" sqref="B118"/>
    </sheetView>
  </sheetViews>
  <sheetFormatPr baseColWidth="10" defaultColWidth="8.83203125" defaultRowHeight="14"/>
  <cols>
    <col min="1" max="1" width="20.5" style="114" customWidth="1"/>
    <col min="2" max="2" width="21.83203125" style="114" customWidth="1"/>
    <col min="3" max="3" width="16" style="108" customWidth="1"/>
    <col min="4" max="4" width="20.1640625" style="108" customWidth="1"/>
    <col min="5" max="5" width="15.5" style="121" customWidth="1"/>
    <col min="6" max="6" width="18.33203125" style="108" bestFit="1" customWidth="1"/>
    <col min="7" max="7" width="14.5" style="32" bestFit="1" customWidth="1"/>
    <col min="8" max="8" width="16.83203125" style="108" bestFit="1" customWidth="1"/>
    <col min="9" max="9" width="19.5" style="122" bestFit="1" customWidth="1"/>
    <col min="10" max="10" width="19.83203125" style="125" bestFit="1" customWidth="1"/>
    <col min="11" max="11" width="20.6640625" style="125" bestFit="1" customWidth="1"/>
    <col min="12" max="12" width="14.83203125" style="125" customWidth="1"/>
    <col min="13" max="13" width="17.1640625" style="110" customWidth="1"/>
    <col min="14" max="14" width="14.6640625" style="125" customWidth="1"/>
    <col min="15" max="16" width="13.1640625" style="125" customWidth="1"/>
    <col min="17" max="17" width="16.1640625" style="125" customWidth="1"/>
    <col min="18" max="18" width="17.5" style="110" customWidth="1"/>
    <col min="19" max="19" width="14.1640625" style="125" customWidth="1"/>
    <col min="20" max="20" width="22.1640625" style="125" customWidth="1"/>
    <col min="21" max="21" width="13.6640625" style="125" customWidth="1"/>
    <col min="22" max="22" width="15" style="125" bestFit="1" customWidth="1"/>
    <col min="23" max="23" width="13.1640625" style="110" customWidth="1"/>
    <col min="24" max="24" width="18.5" style="111" customWidth="1"/>
    <col min="25" max="26" width="18.6640625" style="111" customWidth="1"/>
    <col min="27" max="27" width="17.6640625" style="111" customWidth="1"/>
    <col min="28" max="28" width="18.5" style="125" customWidth="1"/>
    <col min="29" max="29" width="19" style="125" customWidth="1"/>
    <col min="30" max="30" width="15.5" style="125" customWidth="1"/>
    <col min="31" max="31" width="17.1640625" style="125" customWidth="1"/>
    <col min="32" max="32" width="16.5" style="125" customWidth="1"/>
    <col min="33" max="33" width="14.5" style="125" customWidth="1"/>
    <col min="34" max="34" width="15.1640625" style="125" customWidth="1"/>
    <col min="35" max="35" width="18.6640625" style="125" customWidth="1"/>
    <col min="36" max="36" width="18.6640625" style="110" customWidth="1"/>
    <col min="37" max="37" width="15.6640625" style="125" customWidth="1"/>
    <col min="38" max="38" width="16.5" style="125" customWidth="1"/>
    <col min="39" max="39" width="20.6640625" style="125" customWidth="1"/>
    <col min="40" max="40" width="14.1640625" style="125" customWidth="1"/>
    <col min="41" max="41" width="16.1640625" style="125" customWidth="1"/>
    <col min="42" max="42" width="21.1640625" style="125" customWidth="1"/>
    <col min="43" max="43" width="11.1640625" style="110" customWidth="1"/>
    <col min="44" max="45" width="14.6640625" style="125" customWidth="1"/>
    <col min="46" max="46" width="17" style="125" customWidth="1"/>
    <col min="47" max="47" width="17.5" style="125" customWidth="1"/>
    <col min="48" max="48" width="18" style="125" customWidth="1"/>
    <col min="49" max="49" width="20.1640625" style="125" customWidth="1"/>
    <col min="50" max="50" width="15.1640625" style="125" customWidth="1"/>
    <col min="51" max="51" width="17" style="125" customWidth="1"/>
    <col min="52" max="52" width="14.6640625" style="108" customWidth="1"/>
    <col min="53" max="53" width="14.6640625" style="109" customWidth="1"/>
    <col min="54" max="54" width="14.6640625" style="108" customWidth="1"/>
    <col min="55" max="55" width="12.1640625" style="108" customWidth="1"/>
    <col min="56" max="56" width="16" style="108" customWidth="1"/>
    <col min="57" max="57" width="14" style="108" customWidth="1"/>
    <col min="58" max="58" width="12.1640625" style="108" customWidth="1"/>
    <col min="59" max="59" width="14.6640625" style="108" customWidth="1"/>
    <col min="60" max="60" width="13" style="108" customWidth="1"/>
    <col min="61" max="61" width="11.1640625" style="108" customWidth="1"/>
    <col min="62" max="62" width="12.1640625" style="108" customWidth="1"/>
    <col min="63" max="63" width="19.5" style="108" customWidth="1"/>
    <col min="64" max="64" width="19.5" style="109" customWidth="1"/>
    <col min="65" max="65" width="16" style="108" customWidth="1"/>
    <col min="66" max="66" width="18.6640625" style="108" customWidth="1"/>
    <col min="67" max="67" width="15.1640625" style="109" customWidth="1"/>
    <col min="68" max="68" width="20.5" style="108" customWidth="1"/>
    <col min="69" max="69" width="16.1640625" style="108" customWidth="1"/>
    <col min="70" max="70" width="14.33203125" style="108" customWidth="1"/>
    <col min="71" max="71" width="14.5" style="108" customWidth="1"/>
    <col min="72" max="72" width="15.1640625" style="108" customWidth="1"/>
    <col min="73" max="73" width="18.1640625" style="145" customWidth="1"/>
    <col min="74" max="74" width="18.1640625" style="108" customWidth="1"/>
    <col min="75" max="77" width="18.1640625" style="122" customWidth="1"/>
    <col min="78" max="78" width="18.1640625" style="108" customWidth="1"/>
    <col min="79" max="79" width="17.6640625" style="108" customWidth="1"/>
    <col min="80" max="80" width="21.1640625" style="108" customWidth="1"/>
    <col min="81" max="81" width="21.5" style="108" customWidth="1"/>
    <col min="82" max="82" width="18" style="108" customWidth="1"/>
    <col min="83" max="84" width="21.5" style="108" customWidth="1"/>
    <col min="85" max="85" width="17.6640625" style="108" customWidth="1"/>
    <col min="86" max="86" width="16.5" style="109" customWidth="1"/>
    <col min="87" max="87" width="11.5" style="108" customWidth="1"/>
    <col min="88" max="88" width="11.5" style="109" customWidth="1"/>
    <col min="89" max="89" width="16.6640625" style="108" customWidth="1"/>
    <col min="90" max="90" width="12.5" style="114" customWidth="1"/>
    <col min="91" max="91" width="15.6640625" style="107" customWidth="1"/>
    <col min="92" max="92" width="16.5" style="107" customWidth="1"/>
    <col min="93" max="93" width="16.6640625" style="177" bestFit="1" customWidth="1"/>
    <col min="94" max="94" width="13.5" style="108" customWidth="1"/>
    <col min="95" max="95" width="13.5" style="169" customWidth="1"/>
    <col min="96" max="96" width="15" style="169" customWidth="1"/>
    <col min="97" max="97" width="16.6640625" style="169" customWidth="1"/>
    <col min="98" max="99" width="14.1640625" style="108" customWidth="1"/>
    <col min="100" max="100" width="15.1640625" style="125" customWidth="1"/>
    <col min="101" max="101" width="15.1640625" style="109" customWidth="1"/>
    <col min="102" max="102" width="26" style="114" customWidth="1"/>
    <col min="103" max="103" width="16.1640625" style="107" customWidth="1"/>
    <col min="104" max="104" width="17.5" style="143" customWidth="1"/>
    <col min="105" max="105" width="18.6640625" style="108" customWidth="1"/>
    <col min="106" max="106" width="14" style="108" customWidth="1"/>
    <col min="107" max="107" width="16.33203125" style="143" customWidth="1"/>
    <col min="108" max="108" width="18.5" style="108" customWidth="1"/>
    <col min="109" max="109" width="23.5" style="108" customWidth="1"/>
    <col min="110" max="111" width="17.6640625" style="108" customWidth="1"/>
    <col min="112" max="112" width="17.1640625" style="108" customWidth="1"/>
    <col min="113" max="113" width="21" style="108" customWidth="1"/>
    <col min="114" max="114" width="22" style="108" customWidth="1"/>
    <col min="115" max="116" width="19" style="108" customWidth="1"/>
    <col min="117" max="117" width="16" style="144" bestFit="1" customWidth="1"/>
    <col min="118" max="118" width="10" style="114" bestFit="1" customWidth="1"/>
    <col min="119" max="119" width="14" style="140" bestFit="1" customWidth="1"/>
    <col min="120" max="120" width="13" style="107" bestFit="1" customWidth="1"/>
    <col min="121" max="121" width="9.33203125" style="114" customWidth="1"/>
    <col min="122" max="122" width="45.1640625" style="114" bestFit="1" customWidth="1"/>
    <col min="123" max="123" width="14.83203125" style="114" bestFit="1" customWidth="1"/>
    <col min="124" max="124" width="14.1640625" style="109" customWidth="1"/>
    <col min="125" max="125" width="11.1640625" style="114" customWidth="1"/>
    <col min="126" max="126" width="45.1640625" style="114" bestFit="1" customWidth="1"/>
    <col min="127" max="128" width="15.6640625" style="109" customWidth="1"/>
    <col min="129" max="129" width="14.5" style="109" customWidth="1"/>
    <col min="130" max="130" width="14.1640625" style="109" customWidth="1"/>
    <col min="131" max="131" width="13.6640625" style="110" customWidth="1"/>
    <col min="132" max="132" width="11.1640625" style="110" customWidth="1"/>
    <col min="133" max="16384" width="8.83203125" style="114"/>
  </cols>
  <sheetData>
    <row r="1" spans="1:132" s="107" customFormat="1" ht="66.5" customHeight="1" thickBot="1">
      <c r="A1" s="62" t="s">
        <v>901</v>
      </c>
      <c r="B1" s="62"/>
      <c r="C1" s="50" t="s">
        <v>12</v>
      </c>
      <c r="D1" s="50" t="s">
        <v>19</v>
      </c>
      <c r="E1" s="50" t="s">
        <v>20</v>
      </c>
      <c r="F1" s="219" t="s">
        <v>1169</v>
      </c>
      <c r="G1" s="219" t="s">
        <v>119</v>
      </c>
      <c r="H1" s="219" t="s">
        <v>120</v>
      </c>
      <c r="I1" s="66" t="s">
        <v>121</v>
      </c>
      <c r="J1" s="220" t="s">
        <v>22</v>
      </c>
      <c r="K1" s="220" t="s">
        <v>23</v>
      </c>
      <c r="L1" s="164" t="s">
        <v>24</v>
      </c>
      <c r="M1" s="161" t="s">
        <v>98</v>
      </c>
      <c r="N1" s="346" t="s">
        <v>25</v>
      </c>
      <c r="O1" s="346" t="s">
        <v>26</v>
      </c>
      <c r="P1" s="346" t="s">
        <v>27</v>
      </c>
      <c r="Q1" s="164" t="s">
        <v>28</v>
      </c>
      <c r="R1" s="161" t="s">
        <v>99</v>
      </c>
      <c r="S1" s="164" t="s">
        <v>29</v>
      </c>
      <c r="T1" s="164" t="s">
        <v>30</v>
      </c>
      <c r="U1" s="164" t="s">
        <v>31</v>
      </c>
      <c r="V1" s="164" t="s">
        <v>32</v>
      </c>
      <c r="W1" s="161" t="s">
        <v>100</v>
      </c>
      <c r="X1" s="65" t="s">
        <v>115</v>
      </c>
      <c r="Y1" s="65" t="s">
        <v>116</v>
      </c>
      <c r="Z1" s="65" t="s">
        <v>117</v>
      </c>
      <c r="AA1" s="65" t="s">
        <v>118</v>
      </c>
      <c r="AB1" s="164" t="s">
        <v>33</v>
      </c>
      <c r="AC1" s="220" t="s">
        <v>34</v>
      </c>
      <c r="AD1" s="220" t="s">
        <v>35</v>
      </c>
      <c r="AE1" s="220" t="s">
        <v>36</v>
      </c>
      <c r="AF1" s="221" t="s">
        <v>1155</v>
      </c>
      <c r="AG1" s="221" t="s">
        <v>1156</v>
      </c>
      <c r="AH1" s="220" t="s">
        <v>39</v>
      </c>
      <c r="AI1" s="164" t="s">
        <v>40</v>
      </c>
      <c r="AJ1" s="161" t="s">
        <v>101</v>
      </c>
      <c r="AK1" s="164" t="s">
        <v>41</v>
      </c>
      <c r="AL1" s="164" t="s">
        <v>937</v>
      </c>
      <c r="AM1" s="164" t="s">
        <v>938</v>
      </c>
      <c r="AN1" s="220" t="s">
        <v>939</v>
      </c>
      <c r="AO1" s="164" t="s">
        <v>940</v>
      </c>
      <c r="AP1" s="164" t="s">
        <v>941</v>
      </c>
      <c r="AQ1" s="161" t="s">
        <v>102</v>
      </c>
      <c r="AR1" s="220" t="s">
        <v>942</v>
      </c>
      <c r="AS1" s="343" t="s">
        <v>1157</v>
      </c>
      <c r="AT1" s="220" t="s">
        <v>943</v>
      </c>
      <c r="AU1" s="343" t="s">
        <v>944</v>
      </c>
      <c r="AV1" s="343" t="s">
        <v>945</v>
      </c>
      <c r="AW1" s="220" t="s">
        <v>946</v>
      </c>
      <c r="AX1" s="164" t="s">
        <v>947</v>
      </c>
      <c r="AY1" s="343" t="s">
        <v>948</v>
      </c>
      <c r="AZ1" s="50" t="s">
        <v>936</v>
      </c>
      <c r="BA1" s="64" t="s">
        <v>103</v>
      </c>
      <c r="BB1" s="50" t="s">
        <v>949</v>
      </c>
      <c r="BC1" s="50" t="s">
        <v>950</v>
      </c>
      <c r="BD1" s="50" t="s">
        <v>951</v>
      </c>
      <c r="BE1" s="50" t="s">
        <v>952</v>
      </c>
      <c r="BF1" s="50" t="s">
        <v>953</v>
      </c>
      <c r="BG1" s="344" t="s">
        <v>934</v>
      </c>
      <c r="BH1" s="344" t="s">
        <v>62</v>
      </c>
      <c r="BI1" s="50" t="s">
        <v>914</v>
      </c>
      <c r="BJ1" s="50" t="s">
        <v>64</v>
      </c>
      <c r="BK1" s="50" t="s">
        <v>65</v>
      </c>
      <c r="BL1" s="64" t="s">
        <v>104</v>
      </c>
      <c r="BM1" s="50" t="s">
        <v>66</v>
      </c>
      <c r="BN1" s="50" t="s">
        <v>67</v>
      </c>
      <c r="BO1" s="64" t="s">
        <v>110</v>
      </c>
      <c r="BP1" s="224" t="s">
        <v>1114</v>
      </c>
      <c r="BQ1" s="50" t="s">
        <v>886</v>
      </c>
      <c r="BR1" s="50" t="s">
        <v>887</v>
      </c>
      <c r="BS1" s="50" t="s">
        <v>888</v>
      </c>
      <c r="BT1" s="50" t="s">
        <v>889</v>
      </c>
      <c r="BU1" s="64" t="s">
        <v>105</v>
      </c>
      <c r="BV1" s="50" t="s">
        <v>106</v>
      </c>
      <c r="BW1" s="66" t="s">
        <v>107</v>
      </c>
      <c r="BX1" s="51" t="s">
        <v>108</v>
      </c>
      <c r="BY1" s="51" t="s">
        <v>109</v>
      </c>
      <c r="BZ1" s="50" t="s">
        <v>902</v>
      </c>
      <c r="CA1" s="50" t="s">
        <v>903</v>
      </c>
      <c r="CB1" s="50" t="s">
        <v>904</v>
      </c>
      <c r="CC1" s="50" t="s">
        <v>905</v>
      </c>
      <c r="CD1" s="50" t="s">
        <v>906</v>
      </c>
      <c r="CE1" s="50" t="s">
        <v>78</v>
      </c>
      <c r="CF1" s="50" t="s">
        <v>907</v>
      </c>
      <c r="CG1" s="50" t="s">
        <v>908</v>
      </c>
      <c r="CH1" s="64" t="s">
        <v>111</v>
      </c>
      <c r="CI1" s="50" t="s">
        <v>890</v>
      </c>
      <c r="CJ1" s="64" t="s">
        <v>112</v>
      </c>
      <c r="CK1" s="50" t="s">
        <v>891</v>
      </c>
      <c r="CL1" s="225" t="s">
        <v>892</v>
      </c>
      <c r="CM1" s="225" t="s">
        <v>208</v>
      </c>
      <c r="CN1" s="225" t="s">
        <v>207</v>
      </c>
      <c r="CO1" s="69" t="s">
        <v>81</v>
      </c>
      <c r="CP1" s="50" t="s">
        <v>113</v>
      </c>
      <c r="CQ1" s="69" t="s">
        <v>82</v>
      </c>
      <c r="CR1" s="69" t="s">
        <v>83</v>
      </c>
      <c r="CS1" s="69" t="s">
        <v>84</v>
      </c>
      <c r="CT1" s="50" t="s">
        <v>114</v>
      </c>
      <c r="CU1" s="50" t="s">
        <v>85</v>
      </c>
      <c r="CV1" s="164" t="s">
        <v>86</v>
      </c>
      <c r="CW1" s="226" t="s">
        <v>87</v>
      </c>
      <c r="CX1" s="225" t="s">
        <v>88</v>
      </c>
      <c r="CY1" s="225" t="s">
        <v>935</v>
      </c>
      <c r="CZ1" s="50" t="s">
        <v>90</v>
      </c>
      <c r="DA1" s="50" t="s">
        <v>91</v>
      </c>
      <c r="DB1" s="50" t="s">
        <v>210</v>
      </c>
      <c r="DC1" s="50" t="s">
        <v>211</v>
      </c>
      <c r="DD1" s="50" t="s">
        <v>893</v>
      </c>
      <c r="DE1" s="50" t="s">
        <v>909</v>
      </c>
      <c r="DF1" s="219" t="s">
        <v>94</v>
      </c>
      <c r="DG1" s="219" t="s">
        <v>95</v>
      </c>
      <c r="DH1" s="219" t="s">
        <v>910</v>
      </c>
      <c r="DI1" s="219" t="s">
        <v>212</v>
      </c>
      <c r="DJ1" s="219" t="s">
        <v>213</v>
      </c>
      <c r="DK1" s="227" t="s">
        <v>122</v>
      </c>
      <c r="DL1" s="227" t="s">
        <v>123</v>
      </c>
      <c r="DM1" s="225" t="s">
        <v>14</v>
      </c>
      <c r="DN1" s="62" t="s">
        <v>10</v>
      </c>
      <c r="DO1" s="62" t="s">
        <v>11</v>
      </c>
      <c r="DP1" s="228" t="s">
        <v>6</v>
      </c>
      <c r="DQ1" s="225" t="s">
        <v>915</v>
      </c>
      <c r="DR1" s="62" t="s">
        <v>15</v>
      </c>
      <c r="DS1" s="62" t="s">
        <v>16</v>
      </c>
      <c r="DT1" s="63" t="s">
        <v>17</v>
      </c>
      <c r="DU1" s="63" t="s">
        <v>18</v>
      </c>
      <c r="DV1" s="68" t="s">
        <v>4</v>
      </c>
      <c r="DW1" s="51" t="s">
        <v>916</v>
      </c>
      <c r="DX1" s="51" t="s">
        <v>917</v>
      </c>
      <c r="DY1" s="51" t="s">
        <v>918</v>
      </c>
      <c r="DZ1" s="51" t="s">
        <v>919</v>
      </c>
      <c r="EA1" s="201" t="s">
        <v>929</v>
      </c>
      <c r="EB1" s="201" t="s">
        <v>930</v>
      </c>
    </row>
    <row r="2" spans="1:132" ht="17" thickBot="1">
      <c r="A2" s="218" t="s">
        <v>1121</v>
      </c>
      <c r="B2" s="342" t="s">
        <v>1173</v>
      </c>
      <c r="C2" s="348">
        <v>164997</v>
      </c>
      <c r="D2" s="207">
        <v>3</v>
      </c>
      <c r="E2" s="207">
        <v>0</v>
      </c>
      <c r="F2" s="206">
        <v>56056</v>
      </c>
      <c r="H2" s="108">
        <f t="shared" ref="H2:H65" si="0">G2+F2</f>
        <v>56056</v>
      </c>
      <c r="I2" s="109">
        <v>0.34588999999999998</v>
      </c>
      <c r="J2" s="208">
        <v>1706812</v>
      </c>
      <c r="K2" s="208">
        <v>662897</v>
      </c>
      <c r="L2" s="115">
        <f>J2+K2</f>
        <v>2369709</v>
      </c>
      <c r="M2" s="110">
        <f t="shared" ref="M2:M33" si="1">L2/C2</f>
        <v>14.362133856979218</v>
      </c>
      <c r="N2" s="208">
        <v>187832</v>
      </c>
      <c r="O2" s="208">
        <v>55000</v>
      </c>
      <c r="P2" s="222">
        <v>56000</v>
      </c>
      <c r="Q2" s="115">
        <v>298832</v>
      </c>
      <c r="R2" s="110">
        <f t="shared" ref="R2:R33" si="2">Q2/C2</f>
        <v>1.8111359600477583</v>
      </c>
      <c r="S2" s="222">
        <v>417041</v>
      </c>
      <c r="T2" s="208">
        <v>3085582</v>
      </c>
      <c r="U2" s="208">
        <v>0</v>
      </c>
      <c r="V2" s="208">
        <v>3085582</v>
      </c>
      <c r="W2" s="110">
        <f t="shared" ref="W2:W33" si="3">V2/C2</f>
        <v>18.700836984914876</v>
      </c>
      <c r="X2" s="111">
        <f t="shared" ref="X2" si="4">L2/V2</f>
        <v>0.76799417419468996</v>
      </c>
      <c r="Y2" s="111">
        <f t="shared" ref="Y2" si="5">Q2/V2</f>
        <v>9.6847855607143152E-2</v>
      </c>
      <c r="Z2" s="111">
        <f t="shared" ref="Z2" si="6">S2/V2</f>
        <v>0.13515797019816683</v>
      </c>
      <c r="AA2" s="111">
        <f t="shared" ref="AA2" si="7">U2/V2</f>
        <v>0</v>
      </c>
      <c r="AB2" s="208">
        <v>0</v>
      </c>
      <c r="AE2" s="208"/>
      <c r="AF2" s="208">
        <v>3085582</v>
      </c>
      <c r="AG2" s="208">
        <v>2904899</v>
      </c>
      <c r="AH2" s="208"/>
      <c r="AI2" s="115">
        <f t="shared" ref="AI2:AI33" si="8">SUM(AF2:AH2)</f>
        <v>5990481</v>
      </c>
      <c r="AJ2" s="110">
        <f t="shared" ref="AJ2:AJ33" si="9">AI2/C2</f>
        <v>36.306605574646809</v>
      </c>
      <c r="AK2" s="208">
        <v>182685</v>
      </c>
      <c r="AL2" s="208">
        <v>50000</v>
      </c>
      <c r="AM2" s="208">
        <v>109575</v>
      </c>
      <c r="AN2" s="208"/>
      <c r="AO2" s="115">
        <f t="shared" ref="AO2" si="10">AM2+AN2</f>
        <v>109575</v>
      </c>
      <c r="AP2" s="208">
        <v>3469319</v>
      </c>
      <c r="AQ2" s="112">
        <f t="shared" ref="AQ2:AQ33" si="11">AP2/C2</f>
        <v>21.02655805863137</v>
      </c>
      <c r="AR2" s="208"/>
      <c r="AS2" s="222">
        <v>0</v>
      </c>
      <c r="AT2" s="208">
        <v>0</v>
      </c>
      <c r="AU2" s="222">
        <v>0</v>
      </c>
      <c r="AV2" s="222">
        <v>0</v>
      </c>
      <c r="AW2" s="208"/>
      <c r="AX2" s="222">
        <v>0</v>
      </c>
      <c r="AY2" s="115">
        <f t="shared" ref="AY2" si="12">SUM(AR2:AX2)</f>
        <v>0</v>
      </c>
      <c r="AZ2" s="206">
        <v>168855</v>
      </c>
      <c r="BA2" s="109">
        <f t="shared" ref="BA2:BA33" si="13">AZ2/C2</f>
        <v>1.0233822433135147</v>
      </c>
      <c r="BB2" s="223">
        <v>14148</v>
      </c>
      <c r="BC2" s="223">
        <v>14148</v>
      </c>
      <c r="BD2" s="223">
        <v>27827</v>
      </c>
      <c r="BE2" s="223">
        <v>1752</v>
      </c>
      <c r="BF2" s="223">
        <v>75629</v>
      </c>
      <c r="BG2" s="223">
        <v>7</v>
      </c>
      <c r="BH2" s="223">
        <v>89</v>
      </c>
      <c r="BI2" s="206">
        <v>0</v>
      </c>
      <c r="BJ2" s="116">
        <f t="shared" ref="BJ2" si="14">SUM(BG2:BI2)</f>
        <v>96</v>
      </c>
      <c r="BK2" s="223">
        <v>311436</v>
      </c>
      <c r="BL2" s="109">
        <f t="shared" ref="BL2:BL33" si="15">BK2/C2</f>
        <v>1.8875252277314134</v>
      </c>
      <c r="BM2" s="223">
        <v>229</v>
      </c>
      <c r="BN2" s="206">
        <v>37767</v>
      </c>
      <c r="BO2" s="109">
        <f t="shared" ref="BO2:BO33" si="16">BN2/C2</f>
        <v>0.22889507081946944</v>
      </c>
      <c r="BP2" s="206">
        <v>144230</v>
      </c>
      <c r="BQ2" s="206">
        <v>0</v>
      </c>
      <c r="BR2" s="230">
        <f>BT2-BS2</f>
        <v>466526</v>
      </c>
      <c r="BS2" s="230">
        <v>211570</v>
      </c>
      <c r="BT2" s="223">
        <v>678096</v>
      </c>
      <c r="BU2" s="109">
        <f t="shared" ref="BU2:BU33" si="17">BT2/C2</f>
        <v>4.1097474499536357</v>
      </c>
      <c r="BV2" s="108">
        <f t="shared" ref="BV2" si="18">BT2/CS2</f>
        <v>10432.246153846154</v>
      </c>
      <c r="BW2" s="109">
        <f t="shared" ref="BW2:BW33" si="19">BT2/DL2</f>
        <v>78.958546809501627</v>
      </c>
      <c r="BX2" s="109">
        <f t="shared" ref="BX2:BX33" si="20">BT2/CI2</f>
        <v>1.9053420700661998</v>
      </c>
      <c r="BY2" s="109">
        <f t="shared" ref="BY2" si="21">BT2/BK2</f>
        <v>2.1773205409779215</v>
      </c>
      <c r="BZ2" s="206">
        <v>720</v>
      </c>
      <c r="CA2" s="206">
        <v>81</v>
      </c>
      <c r="CB2" s="206">
        <v>513</v>
      </c>
      <c r="CC2" s="113">
        <f>SUM(BZ2:CB2)</f>
        <v>1314</v>
      </c>
      <c r="CD2" s="206">
        <v>19170</v>
      </c>
      <c r="CE2" s="206">
        <v>521</v>
      </c>
      <c r="CF2" s="206">
        <v>10267</v>
      </c>
      <c r="CG2" s="116">
        <f t="shared" ref="CG2" si="22">SUM(CD2:CF2)</f>
        <v>29958</v>
      </c>
      <c r="CH2" s="109">
        <f t="shared" ref="CH2:CH33" si="23">CG2/C2</f>
        <v>0.18156693758068329</v>
      </c>
      <c r="CI2" s="206">
        <v>355892</v>
      </c>
      <c r="CJ2" s="109">
        <f t="shared" ref="CJ2:CJ33" si="24">CI2/C2</f>
        <v>2.156960429583568</v>
      </c>
      <c r="CK2" s="223">
        <v>103947</v>
      </c>
      <c r="CL2" s="209" t="s">
        <v>7</v>
      </c>
      <c r="CM2" s="209" t="s">
        <v>7</v>
      </c>
      <c r="CN2" s="209" t="s">
        <v>7</v>
      </c>
      <c r="CO2" s="210">
        <v>11</v>
      </c>
      <c r="CP2" s="108">
        <f>C2/CO2</f>
        <v>14999.727272727272</v>
      </c>
      <c r="CQ2" s="210">
        <v>0</v>
      </c>
      <c r="CR2" s="210">
        <v>54</v>
      </c>
      <c r="CS2" s="180">
        <f t="shared" ref="CS2" si="25">CO2+CQ2+CR2</f>
        <v>65</v>
      </c>
      <c r="CT2" s="108">
        <f t="shared" ref="CT2:CT36" si="26">C2/CS2</f>
        <v>2538.4153846153845</v>
      </c>
      <c r="CU2" s="206">
        <v>1212</v>
      </c>
      <c r="CV2" s="208">
        <v>74500</v>
      </c>
      <c r="CW2" s="210">
        <v>40</v>
      </c>
      <c r="CX2" s="209" t="s">
        <v>7</v>
      </c>
      <c r="CY2" s="209" t="s">
        <v>7</v>
      </c>
      <c r="CZ2" s="206">
        <v>98</v>
      </c>
      <c r="DA2" s="206">
        <v>269</v>
      </c>
      <c r="DB2" s="206">
        <v>93</v>
      </c>
      <c r="DC2" s="206">
        <v>69769</v>
      </c>
      <c r="DD2" s="206">
        <v>43791</v>
      </c>
      <c r="DE2" s="206">
        <v>228788</v>
      </c>
      <c r="DF2" s="206">
        <v>11458</v>
      </c>
      <c r="DG2" s="206">
        <v>52</v>
      </c>
      <c r="DH2" s="210">
        <f t="shared" ref="DH2:DH33" si="27">DF2/C2</f>
        <v>6.944368685491252E-2</v>
      </c>
      <c r="DI2" s="206">
        <v>63</v>
      </c>
      <c r="DJ2" s="206">
        <v>63</v>
      </c>
      <c r="DK2" s="108">
        <v>6254</v>
      </c>
      <c r="DL2" s="348">
        <v>8588</v>
      </c>
      <c r="DM2" s="205"/>
      <c r="DN2" s="209" t="s">
        <v>1032</v>
      </c>
      <c r="DO2" s="209" t="s">
        <v>125</v>
      </c>
      <c r="DP2" s="209"/>
      <c r="DQ2" s="207"/>
      <c r="DR2" s="218" t="s">
        <v>1121</v>
      </c>
      <c r="DS2" s="205" t="s">
        <v>957</v>
      </c>
      <c r="DT2" s="229">
        <v>43282</v>
      </c>
      <c r="DU2" s="229">
        <v>43646</v>
      </c>
      <c r="DV2" s="218" t="s">
        <v>1121</v>
      </c>
      <c r="DW2" s="109">
        <f t="shared" ref="DW2:DW33" si="28">BP2/C2</f>
        <v>0.87413710552313073</v>
      </c>
      <c r="DX2" s="109">
        <f t="shared" ref="DX2:DX33" si="29">BQ2/C2</f>
        <v>0</v>
      </c>
      <c r="DY2" s="109">
        <f t="shared" ref="DY2:DY33" si="30">BR2/C2</f>
        <v>2.8274817117886992</v>
      </c>
      <c r="DZ2" s="109">
        <f t="shared" ref="DZ2:DZ33" si="31">BS2/C2</f>
        <v>1.2822657381649363</v>
      </c>
      <c r="EA2" s="110">
        <f t="shared" ref="EA2:EA5" si="32">N2/(BP2+BR2)</f>
        <v>0.30754016333855089</v>
      </c>
      <c r="EB2" s="200">
        <f>O2/(BQ2+BS2)</f>
        <v>0.25996124214208066</v>
      </c>
    </row>
    <row r="3" spans="1:132" ht="17" thickBot="1">
      <c r="A3" s="218" t="s">
        <v>1122</v>
      </c>
      <c r="B3" s="342" t="s">
        <v>1174</v>
      </c>
      <c r="C3" s="347">
        <v>75759</v>
      </c>
      <c r="D3" s="207">
        <v>6</v>
      </c>
      <c r="E3" s="207">
        <v>0</v>
      </c>
      <c r="F3" s="206">
        <v>32361</v>
      </c>
      <c r="H3" s="108">
        <f t="shared" si="0"/>
        <v>32361</v>
      </c>
      <c r="I3" s="109">
        <v>0.42272999999999999</v>
      </c>
      <c r="J3" s="208">
        <v>636056</v>
      </c>
      <c r="K3" s="208">
        <v>206060</v>
      </c>
      <c r="L3" s="115">
        <f t="shared" ref="L3:L66" si="33">J3+K3</f>
        <v>842116</v>
      </c>
      <c r="M3" s="110">
        <f t="shared" si="1"/>
        <v>11.11572222442218</v>
      </c>
      <c r="N3" s="208">
        <v>76923</v>
      </c>
      <c r="O3" s="208">
        <v>14888</v>
      </c>
      <c r="P3" s="222">
        <v>12610</v>
      </c>
      <c r="Q3" s="115">
        <v>104421</v>
      </c>
      <c r="R3" s="110">
        <f t="shared" si="2"/>
        <v>1.3783312873717974</v>
      </c>
      <c r="S3" s="222">
        <v>328907</v>
      </c>
      <c r="T3" s="208">
        <v>1275444</v>
      </c>
      <c r="U3" s="208">
        <v>0</v>
      </c>
      <c r="V3" s="208">
        <v>1275444</v>
      </c>
      <c r="W3" s="110">
        <f t="shared" si="3"/>
        <v>16.835544291767313</v>
      </c>
      <c r="X3" s="111">
        <f t="shared" ref="X3:X66" si="34">L3/V3</f>
        <v>0.66025321378280821</v>
      </c>
      <c r="Y3" s="111">
        <f t="shared" ref="Y3:Y66" si="35">Q3/V3</f>
        <v>8.1870313396746539E-2</v>
      </c>
      <c r="Z3" s="111">
        <f t="shared" ref="Z3:Z66" si="36">S3/V3</f>
        <v>0.25787647282044529</v>
      </c>
      <c r="AA3" s="111">
        <f t="shared" ref="AA3:AA66" si="37">U3/V3</f>
        <v>0</v>
      </c>
      <c r="AB3" s="208">
        <v>0</v>
      </c>
      <c r="AE3" s="208"/>
      <c r="AF3" s="208">
        <v>1275444</v>
      </c>
      <c r="AG3" s="208">
        <v>500519</v>
      </c>
      <c r="AH3" s="208"/>
      <c r="AI3" s="115">
        <f t="shared" si="8"/>
        <v>1775963</v>
      </c>
      <c r="AJ3" s="110">
        <f t="shared" si="9"/>
        <v>23.442270885307355</v>
      </c>
      <c r="AK3" s="208">
        <v>389530</v>
      </c>
      <c r="AL3" s="208">
        <v>20024</v>
      </c>
      <c r="AM3" s="208">
        <v>59740</v>
      </c>
      <c r="AN3" s="208"/>
      <c r="AO3" s="115">
        <f t="shared" ref="AO3:AO66" si="38">AM3+AN3</f>
        <v>59740</v>
      </c>
      <c r="AP3" s="208">
        <v>1208995</v>
      </c>
      <c r="AQ3" s="112">
        <f t="shared" si="11"/>
        <v>15.958433981441148</v>
      </c>
      <c r="AR3" s="208"/>
      <c r="AS3" s="222">
        <v>0</v>
      </c>
      <c r="AT3" s="208">
        <v>0</v>
      </c>
      <c r="AU3" s="222">
        <v>0</v>
      </c>
      <c r="AV3" s="222">
        <v>0</v>
      </c>
      <c r="AW3" s="208"/>
      <c r="AX3" s="222">
        <v>0</v>
      </c>
      <c r="AY3" s="115">
        <f t="shared" ref="AY3:AY66" si="39">SUM(AR3:AX3)</f>
        <v>0</v>
      </c>
      <c r="AZ3" s="206">
        <v>187067</v>
      </c>
      <c r="BA3" s="109">
        <f t="shared" si="13"/>
        <v>2.4692379783260074</v>
      </c>
      <c r="BB3" s="223">
        <v>8363</v>
      </c>
      <c r="BC3" s="223">
        <v>8363</v>
      </c>
      <c r="BD3" s="223">
        <v>14305</v>
      </c>
      <c r="BE3" s="223">
        <v>2179</v>
      </c>
      <c r="BF3" s="223">
        <v>144058</v>
      </c>
      <c r="BG3" s="223">
        <v>4</v>
      </c>
      <c r="BH3" s="223">
        <v>89</v>
      </c>
      <c r="BI3" s="206">
        <v>0</v>
      </c>
      <c r="BJ3" s="116">
        <f t="shared" ref="BJ3:BJ66" si="40">SUM(BG3:BI3)</f>
        <v>93</v>
      </c>
      <c r="BK3" s="223">
        <v>394751</v>
      </c>
      <c r="BL3" s="109">
        <f t="shared" si="15"/>
        <v>5.21061524043348</v>
      </c>
      <c r="BM3" s="223">
        <v>536</v>
      </c>
      <c r="BN3" s="206">
        <v>31879</v>
      </c>
      <c r="BO3" s="109">
        <f t="shared" si="16"/>
        <v>0.42079488905608575</v>
      </c>
      <c r="BP3" s="206">
        <v>20796</v>
      </c>
      <c r="BQ3" s="206">
        <v>0</v>
      </c>
      <c r="BR3" s="230">
        <f t="shared" ref="BR3:BR66" si="41">BT3-BS3</f>
        <v>61366</v>
      </c>
      <c r="BS3" s="230">
        <v>6467</v>
      </c>
      <c r="BT3" s="223">
        <v>67833</v>
      </c>
      <c r="BU3" s="109">
        <f t="shared" si="17"/>
        <v>0.89537876687918272</v>
      </c>
      <c r="BV3" s="108">
        <f t="shared" ref="BV3:BV36" si="42">BT3/CS3</f>
        <v>2826.375</v>
      </c>
      <c r="BW3" s="109">
        <f t="shared" si="19"/>
        <v>5.2163180559827742</v>
      </c>
      <c r="BX3" s="109">
        <f t="shared" si="20"/>
        <v>0.69365279013406145</v>
      </c>
      <c r="BY3" s="109">
        <f t="shared" ref="BY3:BY34" si="43">BT3/BK3</f>
        <v>0.17183743676393473</v>
      </c>
      <c r="BZ3" s="206">
        <v>264</v>
      </c>
      <c r="CA3" s="206">
        <v>70</v>
      </c>
      <c r="CB3" s="206">
        <v>243</v>
      </c>
      <c r="CC3" s="113">
        <f t="shared" ref="CC3:CC66" si="44">SUM(BZ3:CB3)</f>
        <v>577</v>
      </c>
      <c r="CD3" s="206">
        <v>7682</v>
      </c>
      <c r="CE3" s="206">
        <v>1011</v>
      </c>
      <c r="CF3" s="206">
        <v>2045</v>
      </c>
      <c r="CG3" s="116">
        <f t="shared" ref="CG3:CG66" si="45">SUM(CD3:CF3)</f>
        <v>10738</v>
      </c>
      <c r="CH3" s="109">
        <f t="shared" si="23"/>
        <v>0.14173893530801621</v>
      </c>
      <c r="CI3" s="206">
        <v>97791</v>
      </c>
      <c r="CJ3" s="109">
        <f t="shared" si="24"/>
        <v>1.2908169326416663</v>
      </c>
      <c r="CK3" s="223">
        <v>37175</v>
      </c>
      <c r="CL3" s="209" t="s">
        <v>7</v>
      </c>
      <c r="CM3" s="209" t="s">
        <v>7</v>
      </c>
      <c r="CN3" s="209" t="s">
        <v>7</v>
      </c>
      <c r="CO3" s="210">
        <v>1</v>
      </c>
      <c r="CP3" s="210">
        <v>0</v>
      </c>
      <c r="CQ3" s="210">
        <v>1</v>
      </c>
      <c r="CR3" s="210">
        <v>22</v>
      </c>
      <c r="CS3" s="180">
        <f t="shared" ref="CS3:CS66" si="46">CO3+CQ3+CR3</f>
        <v>24</v>
      </c>
      <c r="CT3" s="108">
        <f t="shared" si="26"/>
        <v>3156.625</v>
      </c>
      <c r="CU3" s="206">
        <v>150</v>
      </c>
      <c r="CV3" s="208">
        <v>65409</v>
      </c>
      <c r="CW3" s="210">
        <v>40</v>
      </c>
      <c r="CX3" s="209" t="s">
        <v>7</v>
      </c>
      <c r="CY3" s="209" t="s">
        <v>7</v>
      </c>
      <c r="CZ3" s="206">
        <v>0</v>
      </c>
      <c r="DA3" s="206">
        <v>0</v>
      </c>
      <c r="DB3" s="206">
        <v>90</v>
      </c>
      <c r="DC3" s="206">
        <v>35183</v>
      </c>
      <c r="DD3" s="206">
        <v>26880</v>
      </c>
      <c r="DE3" s="206">
        <v>293696</v>
      </c>
      <c r="DF3" s="206">
        <v>15288</v>
      </c>
      <c r="DG3" s="206">
        <v>52</v>
      </c>
      <c r="DH3" s="210">
        <f t="shared" si="27"/>
        <v>0.20179780620124341</v>
      </c>
      <c r="DI3" s="206">
        <v>62</v>
      </c>
      <c r="DJ3" s="206">
        <v>62</v>
      </c>
      <c r="DL3" s="347">
        <v>13004</v>
      </c>
      <c r="DM3" s="205"/>
      <c r="DN3" s="209" t="s">
        <v>1033</v>
      </c>
      <c r="DO3" s="209" t="s">
        <v>1030</v>
      </c>
      <c r="DP3" s="209"/>
      <c r="DQ3" s="207"/>
      <c r="DR3" s="218" t="s">
        <v>1122</v>
      </c>
      <c r="DS3" s="205" t="s">
        <v>958</v>
      </c>
      <c r="DT3" s="229">
        <v>43282</v>
      </c>
      <c r="DU3" s="229">
        <v>43646</v>
      </c>
      <c r="DV3" s="218" t="s">
        <v>1122</v>
      </c>
      <c r="DW3" s="109">
        <f t="shared" si="28"/>
        <v>0.27450203936166001</v>
      </c>
      <c r="DX3" s="109">
        <f t="shared" si="29"/>
        <v>0</v>
      </c>
      <c r="DY3" s="109">
        <f t="shared" si="30"/>
        <v>0.81001597169973205</v>
      </c>
      <c r="DZ3" s="109">
        <f t="shared" si="31"/>
        <v>8.5362795179450626E-2</v>
      </c>
      <c r="EA3" s="110">
        <f t="shared" si="32"/>
        <v>0.9362357294126239</v>
      </c>
      <c r="EB3" s="200">
        <f t="shared" ref="EB3:EB65" si="47">O3/(BQ3+BS3)</f>
        <v>2.3021493737436214</v>
      </c>
    </row>
    <row r="4" spans="1:132" ht="17" thickBot="1">
      <c r="A4" s="218" t="s">
        <v>1123</v>
      </c>
      <c r="B4" s="342" t="s">
        <v>1175</v>
      </c>
      <c r="C4" s="347">
        <v>38364</v>
      </c>
      <c r="D4" s="207">
        <v>2</v>
      </c>
      <c r="E4" s="207">
        <v>0</v>
      </c>
      <c r="F4" s="206">
        <v>13120</v>
      </c>
      <c r="H4" s="108">
        <f t="shared" si="0"/>
        <v>13120</v>
      </c>
      <c r="I4" s="109">
        <v>0.34176000000000001</v>
      </c>
      <c r="J4" s="208">
        <v>281564</v>
      </c>
      <c r="K4" s="208">
        <v>124817</v>
      </c>
      <c r="L4" s="115">
        <f t="shared" si="33"/>
        <v>406381</v>
      </c>
      <c r="M4" s="110">
        <f t="shared" si="1"/>
        <v>10.59276926285059</v>
      </c>
      <c r="N4" s="208">
        <v>39673</v>
      </c>
      <c r="O4" s="208">
        <v>6784</v>
      </c>
      <c r="P4" s="222">
        <v>6726</v>
      </c>
      <c r="Q4" s="115">
        <v>53183</v>
      </c>
      <c r="R4" s="110">
        <f t="shared" si="2"/>
        <v>1.3862735898237932</v>
      </c>
      <c r="S4" s="222">
        <v>71924</v>
      </c>
      <c r="T4" s="208">
        <v>531488</v>
      </c>
      <c r="U4" s="208">
        <v>0</v>
      </c>
      <c r="V4" s="208">
        <v>531488</v>
      </c>
      <c r="W4" s="110">
        <f t="shared" si="3"/>
        <v>13.853821290793451</v>
      </c>
      <c r="X4" s="111">
        <f t="shared" si="34"/>
        <v>0.76460992534168226</v>
      </c>
      <c r="Y4" s="111">
        <f t="shared" si="35"/>
        <v>0.10006434764284425</v>
      </c>
      <c r="Z4" s="111">
        <f t="shared" si="36"/>
        <v>0.13532572701547355</v>
      </c>
      <c r="AA4" s="111">
        <f t="shared" si="37"/>
        <v>0</v>
      </c>
      <c r="AB4" s="208">
        <v>0</v>
      </c>
      <c r="AE4" s="208"/>
      <c r="AF4" s="208">
        <v>531488</v>
      </c>
      <c r="AG4" s="208">
        <v>462148</v>
      </c>
      <c r="AH4" s="208"/>
      <c r="AI4" s="115">
        <f t="shared" si="8"/>
        <v>993636</v>
      </c>
      <c r="AJ4" s="110">
        <f t="shared" si="9"/>
        <v>25.900218955270567</v>
      </c>
      <c r="AK4" s="208">
        <v>94754</v>
      </c>
      <c r="AL4" s="208">
        <v>0</v>
      </c>
      <c r="AM4" s="208">
        <v>14769</v>
      </c>
      <c r="AN4" s="208"/>
      <c r="AO4" s="115">
        <f t="shared" si="38"/>
        <v>14769</v>
      </c>
      <c r="AP4" s="208">
        <v>571671</v>
      </c>
      <c r="AQ4" s="112">
        <f t="shared" si="11"/>
        <v>14.90123553331248</v>
      </c>
      <c r="AR4" s="208"/>
      <c r="AS4" s="222">
        <v>6770</v>
      </c>
      <c r="AT4" s="208">
        <v>0</v>
      </c>
      <c r="AU4" s="222">
        <v>0</v>
      </c>
      <c r="AV4" s="222">
        <v>0</v>
      </c>
      <c r="AW4" s="208"/>
      <c r="AX4" s="222">
        <v>0</v>
      </c>
      <c r="AY4" s="115">
        <f t="shared" si="39"/>
        <v>6770</v>
      </c>
      <c r="AZ4" s="206">
        <v>51456</v>
      </c>
      <c r="BA4" s="109">
        <f t="shared" si="13"/>
        <v>1.3412574288395371</v>
      </c>
      <c r="BB4" s="223">
        <v>2574</v>
      </c>
      <c r="BC4" s="223">
        <v>2574</v>
      </c>
      <c r="BD4" s="223">
        <v>3337</v>
      </c>
      <c r="BE4" s="223">
        <v>1752</v>
      </c>
      <c r="BF4" s="223">
        <v>72043</v>
      </c>
      <c r="BG4" s="223">
        <v>1</v>
      </c>
      <c r="BH4" s="223">
        <v>89</v>
      </c>
      <c r="BI4" s="206">
        <v>0</v>
      </c>
      <c r="BJ4" s="116">
        <f t="shared" si="40"/>
        <v>90</v>
      </c>
      <c r="BK4" s="223">
        <v>149901</v>
      </c>
      <c r="BL4" s="109">
        <f t="shared" si="15"/>
        <v>3.9073350015639661</v>
      </c>
      <c r="BM4" s="223">
        <v>0</v>
      </c>
      <c r="BN4" s="206">
        <v>1800</v>
      </c>
      <c r="BO4" s="109">
        <f t="shared" si="16"/>
        <v>4.6918986549890525E-2</v>
      </c>
      <c r="BP4" s="206">
        <v>25116</v>
      </c>
      <c r="BQ4" s="206">
        <v>0</v>
      </c>
      <c r="BR4" s="230">
        <f t="shared" si="41"/>
        <v>57730</v>
      </c>
      <c r="BS4" s="230">
        <v>4576</v>
      </c>
      <c r="BT4" s="223">
        <v>62306</v>
      </c>
      <c r="BU4" s="109">
        <f t="shared" si="17"/>
        <v>1.6240746533208217</v>
      </c>
      <c r="BV4" s="108">
        <f t="shared" si="42"/>
        <v>5371.2068965517246</v>
      </c>
      <c r="BW4" s="109">
        <f t="shared" si="19"/>
        <v>21.641542202153527</v>
      </c>
      <c r="BX4" s="109">
        <f t="shared" si="20"/>
        <v>1.379519539466401</v>
      </c>
      <c r="BY4" s="109">
        <f t="shared" si="43"/>
        <v>0.41564766078945437</v>
      </c>
      <c r="BZ4" s="206">
        <v>301</v>
      </c>
      <c r="CA4" s="206">
        <v>24</v>
      </c>
      <c r="CB4" s="206">
        <v>152</v>
      </c>
      <c r="CC4" s="113">
        <f t="shared" si="44"/>
        <v>477</v>
      </c>
      <c r="CD4" s="206">
        <v>5461</v>
      </c>
      <c r="CE4" s="206">
        <v>869</v>
      </c>
      <c r="CF4" s="206">
        <v>854</v>
      </c>
      <c r="CG4" s="116">
        <f t="shared" si="45"/>
        <v>7184</v>
      </c>
      <c r="CH4" s="109">
        <f t="shared" si="23"/>
        <v>0.18725888854134085</v>
      </c>
      <c r="CI4" s="206">
        <v>45165</v>
      </c>
      <c r="CJ4" s="109">
        <f t="shared" si="24"/>
        <v>1.1772755708476697</v>
      </c>
      <c r="CK4" s="223">
        <v>8986</v>
      </c>
      <c r="CL4" s="209" t="s">
        <v>7</v>
      </c>
      <c r="CM4" s="209" t="s">
        <v>7</v>
      </c>
      <c r="CN4" s="209" t="s">
        <v>7</v>
      </c>
      <c r="CO4" s="210">
        <v>1</v>
      </c>
      <c r="CP4" s="108">
        <f>C4/CO4</f>
        <v>38364</v>
      </c>
      <c r="CQ4" s="210">
        <v>0</v>
      </c>
      <c r="CR4" s="210">
        <v>10.6</v>
      </c>
      <c r="CS4" s="180">
        <f t="shared" si="46"/>
        <v>11.6</v>
      </c>
      <c r="CT4" s="108">
        <f t="shared" si="26"/>
        <v>3307.2413793103451</v>
      </c>
      <c r="CU4" s="206" t="s">
        <v>913</v>
      </c>
      <c r="CV4" s="208">
        <v>50412</v>
      </c>
      <c r="CW4" s="210">
        <v>20</v>
      </c>
      <c r="CX4" s="209" t="s">
        <v>7</v>
      </c>
      <c r="CY4" s="209" t="s">
        <v>7</v>
      </c>
      <c r="CZ4" s="206">
        <v>3764</v>
      </c>
      <c r="DA4" s="206">
        <v>3815</v>
      </c>
      <c r="DB4" s="206">
        <v>16</v>
      </c>
      <c r="DC4" s="206">
        <v>7320</v>
      </c>
      <c r="DD4" s="206" t="s">
        <v>1115</v>
      </c>
      <c r="DE4" s="206">
        <v>29086</v>
      </c>
      <c r="DF4" s="206">
        <v>4893</v>
      </c>
      <c r="DG4" s="206">
        <v>51</v>
      </c>
      <c r="DH4" s="210">
        <f t="shared" si="27"/>
        <v>0.12754144510478574</v>
      </c>
      <c r="DI4" s="206">
        <v>29</v>
      </c>
      <c r="DJ4" s="206">
        <v>29</v>
      </c>
      <c r="DL4" s="347">
        <v>2879</v>
      </c>
      <c r="DM4" s="205"/>
      <c r="DN4" s="209" t="s">
        <v>1034</v>
      </c>
      <c r="DO4" s="209" t="s">
        <v>125</v>
      </c>
      <c r="DP4" s="209"/>
      <c r="DQ4" s="207"/>
      <c r="DR4" s="218" t="s">
        <v>1123</v>
      </c>
      <c r="DS4" s="205" t="s">
        <v>959</v>
      </c>
      <c r="DT4" s="229">
        <v>43282</v>
      </c>
      <c r="DU4" s="229">
        <v>43646</v>
      </c>
      <c r="DV4" s="218" t="s">
        <v>1123</v>
      </c>
      <c r="DW4" s="109">
        <f t="shared" si="28"/>
        <v>0.65467625899280579</v>
      </c>
      <c r="DX4" s="109">
        <f t="shared" si="29"/>
        <v>0</v>
      </c>
      <c r="DY4" s="109">
        <f t="shared" si="30"/>
        <v>1.5047961630695443</v>
      </c>
      <c r="DZ4" s="109">
        <f t="shared" si="31"/>
        <v>0.11927849025127724</v>
      </c>
      <c r="EA4" s="110">
        <f t="shared" si="32"/>
        <v>0.47887646959418678</v>
      </c>
      <c r="EB4" s="200">
        <f t="shared" si="47"/>
        <v>1.4825174825174825</v>
      </c>
    </row>
    <row r="5" spans="1:132" ht="17" thickBot="1">
      <c r="A5" s="218" t="s">
        <v>1124</v>
      </c>
      <c r="B5" s="342" t="s">
        <v>1176</v>
      </c>
      <c r="C5" s="347">
        <v>154918</v>
      </c>
      <c r="D5" s="207">
        <v>2</v>
      </c>
      <c r="E5" s="207">
        <v>0</v>
      </c>
      <c r="F5" s="206">
        <v>71101</v>
      </c>
      <c r="H5" s="108">
        <f t="shared" si="0"/>
        <v>71101</v>
      </c>
      <c r="I5" s="109">
        <v>0.45840999999999998</v>
      </c>
      <c r="J5" s="208">
        <v>1605603</v>
      </c>
      <c r="K5" s="208">
        <v>453692</v>
      </c>
      <c r="L5" s="115">
        <f t="shared" si="33"/>
        <v>2059295</v>
      </c>
      <c r="M5" s="110">
        <f t="shared" si="1"/>
        <v>13.292806516996087</v>
      </c>
      <c r="N5" s="208">
        <v>121458</v>
      </c>
      <c r="O5" s="208">
        <v>16551</v>
      </c>
      <c r="P5" s="222">
        <v>16719</v>
      </c>
      <c r="Q5" s="115">
        <v>154728</v>
      </c>
      <c r="R5" s="110">
        <f t="shared" si="2"/>
        <v>0.99877354471397772</v>
      </c>
      <c r="S5" s="222">
        <v>420769</v>
      </c>
      <c r="T5" s="208">
        <v>2634792</v>
      </c>
      <c r="U5" s="208">
        <v>0</v>
      </c>
      <c r="V5" s="208">
        <v>2634792</v>
      </c>
      <c r="W5" s="110">
        <f t="shared" si="3"/>
        <v>17.007655662995909</v>
      </c>
      <c r="X5" s="111">
        <f t="shared" si="34"/>
        <v>0.78157782473910653</v>
      </c>
      <c r="Y5" s="111">
        <f t="shared" si="35"/>
        <v>5.8724939198236521E-2</v>
      </c>
      <c r="Z5" s="111">
        <f t="shared" si="36"/>
        <v>0.15969723606265693</v>
      </c>
      <c r="AA5" s="111">
        <f t="shared" si="37"/>
        <v>0</v>
      </c>
      <c r="AB5" s="208">
        <v>0</v>
      </c>
      <c r="AE5" s="208"/>
      <c r="AF5" s="208">
        <v>2634792</v>
      </c>
      <c r="AG5" s="208">
        <v>1858220</v>
      </c>
      <c r="AH5" s="208"/>
      <c r="AI5" s="115">
        <f t="shared" si="8"/>
        <v>4493012</v>
      </c>
      <c r="AJ5" s="110">
        <f t="shared" si="9"/>
        <v>29.002517460850257</v>
      </c>
      <c r="AK5" s="208">
        <v>377580</v>
      </c>
      <c r="AL5" s="208">
        <v>46516</v>
      </c>
      <c r="AM5" s="208">
        <v>317111</v>
      </c>
      <c r="AN5" s="208"/>
      <c r="AO5" s="115">
        <f t="shared" si="38"/>
        <v>317111</v>
      </c>
      <c r="AP5" s="208">
        <v>2605027</v>
      </c>
      <c r="AQ5" s="112">
        <f t="shared" si="11"/>
        <v>16.815521759898786</v>
      </c>
      <c r="AR5" s="208"/>
      <c r="AS5" s="222">
        <v>0</v>
      </c>
      <c r="AT5" s="208">
        <v>0</v>
      </c>
      <c r="AU5" s="222">
        <v>0</v>
      </c>
      <c r="AV5" s="222">
        <v>0</v>
      </c>
      <c r="AW5" s="208"/>
      <c r="AX5" s="222">
        <v>0</v>
      </c>
      <c r="AY5" s="115">
        <f t="shared" si="39"/>
        <v>0</v>
      </c>
      <c r="AZ5" s="206">
        <v>199399</v>
      </c>
      <c r="BA5" s="109">
        <f t="shared" si="13"/>
        <v>1.2871260925134587</v>
      </c>
      <c r="BB5" s="223">
        <v>10319</v>
      </c>
      <c r="BC5" s="223">
        <v>10319</v>
      </c>
      <c r="BD5" s="223">
        <v>11534</v>
      </c>
      <c r="BE5" s="223">
        <v>31752</v>
      </c>
      <c r="BF5" s="223">
        <v>74242</v>
      </c>
      <c r="BG5" s="223">
        <v>1</v>
      </c>
      <c r="BH5" s="223">
        <v>89</v>
      </c>
      <c r="BI5" s="206">
        <v>0</v>
      </c>
      <c r="BJ5" s="116">
        <f t="shared" si="40"/>
        <v>90</v>
      </c>
      <c r="BK5" s="223">
        <v>342356</v>
      </c>
      <c r="BL5" s="109">
        <f t="shared" si="15"/>
        <v>2.2099175047444453</v>
      </c>
      <c r="BM5" s="223">
        <v>173</v>
      </c>
      <c r="BN5" s="206">
        <v>24492</v>
      </c>
      <c r="BO5" s="109">
        <f t="shared" si="16"/>
        <v>0.15809654139609342</v>
      </c>
      <c r="BP5" s="206">
        <v>184009</v>
      </c>
      <c r="BQ5" s="206">
        <v>0</v>
      </c>
      <c r="BR5" s="230">
        <f t="shared" si="41"/>
        <v>421368</v>
      </c>
      <c r="BS5" s="230">
        <v>89749</v>
      </c>
      <c r="BT5" s="223">
        <v>511117</v>
      </c>
      <c r="BU5" s="109">
        <f t="shared" si="17"/>
        <v>3.2992744548729007</v>
      </c>
      <c r="BV5" s="108">
        <f t="shared" si="42"/>
        <v>10269.580068314244</v>
      </c>
      <c r="BW5" s="109">
        <f t="shared" si="19"/>
        <v>61.63977327544621</v>
      </c>
      <c r="BX5" s="109">
        <f t="shared" si="20"/>
        <v>1.7898321584776953</v>
      </c>
      <c r="BY5" s="109">
        <f t="shared" si="43"/>
        <v>1.4929400974424283</v>
      </c>
      <c r="BZ5" s="206">
        <v>1304</v>
      </c>
      <c r="CA5" s="206">
        <v>65</v>
      </c>
      <c r="CB5" s="206">
        <v>457</v>
      </c>
      <c r="CC5" s="113">
        <f t="shared" si="44"/>
        <v>1826</v>
      </c>
      <c r="CD5" s="206">
        <v>26924</v>
      </c>
      <c r="CE5" s="206">
        <v>1147</v>
      </c>
      <c r="CF5" s="206">
        <v>6072</v>
      </c>
      <c r="CG5" s="116">
        <f t="shared" si="45"/>
        <v>34143</v>
      </c>
      <c r="CH5" s="109">
        <f t="shared" si="23"/>
        <v>0.2203940148982042</v>
      </c>
      <c r="CI5" s="206">
        <v>285567</v>
      </c>
      <c r="CJ5" s="109">
        <f t="shared" si="24"/>
        <v>1.8433429298080275</v>
      </c>
      <c r="CK5" s="223">
        <v>60759</v>
      </c>
      <c r="CL5" s="209" t="s">
        <v>7</v>
      </c>
      <c r="CM5" s="209" t="s">
        <v>7</v>
      </c>
      <c r="CN5" s="209" t="s">
        <v>7</v>
      </c>
      <c r="CO5" s="210">
        <v>12.63</v>
      </c>
      <c r="CP5" s="108">
        <f>C5/CO5</f>
        <v>12265.874901029294</v>
      </c>
      <c r="CQ5" s="210">
        <v>2</v>
      </c>
      <c r="CR5" s="210">
        <v>35.14</v>
      </c>
      <c r="CS5" s="180">
        <f t="shared" si="46"/>
        <v>49.77</v>
      </c>
      <c r="CT5" s="108">
        <f t="shared" si="26"/>
        <v>3112.6783202732568</v>
      </c>
      <c r="CU5" s="206">
        <v>4570</v>
      </c>
      <c r="CV5" s="208">
        <v>71758</v>
      </c>
      <c r="CW5" s="210">
        <v>32</v>
      </c>
      <c r="CX5" s="209" t="s">
        <v>7</v>
      </c>
      <c r="CY5" s="209" t="s">
        <v>7</v>
      </c>
      <c r="CZ5" s="206">
        <v>16729</v>
      </c>
      <c r="DA5" s="206">
        <v>27466</v>
      </c>
      <c r="DB5" s="206">
        <v>115</v>
      </c>
      <c r="DC5" s="206">
        <v>36987</v>
      </c>
      <c r="DD5" s="206">
        <v>34246</v>
      </c>
      <c r="DE5" s="206">
        <v>164938</v>
      </c>
      <c r="DF5" s="206">
        <v>11300</v>
      </c>
      <c r="DG5" s="206">
        <v>50</v>
      </c>
      <c r="DH5" s="210">
        <f t="shared" si="27"/>
        <v>7.2941814379219969E-2</v>
      </c>
      <c r="DI5" s="206">
        <v>35</v>
      </c>
      <c r="DJ5" s="206">
        <v>35</v>
      </c>
      <c r="DL5" s="347">
        <v>8292</v>
      </c>
      <c r="DM5" s="205"/>
      <c r="DN5" s="209" t="s">
        <v>1035</v>
      </c>
      <c r="DO5" s="209" t="s">
        <v>1030</v>
      </c>
      <c r="DP5" s="209"/>
      <c r="DQ5" s="207"/>
      <c r="DR5" s="218" t="s">
        <v>1124</v>
      </c>
      <c r="DS5" s="205" t="s">
        <v>960</v>
      </c>
      <c r="DT5" s="229">
        <v>43282</v>
      </c>
      <c r="DU5" s="229">
        <v>43646</v>
      </c>
      <c r="DV5" s="218" t="s">
        <v>1124</v>
      </c>
      <c r="DW5" s="109">
        <f t="shared" si="28"/>
        <v>1.1877832143456539</v>
      </c>
      <c r="DX5" s="109">
        <f t="shared" si="29"/>
        <v>0</v>
      </c>
      <c r="DY5" s="109">
        <f t="shared" si="30"/>
        <v>2.7199421629507223</v>
      </c>
      <c r="DZ5" s="109">
        <f t="shared" si="31"/>
        <v>0.57933229192217817</v>
      </c>
      <c r="EA5" s="110">
        <f t="shared" si="32"/>
        <v>0.20063200286763455</v>
      </c>
      <c r="EB5" s="200">
        <f t="shared" si="47"/>
        <v>0.18441431102296404</v>
      </c>
    </row>
    <row r="6" spans="1:132" ht="17" thickBot="1">
      <c r="A6" s="218" t="s">
        <v>1125</v>
      </c>
      <c r="B6" s="342" t="s">
        <v>1177</v>
      </c>
      <c r="C6" s="347">
        <v>51960</v>
      </c>
      <c r="D6" s="207">
        <v>4</v>
      </c>
      <c r="E6" s="207">
        <v>1</v>
      </c>
      <c r="F6" s="206">
        <v>28632</v>
      </c>
      <c r="H6" s="108">
        <f t="shared" si="0"/>
        <v>28632</v>
      </c>
      <c r="I6" s="109">
        <v>0.55469000000000002</v>
      </c>
      <c r="J6" s="208">
        <v>396261</v>
      </c>
      <c r="K6" s="208">
        <v>160145</v>
      </c>
      <c r="L6" s="115">
        <f t="shared" si="33"/>
        <v>556406</v>
      </c>
      <c r="M6" s="110">
        <f t="shared" si="1"/>
        <v>10.708352578906851</v>
      </c>
      <c r="N6" s="208">
        <v>66700</v>
      </c>
      <c r="O6" s="208">
        <v>0</v>
      </c>
      <c r="P6" s="222">
        <v>0</v>
      </c>
      <c r="Q6" s="115">
        <v>66700</v>
      </c>
      <c r="R6" s="110">
        <f t="shared" si="2"/>
        <v>1.2836797536566589</v>
      </c>
      <c r="S6" s="222">
        <v>219722</v>
      </c>
      <c r="T6" s="208">
        <v>842828</v>
      </c>
      <c r="U6" s="208">
        <v>0</v>
      </c>
      <c r="V6" s="208">
        <v>842828</v>
      </c>
      <c r="W6" s="110">
        <f t="shared" si="3"/>
        <v>16.220708237105466</v>
      </c>
      <c r="X6" s="111">
        <f t="shared" si="34"/>
        <v>0.66016553792707411</v>
      </c>
      <c r="Y6" s="111">
        <f t="shared" si="35"/>
        <v>7.9138329528682008E-2</v>
      </c>
      <c r="Z6" s="111">
        <f t="shared" si="36"/>
        <v>0.2606961325442439</v>
      </c>
      <c r="AA6" s="111">
        <f t="shared" si="37"/>
        <v>0</v>
      </c>
      <c r="AB6" s="208">
        <v>0</v>
      </c>
      <c r="AE6" s="208"/>
      <c r="AF6" s="208">
        <v>842828</v>
      </c>
      <c r="AG6" s="208">
        <v>360566</v>
      </c>
      <c r="AH6" s="208"/>
      <c r="AI6" s="115">
        <f t="shared" si="8"/>
        <v>1203394</v>
      </c>
      <c r="AJ6" s="110">
        <f t="shared" si="9"/>
        <v>23.160007698229407</v>
      </c>
      <c r="AK6" s="208">
        <v>296904</v>
      </c>
      <c r="AL6" s="208">
        <v>4200</v>
      </c>
      <c r="AM6" s="208">
        <v>84529</v>
      </c>
      <c r="AN6" s="208"/>
      <c r="AO6" s="115">
        <f t="shared" si="38"/>
        <v>84529</v>
      </c>
      <c r="AP6" s="208">
        <v>836491</v>
      </c>
      <c r="AQ6" s="112">
        <f t="shared" si="11"/>
        <v>16.098749037721323</v>
      </c>
      <c r="AR6" s="208"/>
      <c r="AS6" s="222">
        <v>0</v>
      </c>
      <c r="AT6" s="208">
        <v>0</v>
      </c>
      <c r="AU6" s="222">
        <v>0</v>
      </c>
      <c r="AV6" s="222">
        <v>0</v>
      </c>
      <c r="AW6" s="208"/>
      <c r="AX6" s="222">
        <v>0</v>
      </c>
      <c r="AY6" s="115">
        <f t="shared" si="39"/>
        <v>0</v>
      </c>
      <c r="AZ6" s="206">
        <v>153963</v>
      </c>
      <c r="BA6" s="109">
        <f t="shared" si="13"/>
        <v>2.96310623556582</v>
      </c>
      <c r="BB6" s="223">
        <v>2477</v>
      </c>
      <c r="BC6" s="223">
        <v>2477</v>
      </c>
      <c r="BD6" s="223">
        <v>4200</v>
      </c>
      <c r="BE6" s="223">
        <v>2067</v>
      </c>
      <c r="BF6" s="223">
        <v>107596</v>
      </c>
      <c r="BG6" s="223">
        <v>1</v>
      </c>
      <c r="BH6" s="223">
        <v>89</v>
      </c>
      <c r="BI6" s="206">
        <v>0</v>
      </c>
      <c r="BJ6" s="116">
        <f t="shared" si="40"/>
        <v>90</v>
      </c>
      <c r="BK6" s="223">
        <v>289363</v>
      </c>
      <c r="BL6" s="109">
        <f t="shared" si="15"/>
        <v>5.5689568899153192</v>
      </c>
      <c r="BM6" s="223">
        <v>54</v>
      </c>
      <c r="BN6" s="206">
        <v>29875</v>
      </c>
      <c r="BO6" s="109">
        <f t="shared" si="16"/>
        <v>0.57496150885296382</v>
      </c>
      <c r="BP6" s="206">
        <v>90436</v>
      </c>
      <c r="BQ6" s="206">
        <v>0</v>
      </c>
      <c r="BR6" s="230">
        <f t="shared" si="41"/>
        <v>174501</v>
      </c>
      <c r="BS6" s="230">
        <v>25093</v>
      </c>
      <c r="BT6" s="223">
        <v>199594</v>
      </c>
      <c r="BU6" s="109">
        <f t="shared" si="17"/>
        <v>3.8413010007698229</v>
      </c>
      <c r="BV6" s="108">
        <f t="shared" si="42"/>
        <v>9072.454545454546</v>
      </c>
      <c r="BW6" s="109">
        <f t="shared" si="19"/>
        <v>21.868521967787881</v>
      </c>
      <c r="BX6" s="109">
        <f t="shared" si="20"/>
        <v>3.2195177030405677</v>
      </c>
      <c r="BY6" s="109">
        <f t="shared" si="43"/>
        <v>0.68977028853032352</v>
      </c>
      <c r="BZ6" s="206">
        <v>174</v>
      </c>
      <c r="CA6" s="206">
        <v>17</v>
      </c>
      <c r="CB6" s="206">
        <v>1159</v>
      </c>
      <c r="CC6" s="113">
        <f t="shared" si="44"/>
        <v>1350</v>
      </c>
      <c r="CD6" s="206">
        <v>2110</v>
      </c>
      <c r="CE6" s="206">
        <v>76</v>
      </c>
      <c r="CF6" s="206">
        <v>8872</v>
      </c>
      <c r="CG6" s="116">
        <f t="shared" si="45"/>
        <v>11058</v>
      </c>
      <c r="CH6" s="109">
        <f t="shared" si="23"/>
        <v>0.2128175519630485</v>
      </c>
      <c r="CI6" s="206">
        <v>61995</v>
      </c>
      <c r="CJ6" s="109">
        <f t="shared" si="24"/>
        <v>1.1931293302540416</v>
      </c>
      <c r="CK6" s="223">
        <v>42329</v>
      </c>
      <c r="CL6" s="209" t="s">
        <v>7</v>
      </c>
      <c r="CM6" s="209" t="s">
        <v>7</v>
      </c>
      <c r="CN6" s="209" t="s">
        <v>7</v>
      </c>
      <c r="CO6" s="210">
        <v>2</v>
      </c>
      <c r="CP6" s="108">
        <f>C6/CO6</f>
        <v>25980</v>
      </c>
      <c r="CQ6" s="210">
        <v>1</v>
      </c>
      <c r="CR6" s="210">
        <v>19</v>
      </c>
      <c r="CS6" s="180">
        <f t="shared" si="46"/>
        <v>22</v>
      </c>
      <c r="CT6" s="108">
        <f t="shared" si="26"/>
        <v>2361.818181818182</v>
      </c>
      <c r="CU6" s="206">
        <v>428</v>
      </c>
      <c r="CV6" s="208">
        <v>42618</v>
      </c>
      <c r="CW6" s="210">
        <v>40</v>
      </c>
      <c r="CX6" s="209" t="s">
        <v>7</v>
      </c>
      <c r="CY6" s="209" t="s">
        <v>7</v>
      </c>
      <c r="CZ6" s="206">
        <v>0</v>
      </c>
      <c r="DA6" s="206">
        <v>0</v>
      </c>
      <c r="DB6" s="206">
        <v>108</v>
      </c>
      <c r="DC6" s="206">
        <v>15754</v>
      </c>
      <c r="DD6" s="206">
        <v>11723</v>
      </c>
      <c r="DE6" s="206">
        <v>30180</v>
      </c>
      <c r="DF6" s="206">
        <v>11832</v>
      </c>
      <c r="DG6" s="206">
        <v>52</v>
      </c>
      <c r="DH6" s="210">
        <f t="shared" si="27"/>
        <v>0.22771362586605082</v>
      </c>
      <c r="DI6" s="206">
        <v>47</v>
      </c>
      <c r="DJ6" s="206">
        <v>47</v>
      </c>
      <c r="DK6" s="108">
        <v>2691</v>
      </c>
      <c r="DL6" s="347">
        <v>9127</v>
      </c>
      <c r="DM6" s="205"/>
      <c r="DN6" s="209" t="s">
        <v>1036</v>
      </c>
      <c r="DO6" s="209" t="s">
        <v>1030</v>
      </c>
      <c r="DP6" s="209"/>
      <c r="DQ6" s="207"/>
      <c r="DR6" s="218" t="s">
        <v>1125</v>
      </c>
      <c r="DS6" s="205" t="s">
        <v>961</v>
      </c>
      <c r="DT6" s="229">
        <v>43282</v>
      </c>
      <c r="DU6" s="229">
        <v>43646</v>
      </c>
      <c r="DV6" s="218" t="s">
        <v>1125</v>
      </c>
      <c r="DW6" s="109">
        <f t="shared" si="28"/>
        <v>1.7404926866820631</v>
      </c>
      <c r="DX6" s="109">
        <f t="shared" si="29"/>
        <v>0</v>
      </c>
      <c r="DY6" s="109">
        <f t="shared" si="30"/>
        <v>3.3583718244803693</v>
      </c>
      <c r="DZ6" s="109">
        <f t="shared" si="31"/>
        <v>0.48292917628945342</v>
      </c>
      <c r="EA6" s="110">
        <f t="shared" ref="EA6:EA37" si="48">N6/(BP6+BR6)</f>
        <v>0.25175796510113724</v>
      </c>
      <c r="EB6" s="200">
        <v>0</v>
      </c>
    </row>
    <row r="7" spans="1:132" ht="17" thickBot="1">
      <c r="A7" s="218" t="s">
        <v>1126</v>
      </c>
      <c r="B7" s="342" t="s">
        <v>1178</v>
      </c>
      <c r="C7" s="347">
        <v>66294</v>
      </c>
      <c r="D7" s="207">
        <v>7</v>
      </c>
      <c r="E7" s="207">
        <v>0</v>
      </c>
      <c r="F7" s="206">
        <v>31962</v>
      </c>
      <c r="H7" s="108">
        <f t="shared" si="0"/>
        <v>31962</v>
      </c>
      <c r="I7" s="109">
        <v>0.47832000000000002</v>
      </c>
      <c r="J7" s="208">
        <v>486163</v>
      </c>
      <c r="K7" s="208">
        <v>128235</v>
      </c>
      <c r="L7" s="115">
        <f t="shared" si="33"/>
        <v>614398</v>
      </c>
      <c r="M7" s="110">
        <f t="shared" si="1"/>
        <v>9.2677768727184962</v>
      </c>
      <c r="N7" s="208">
        <v>43154</v>
      </c>
      <c r="O7" s="208">
        <v>6732</v>
      </c>
      <c r="P7" s="222">
        <v>7319</v>
      </c>
      <c r="Q7" s="115">
        <v>57205</v>
      </c>
      <c r="R7" s="110">
        <f t="shared" si="2"/>
        <v>0.86289860319184242</v>
      </c>
      <c r="S7" s="222">
        <v>143020</v>
      </c>
      <c r="T7" s="208">
        <v>814623</v>
      </c>
      <c r="U7" s="208">
        <v>0</v>
      </c>
      <c r="V7" s="208">
        <v>814623</v>
      </c>
      <c r="W7" s="110">
        <f t="shared" si="3"/>
        <v>12.288035116300117</v>
      </c>
      <c r="X7" s="111">
        <f t="shared" si="34"/>
        <v>0.75421145732443107</v>
      </c>
      <c r="Y7" s="111">
        <f t="shared" si="35"/>
        <v>7.0222667417934426E-2</v>
      </c>
      <c r="Z7" s="111">
        <f t="shared" si="36"/>
        <v>0.17556587525763451</v>
      </c>
      <c r="AA7" s="111">
        <f t="shared" si="37"/>
        <v>0</v>
      </c>
      <c r="AB7" s="208">
        <v>0</v>
      </c>
      <c r="AE7" s="208"/>
      <c r="AF7" s="208">
        <v>814623</v>
      </c>
      <c r="AG7" s="208">
        <v>376825</v>
      </c>
      <c r="AH7" s="208"/>
      <c r="AI7" s="115">
        <f t="shared" si="8"/>
        <v>1191448</v>
      </c>
      <c r="AJ7" s="110">
        <f t="shared" si="9"/>
        <v>17.972184511418831</v>
      </c>
      <c r="AK7" s="208">
        <v>299668</v>
      </c>
      <c r="AL7" s="208">
        <v>7529</v>
      </c>
      <c r="AM7" s="208">
        <v>63697</v>
      </c>
      <c r="AN7" s="208"/>
      <c r="AO7" s="115">
        <f t="shared" si="38"/>
        <v>63697</v>
      </c>
      <c r="AP7" s="208">
        <v>855469</v>
      </c>
      <c r="AQ7" s="112">
        <f t="shared" si="11"/>
        <v>12.904169306422904</v>
      </c>
      <c r="AR7" s="208"/>
      <c r="AS7" s="222">
        <v>0</v>
      </c>
      <c r="AT7" s="208">
        <v>0</v>
      </c>
      <c r="AU7" s="222">
        <v>0</v>
      </c>
      <c r="AV7" s="222">
        <v>0</v>
      </c>
      <c r="AW7" s="208"/>
      <c r="AX7" s="222">
        <v>0</v>
      </c>
      <c r="AY7" s="115">
        <f t="shared" si="39"/>
        <v>0</v>
      </c>
      <c r="AZ7" s="206">
        <v>96804</v>
      </c>
      <c r="BA7" s="109">
        <f t="shared" si="13"/>
        <v>1.4602226445832203</v>
      </c>
      <c r="BB7" s="223">
        <v>1735</v>
      </c>
      <c r="BC7" s="223">
        <v>1735</v>
      </c>
      <c r="BD7" s="223">
        <v>6478</v>
      </c>
      <c r="BE7" s="223">
        <v>1752</v>
      </c>
      <c r="BF7" s="223">
        <v>73336</v>
      </c>
      <c r="BG7" s="223">
        <v>1</v>
      </c>
      <c r="BH7" s="223">
        <v>89</v>
      </c>
      <c r="BI7" s="206">
        <v>0</v>
      </c>
      <c r="BJ7" s="116">
        <f t="shared" si="40"/>
        <v>90</v>
      </c>
      <c r="BK7" s="223">
        <v>201374</v>
      </c>
      <c r="BL7" s="109">
        <f t="shared" si="15"/>
        <v>3.0375901288201046</v>
      </c>
      <c r="BM7" s="223">
        <v>32</v>
      </c>
      <c r="BN7" s="206">
        <v>7220</v>
      </c>
      <c r="BO7" s="109">
        <f t="shared" si="16"/>
        <v>0.10890880019307932</v>
      </c>
      <c r="BP7" s="206">
        <v>20828</v>
      </c>
      <c r="BQ7" s="206">
        <v>0</v>
      </c>
      <c r="BR7" s="230">
        <f t="shared" si="41"/>
        <v>43931</v>
      </c>
      <c r="BS7" s="230">
        <v>7063</v>
      </c>
      <c r="BT7" s="223">
        <v>50994</v>
      </c>
      <c r="BU7" s="109">
        <f t="shared" si="17"/>
        <v>0.76920988324735273</v>
      </c>
      <c r="BV7" s="108">
        <f t="shared" si="42"/>
        <v>2817.3480662983425</v>
      </c>
      <c r="BW7" s="109">
        <f t="shared" si="19"/>
        <v>3.8226386806596704</v>
      </c>
      <c r="BX7" s="109">
        <f t="shared" si="20"/>
        <v>0.72564533113242446</v>
      </c>
      <c r="BY7" s="109">
        <f t="shared" si="43"/>
        <v>0.25323030778551353</v>
      </c>
      <c r="BZ7" s="206">
        <v>346</v>
      </c>
      <c r="CA7" s="206">
        <v>15</v>
      </c>
      <c r="CB7" s="206">
        <v>151</v>
      </c>
      <c r="CC7" s="113">
        <f t="shared" si="44"/>
        <v>512</v>
      </c>
      <c r="CD7" s="206">
        <v>6666</v>
      </c>
      <c r="CE7" s="206">
        <v>107</v>
      </c>
      <c r="CF7" s="206">
        <v>1630</v>
      </c>
      <c r="CG7" s="116">
        <f t="shared" si="45"/>
        <v>8403</v>
      </c>
      <c r="CH7" s="109">
        <f t="shared" si="23"/>
        <v>0.12675355235767943</v>
      </c>
      <c r="CI7" s="206">
        <v>70274</v>
      </c>
      <c r="CJ7" s="109">
        <f t="shared" si="24"/>
        <v>1.0600355989984012</v>
      </c>
      <c r="CK7" s="223">
        <v>21059</v>
      </c>
      <c r="CL7" s="209" t="s">
        <v>7</v>
      </c>
      <c r="CM7" s="209" t="s">
        <v>7</v>
      </c>
      <c r="CN7" s="209" t="s">
        <v>7</v>
      </c>
      <c r="CO7" s="210">
        <v>2</v>
      </c>
      <c r="CP7" s="108">
        <f>C7/CO7</f>
        <v>33147</v>
      </c>
      <c r="CQ7" s="210">
        <v>1</v>
      </c>
      <c r="CR7" s="210">
        <v>15.1</v>
      </c>
      <c r="CS7" s="180">
        <f t="shared" si="46"/>
        <v>18.100000000000001</v>
      </c>
      <c r="CT7" s="108">
        <f t="shared" si="26"/>
        <v>3662.6519337016571</v>
      </c>
      <c r="CU7" s="206">
        <v>231</v>
      </c>
      <c r="CV7" s="208">
        <v>51000</v>
      </c>
      <c r="CW7" s="210">
        <v>40</v>
      </c>
      <c r="CX7" s="209" t="s">
        <v>7</v>
      </c>
      <c r="CY7" s="209" t="s">
        <v>7</v>
      </c>
      <c r="CZ7" s="206">
        <v>4103</v>
      </c>
      <c r="DA7" s="206">
        <v>3391</v>
      </c>
      <c r="DB7" s="206">
        <v>91</v>
      </c>
      <c r="DC7" s="206">
        <v>19127</v>
      </c>
      <c r="DD7" s="206">
        <v>33315</v>
      </c>
      <c r="DE7" s="206">
        <v>53616</v>
      </c>
      <c r="DF7" s="206">
        <v>16640</v>
      </c>
      <c r="DG7" s="206">
        <v>52</v>
      </c>
      <c r="DH7" s="210">
        <f t="shared" si="27"/>
        <v>0.25100310737019943</v>
      </c>
      <c r="DI7" s="206">
        <v>64</v>
      </c>
      <c r="DJ7" s="206">
        <v>64</v>
      </c>
      <c r="DL7" s="347">
        <v>13340</v>
      </c>
      <c r="DM7" s="205"/>
      <c r="DN7" s="209" t="s">
        <v>1037</v>
      </c>
      <c r="DO7" s="209" t="s">
        <v>1030</v>
      </c>
      <c r="DP7" s="209"/>
      <c r="DQ7" s="207"/>
      <c r="DR7" s="218" t="s">
        <v>1126</v>
      </c>
      <c r="DS7" s="205" t="s">
        <v>962</v>
      </c>
      <c r="DT7" s="229">
        <v>43282</v>
      </c>
      <c r="DU7" s="229">
        <v>43646</v>
      </c>
      <c r="DV7" s="218" t="s">
        <v>1126</v>
      </c>
      <c r="DW7" s="109">
        <f t="shared" si="28"/>
        <v>0.31417624521072796</v>
      </c>
      <c r="DX7" s="109">
        <f t="shared" si="29"/>
        <v>0</v>
      </c>
      <c r="DY7" s="109">
        <f t="shared" si="30"/>
        <v>0.66266932150722535</v>
      </c>
      <c r="DZ7" s="109">
        <f t="shared" si="31"/>
        <v>0.10654056174012731</v>
      </c>
      <c r="EA7" s="110">
        <f t="shared" si="48"/>
        <v>0.66637841844376844</v>
      </c>
      <c r="EB7" s="200">
        <f t="shared" si="47"/>
        <v>0.95313606116381144</v>
      </c>
    </row>
    <row r="8" spans="1:132" ht="17" thickBot="1">
      <c r="A8" s="218" t="s">
        <v>1127</v>
      </c>
      <c r="B8" s="342" t="s">
        <v>1179</v>
      </c>
      <c r="C8" s="347">
        <v>34475</v>
      </c>
      <c r="D8" s="207">
        <v>2</v>
      </c>
      <c r="E8" s="207">
        <v>1</v>
      </c>
      <c r="F8" s="206">
        <v>15132</v>
      </c>
      <c r="H8" s="108">
        <f t="shared" si="0"/>
        <v>15132</v>
      </c>
      <c r="I8" s="109">
        <v>0.44119000000000003</v>
      </c>
      <c r="J8" s="208">
        <v>379356</v>
      </c>
      <c r="K8" s="208">
        <v>159629</v>
      </c>
      <c r="L8" s="115">
        <f t="shared" si="33"/>
        <v>538985</v>
      </c>
      <c r="M8" s="110">
        <f t="shared" si="1"/>
        <v>15.634082668600435</v>
      </c>
      <c r="N8" s="208">
        <v>12787</v>
      </c>
      <c r="O8" s="208">
        <v>6000</v>
      </c>
      <c r="P8" s="222">
        <v>1541</v>
      </c>
      <c r="Q8" s="115">
        <v>20328</v>
      </c>
      <c r="R8" s="110">
        <f t="shared" si="2"/>
        <v>0.58964467005076138</v>
      </c>
      <c r="S8" s="222">
        <v>25271</v>
      </c>
      <c r="T8" s="208">
        <v>584584</v>
      </c>
      <c r="U8" s="208">
        <v>0</v>
      </c>
      <c r="V8" s="208">
        <v>584584</v>
      </c>
      <c r="W8" s="110">
        <f t="shared" si="3"/>
        <v>16.956751269035532</v>
      </c>
      <c r="X8" s="111">
        <f t="shared" si="34"/>
        <v>0.92199752302492033</v>
      </c>
      <c r="Y8" s="111">
        <f t="shared" si="35"/>
        <v>3.4773445732349841E-2</v>
      </c>
      <c r="Z8" s="111">
        <f t="shared" si="36"/>
        <v>4.3229031242729872E-2</v>
      </c>
      <c r="AA8" s="111">
        <f t="shared" si="37"/>
        <v>0</v>
      </c>
      <c r="AB8" s="208">
        <v>0</v>
      </c>
      <c r="AE8" s="208"/>
      <c r="AF8" s="208">
        <v>584584</v>
      </c>
      <c r="AG8" s="208">
        <v>512034</v>
      </c>
      <c r="AH8" s="208"/>
      <c r="AI8" s="115">
        <f t="shared" si="8"/>
        <v>1096618</v>
      </c>
      <c r="AJ8" s="110">
        <f t="shared" si="9"/>
        <v>31.809079042784628</v>
      </c>
      <c r="AK8" s="208">
        <v>93852</v>
      </c>
      <c r="AL8" s="208">
        <v>588</v>
      </c>
      <c r="AM8" s="208">
        <v>7651</v>
      </c>
      <c r="AN8" s="208"/>
      <c r="AO8" s="115">
        <f t="shared" si="38"/>
        <v>7651</v>
      </c>
      <c r="AP8" s="208">
        <v>629125</v>
      </c>
      <c r="AQ8" s="112">
        <f t="shared" si="11"/>
        <v>18.248730964467004</v>
      </c>
      <c r="AR8" s="208"/>
      <c r="AS8" s="222">
        <v>0</v>
      </c>
      <c r="AT8" s="208">
        <v>0</v>
      </c>
      <c r="AU8" s="222">
        <v>0</v>
      </c>
      <c r="AV8" s="222">
        <v>0</v>
      </c>
      <c r="AW8" s="208"/>
      <c r="AX8" s="222">
        <v>0</v>
      </c>
      <c r="AY8" s="115">
        <f t="shared" si="39"/>
        <v>0</v>
      </c>
      <c r="AZ8" s="206">
        <v>51503</v>
      </c>
      <c r="BA8" s="109">
        <f t="shared" si="13"/>
        <v>1.4939231327048585</v>
      </c>
      <c r="BB8" s="223">
        <v>2337</v>
      </c>
      <c r="BC8" s="223">
        <v>2337</v>
      </c>
      <c r="BD8" s="223">
        <v>2774</v>
      </c>
      <c r="BE8" s="223">
        <v>1752</v>
      </c>
      <c r="BF8" s="223">
        <v>72308</v>
      </c>
      <c r="BG8" s="223">
        <v>2</v>
      </c>
      <c r="BH8" s="223">
        <v>89</v>
      </c>
      <c r="BI8" s="206">
        <v>0</v>
      </c>
      <c r="BJ8" s="116">
        <f t="shared" si="40"/>
        <v>91</v>
      </c>
      <c r="BK8" s="223">
        <v>145677</v>
      </c>
      <c r="BL8" s="109">
        <f t="shared" si="15"/>
        <v>4.2255837563451779</v>
      </c>
      <c r="BM8" s="223">
        <v>4</v>
      </c>
      <c r="BN8" s="206">
        <v>2827</v>
      </c>
      <c r="BO8" s="109">
        <f t="shared" si="16"/>
        <v>8.2001450326323416E-2</v>
      </c>
      <c r="BP8" s="206">
        <v>7446</v>
      </c>
      <c r="BQ8" s="206">
        <v>0</v>
      </c>
      <c r="BR8" s="230">
        <f t="shared" si="41"/>
        <v>19340</v>
      </c>
      <c r="BS8" s="230">
        <v>3345</v>
      </c>
      <c r="BT8" s="223">
        <v>22685</v>
      </c>
      <c r="BU8" s="109">
        <f t="shared" si="17"/>
        <v>0.65801305293691081</v>
      </c>
      <c r="BV8" s="108">
        <f t="shared" si="42"/>
        <v>2211.0136452241718</v>
      </c>
      <c r="BW8" s="109">
        <f t="shared" si="19"/>
        <v>4.5865345733926404</v>
      </c>
      <c r="BX8" s="109">
        <f t="shared" si="20"/>
        <v>1.0477576093482981</v>
      </c>
      <c r="BY8" s="109">
        <f t="shared" si="43"/>
        <v>0.15572121886090459</v>
      </c>
      <c r="BZ8" s="206">
        <v>154</v>
      </c>
      <c r="CA8" s="206">
        <v>1</v>
      </c>
      <c r="CB8" s="206">
        <v>5</v>
      </c>
      <c r="CC8" s="113">
        <f t="shared" si="44"/>
        <v>160</v>
      </c>
      <c r="CD8" s="206">
        <v>3500</v>
      </c>
      <c r="CE8" s="206">
        <v>6</v>
      </c>
      <c r="CF8" s="206">
        <v>46</v>
      </c>
      <c r="CG8" s="116">
        <f t="shared" si="45"/>
        <v>3552</v>
      </c>
      <c r="CH8" s="109">
        <f t="shared" si="23"/>
        <v>0.10303118201595358</v>
      </c>
      <c r="CI8" s="206">
        <v>21651</v>
      </c>
      <c r="CJ8" s="109">
        <f t="shared" si="24"/>
        <v>0.62802030456852787</v>
      </c>
      <c r="CK8" s="223">
        <v>9790</v>
      </c>
      <c r="CL8" s="209" t="s">
        <v>7</v>
      </c>
      <c r="CM8" s="209" t="s">
        <v>7</v>
      </c>
      <c r="CN8" s="209" t="s">
        <v>7</v>
      </c>
      <c r="CO8" s="210">
        <v>1</v>
      </c>
      <c r="CP8" s="210">
        <v>0</v>
      </c>
      <c r="CQ8" s="210">
        <v>0</v>
      </c>
      <c r="CR8" s="210">
        <v>9.26</v>
      </c>
      <c r="CS8" s="180">
        <f t="shared" si="46"/>
        <v>10.26</v>
      </c>
      <c r="CT8" s="108">
        <f t="shared" si="26"/>
        <v>3360.1364522417157</v>
      </c>
      <c r="CU8" s="206">
        <v>63</v>
      </c>
      <c r="CV8" s="208">
        <v>59740.004999999997</v>
      </c>
      <c r="CW8" s="210">
        <v>40</v>
      </c>
      <c r="CX8" s="209" t="s">
        <v>7</v>
      </c>
      <c r="CY8" s="209" t="s">
        <v>7</v>
      </c>
      <c r="CZ8" s="206">
        <v>2444</v>
      </c>
      <c r="DA8" s="206">
        <v>3374</v>
      </c>
      <c r="DB8" s="206">
        <v>13</v>
      </c>
      <c r="DC8" s="206">
        <v>4347</v>
      </c>
      <c r="DD8" s="206" t="s">
        <v>1115</v>
      </c>
      <c r="DE8" s="206">
        <v>8341</v>
      </c>
      <c r="DF8" s="206">
        <v>6460</v>
      </c>
      <c r="DG8" s="206">
        <v>52</v>
      </c>
      <c r="DH8" s="210">
        <f t="shared" si="27"/>
        <v>0.1873821609862219</v>
      </c>
      <c r="DI8" s="206">
        <v>44</v>
      </c>
      <c r="DJ8" s="206">
        <v>44</v>
      </c>
      <c r="DL8" s="347">
        <v>4946</v>
      </c>
      <c r="DM8" s="205"/>
      <c r="DN8" s="209" t="s">
        <v>1038</v>
      </c>
      <c r="DO8" s="209" t="s">
        <v>125</v>
      </c>
      <c r="DP8" s="209"/>
      <c r="DQ8" s="207"/>
      <c r="DR8" s="218" t="s">
        <v>1127</v>
      </c>
      <c r="DS8" s="205" t="s">
        <v>963</v>
      </c>
      <c r="DT8" s="229">
        <v>43282</v>
      </c>
      <c r="DU8" s="229">
        <v>43646</v>
      </c>
      <c r="DV8" s="218" t="s">
        <v>1127</v>
      </c>
      <c r="DW8" s="109">
        <f t="shared" si="28"/>
        <v>0.21598259608411893</v>
      </c>
      <c r="DX8" s="109">
        <f t="shared" si="29"/>
        <v>0</v>
      </c>
      <c r="DY8" s="109">
        <f t="shared" si="30"/>
        <v>0.56098622189992753</v>
      </c>
      <c r="DZ8" s="109">
        <f t="shared" si="31"/>
        <v>9.7026831036983327E-2</v>
      </c>
      <c r="EA8" s="110">
        <f t="shared" si="48"/>
        <v>0.4773762413200926</v>
      </c>
      <c r="EB8" s="200">
        <v>0</v>
      </c>
    </row>
    <row r="9" spans="1:132" ht="17" thickBot="1">
      <c r="A9" s="218" t="s">
        <v>1128</v>
      </c>
      <c r="B9" s="342" t="s">
        <v>1251</v>
      </c>
      <c r="C9" s="347">
        <v>90850</v>
      </c>
      <c r="D9" s="207">
        <v>4</v>
      </c>
      <c r="E9" s="207">
        <v>0</v>
      </c>
      <c r="F9" s="206">
        <v>64619</v>
      </c>
      <c r="H9" s="108">
        <f t="shared" si="0"/>
        <v>64619</v>
      </c>
      <c r="I9" s="109">
        <v>0.71918000000000004</v>
      </c>
      <c r="J9" s="208">
        <v>1053451</v>
      </c>
      <c r="K9" s="208">
        <v>391721</v>
      </c>
      <c r="L9" s="115">
        <f t="shared" si="33"/>
        <v>1445172</v>
      </c>
      <c r="M9" s="110">
        <f t="shared" si="1"/>
        <v>15.907231700605394</v>
      </c>
      <c r="N9" s="208">
        <v>76325</v>
      </c>
      <c r="O9" s="208">
        <v>32786</v>
      </c>
      <c r="P9" s="222">
        <v>16874</v>
      </c>
      <c r="Q9" s="115">
        <v>125985</v>
      </c>
      <c r="R9" s="110">
        <f t="shared" si="2"/>
        <v>1.38673637864612</v>
      </c>
      <c r="S9" s="222">
        <v>659255</v>
      </c>
      <c r="T9" s="208">
        <v>2230412</v>
      </c>
      <c r="U9" s="208">
        <v>0</v>
      </c>
      <c r="V9" s="208">
        <v>2230412</v>
      </c>
      <c r="W9" s="110">
        <f t="shared" si="3"/>
        <v>24.550489818381948</v>
      </c>
      <c r="X9" s="111">
        <f t="shared" si="34"/>
        <v>0.64793948382630651</v>
      </c>
      <c r="Y9" s="111">
        <f t="shared" si="35"/>
        <v>5.6485079886585979E-2</v>
      </c>
      <c r="Z9" s="111">
        <f t="shared" si="36"/>
        <v>0.29557543628710747</v>
      </c>
      <c r="AA9" s="111">
        <f t="shared" si="37"/>
        <v>0</v>
      </c>
      <c r="AB9" s="208">
        <v>0</v>
      </c>
      <c r="AE9" s="208"/>
      <c r="AF9" s="208">
        <v>2230412</v>
      </c>
      <c r="AG9" s="208">
        <v>1102550</v>
      </c>
      <c r="AH9" s="208"/>
      <c r="AI9" s="115">
        <f t="shared" si="8"/>
        <v>3332962</v>
      </c>
      <c r="AJ9" s="110">
        <f t="shared" si="9"/>
        <v>36.686428178315907</v>
      </c>
      <c r="AK9" s="208">
        <v>129324</v>
      </c>
      <c r="AL9" s="208">
        <v>26240</v>
      </c>
      <c r="AM9" s="208">
        <v>425470</v>
      </c>
      <c r="AN9" s="208"/>
      <c r="AO9" s="115">
        <f t="shared" si="38"/>
        <v>425470</v>
      </c>
      <c r="AP9" s="208">
        <v>2329669</v>
      </c>
      <c r="AQ9" s="112">
        <f t="shared" si="11"/>
        <v>25.643026967528893</v>
      </c>
      <c r="AR9" s="208"/>
      <c r="AS9" s="222">
        <v>0</v>
      </c>
      <c r="AT9" s="208">
        <v>0</v>
      </c>
      <c r="AU9" s="222">
        <v>0</v>
      </c>
      <c r="AV9" s="222">
        <v>0</v>
      </c>
      <c r="AW9" s="208"/>
      <c r="AX9" s="222">
        <v>0</v>
      </c>
      <c r="AY9" s="115">
        <f t="shared" si="39"/>
        <v>0</v>
      </c>
      <c r="AZ9" s="206">
        <v>96605</v>
      </c>
      <c r="BA9" s="109">
        <f t="shared" si="13"/>
        <v>1.0633461750137589</v>
      </c>
      <c r="BB9" s="223">
        <v>3456</v>
      </c>
      <c r="BC9" s="223">
        <v>3456</v>
      </c>
      <c r="BD9" s="223">
        <v>4003</v>
      </c>
      <c r="BE9" s="223">
        <v>2068</v>
      </c>
      <c r="BF9" s="223">
        <v>107581</v>
      </c>
      <c r="BG9" s="223">
        <v>4</v>
      </c>
      <c r="BH9" s="223">
        <v>89</v>
      </c>
      <c r="BI9" s="206">
        <v>0</v>
      </c>
      <c r="BJ9" s="116">
        <f t="shared" si="40"/>
        <v>93</v>
      </c>
      <c r="BK9" s="223">
        <v>232065</v>
      </c>
      <c r="BL9" s="109">
        <f t="shared" si="15"/>
        <v>2.5543753439735828</v>
      </c>
      <c r="BM9" s="223">
        <v>44</v>
      </c>
      <c r="BN9" s="206">
        <v>15331</v>
      </c>
      <c r="BO9" s="109">
        <f t="shared" si="16"/>
        <v>0.16875068794716566</v>
      </c>
      <c r="BP9" s="206">
        <v>50474</v>
      </c>
      <c r="BQ9" s="206">
        <v>0</v>
      </c>
      <c r="BR9" s="230">
        <f t="shared" si="41"/>
        <v>125395</v>
      </c>
      <c r="BS9" s="230">
        <v>55592</v>
      </c>
      <c r="BT9" s="223">
        <v>180987</v>
      </c>
      <c r="BU9" s="109">
        <f t="shared" si="17"/>
        <v>1.9921518987341773</v>
      </c>
      <c r="BV9" s="108">
        <f t="shared" si="42"/>
        <v>6666.187845303868</v>
      </c>
      <c r="BW9" s="109">
        <f t="shared" si="19"/>
        <v>30.099284882754034</v>
      </c>
      <c r="BX9" s="109">
        <f t="shared" si="20"/>
        <v>1.6385141863875863</v>
      </c>
      <c r="BY9" s="109">
        <f t="shared" si="43"/>
        <v>0.77989787344063088</v>
      </c>
      <c r="BZ9" s="206">
        <v>847</v>
      </c>
      <c r="CA9" s="206">
        <v>0</v>
      </c>
      <c r="CB9" s="206">
        <v>36</v>
      </c>
      <c r="CC9" s="113">
        <f t="shared" si="44"/>
        <v>883</v>
      </c>
      <c r="CD9" s="206">
        <v>20896</v>
      </c>
      <c r="CE9" s="206">
        <v>0</v>
      </c>
      <c r="CF9" s="206">
        <v>413</v>
      </c>
      <c r="CG9" s="116">
        <f t="shared" si="45"/>
        <v>21309</v>
      </c>
      <c r="CH9" s="109">
        <f t="shared" si="23"/>
        <v>0.23455145844799119</v>
      </c>
      <c r="CI9" s="206">
        <v>110458</v>
      </c>
      <c r="CJ9" s="109">
        <f t="shared" si="24"/>
        <v>1.2158282883874518</v>
      </c>
      <c r="CK9" s="223">
        <v>59343</v>
      </c>
      <c r="CL9" s="209" t="s">
        <v>7</v>
      </c>
      <c r="CM9" s="209" t="s">
        <v>7</v>
      </c>
      <c r="CN9" s="209" t="s">
        <v>7</v>
      </c>
      <c r="CO9" s="210">
        <v>6.9</v>
      </c>
      <c r="CP9" s="210">
        <v>0</v>
      </c>
      <c r="CQ9" s="210">
        <v>0</v>
      </c>
      <c r="CR9" s="210">
        <v>20.25</v>
      </c>
      <c r="CS9" s="180">
        <f t="shared" si="46"/>
        <v>27.15</v>
      </c>
      <c r="CT9" s="108">
        <f t="shared" si="26"/>
        <v>3346.2246777163905</v>
      </c>
      <c r="CU9" s="206">
        <v>624</v>
      </c>
      <c r="CV9" s="208">
        <v>82000</v>
      </c>
      <c r="CW9" s="210">
        <v>40</v>
      </c>
      <c r="CX9" s="209" t="s">
        <v>7</v>
      </c>
      <c r="CY9" s="209" t="s">
        <v>7</v>
      </c>
      <c r="CZ9" s="206">
        <v>9612</v>
      </c>
      <c r="DA9" s="206">
        <v>4027</v>
      </c>
      <c r="DB9" s="206">
        <v>89</v>
      </c>
      <c r="DC9" s="206">
        <v>34692</v>
      </c>
      <c r="DD9" s="206">
        <v>63301</v>
      </c>
      <c r="DE9" s="206">
        <v>89072</v>
      </c>
      <c r="DF9" s="206">
        <v>7306</v>
      </c>
      <c r="DG9" s="206">
        <v>52</v>
      </c>
      <c r="DH9" s="210">
        <f t="shared" si="27"/>
        <v>8.0418271876719863E-2</v>
      </c>
      <c r="DI9" s="206">
        <v>48</v>
      </c>
      <c r="DJ9" s="206">
        <v>48</v>
      </c>
      <c r="DL9" s="347">
        <v>6013</v>
      </c>
      <c r="DM9" s="205"/>
      <c r="DN9" s="209" t="s">
        <v>1039</v>
      </c>
      <c r="DO9" s="209" t="s">
        <v>125</v>
      </c>
      <c r="DP9" s="209"/>
      <c r="DQ9" s="207"/>
      <c r="DR9" s="218" t="s">
        <v>1128</v>
      </c>
      <c r="DS9" s="205" t="s">
        <v>964</v>
      </c>
      <c r="DT9" s="229">
        <v>43282</v>
      </c>
      <c r="DU9" s="229">
        <v>43646</v>
      </c>
      <c r="DV9" s="218" t="s">
        <v>1128</v>
      </c>
      <c r="DW9" s="109">
        <f t="shared" si="28"/>
        <v>0.55557512383048979</v>
      </c>
      <c r="DX9" s="109">
        <f t="shared" si="29"/>
        <v>0</v>
      </c>
      <c r="DY9" s="109">
        <f t="shared" si="30"/>
        <v>1.3802421574023116</v>
      </c>
      <c r="DZ9" s="109">
        <f t="shared" si="31"/>
        <v>0.61190974133186571</v>
      </c>
      <c r="EA9" s="110">
        <f t="shared" si="48"/>
        <v>0.43398779773581475</v>
      </c>
      <c r="EB9" s="200">
        <f t="shared" si="47"/>
        <v>0.58976111670743991</v>
      </c>
    </row>
    <row r="10" spans="1:132" ht="17" thickBot="1">
      <c r="A10" s="218" t="s">
        <v>965</v>
      </c>
      <c r="B10" s="342" t="s">
        <v>1180</v>
      </c>
      <c r="C10" s="347">
        <v>143169</v>
      </c>
      <c r="D10" s="207">
        <v>5</v>
      </c>
      <c r="E10" s="207">
        <v>0</v>
      </c>
      <c r="F10" s="206">
        <v>33856</v>
      </c>
      <c r="H10" s="108">
        <f t="shared" si="0"/>
        <v>33856</v>
      </c>
      <c r="I10" s="109">
        <v>0.24870999999999999</v>
      </c>
      <c r="J10" s="208">
        <v>733339</v>
      </c>
      <c r="K10" s="208">
        <v>302215</v>
      </c>
      <c r="L10" s="115">
        <f t="shared" si="33"/>
        <v>1035554</v>
      </c>
      <c r="M10" s="110">
        <f t="shared" si="1"/>
        <v>7.233088168528103</v>
      </c>
      <c r="N10" s="208">
        <v>120614</v>
      </c>
      <c r="O10" s="208">
        <v>5258</v>
      </c>
      <c r="P10" s="222">
        <v>227</v>
      </c>
      <c r="Q10" s="115">
        <v>126099</v>
      </c>
      <c r="R10" s="110">
        <f t="shared" si="2"/>
        <v>0.88077027848207368</v>
      </c>
      <c r="S10" s="222">
        <v>73776</v>
      </c>
      <c r="T10" s="208">
        <v>1235429</v>
      </c>
      <c r="U10" s="208">
        <v>0</v>
      </c>
      <c r="V10" s="208">
        <v>1235429</v>
      </c>
      <c r="W10" s="110">
        <f t="shared" si="3"/>
        <v>8.6291655316444196</v>
      </c>
      <c r="X10" s="111">
        <f t="shared" si="34"/>
        <v>0.83821409405154002</v>
      </c>
      <c r="Y10" s="111">
        <f t="shared" si="35"/>
        <v>0.10206899789465845</v>
      </c>
      <c r="Z10" s="111">
        <f t="shared" si="36"/>
        <v>5.9716908053801553E-2</v>
      </c>
      <c r="AA10" s="111">
        <f t="shared" si="37"/>
        <v>0</v>
      </c>
      <c r="AB10" s="208">
        <v>0</v>
      </c>
      <c r="AE10" s="208"/>
      <c r="AF10" s="208">
        <v>1235429</v>
      </c>
      <c r="AG10" s="208">
        <v>1252667</v>
      </c>
      <c r="AH10" s="208"/>
      <c r="AI10" s="115">
        <f t="shared" si="8"/>
        <v>2488096</v>
      </c>
      <c r="AJ10" s="110">
        <f t="shared" si="9"/>
        <v>17.378734223190776</v>
      </c>
      <c r="AK10" s="208">
        <v>148239</v>
      </c>
      <c r="AL10" s="208">
        <v>0</v>
      </c>
      <c r="AM10" s="208">
        <v>0</v>
      </c>
      <c r="AN10" s="208"/>
      <c r="AO10" s="115">
        <f t="shared" si="38"/>
        <v>0</v>
      </c>
      <c r="AP10" s="208">
        <v>1400906</v>
      </c>
      <c r="AQ10" s="112">
        <f t="shared" si="11"/>
        <v>9.7849813856351577</v>
      </c>
      <c r="AR10" s="208"/>
      <c r="AS10" s="222">
        <v>0</v>
      </c>
      <c r="AT10" s="208">
        <v>0</v>
      </c>
      <c r="AU10" s="222">
        <v>0</v>
      </c>
      <c r="AV10" s="222">
        <v>0</v>
      </c>
      <c r="AW10" s="208"/>
      <c r="AX10" s="222">
        <v>0</v>
      </c>
      <c r="AY10" s="115">
        <f t="shared" si="39"/>
        <v>0</v>
      </c>
      <c r="AZ10" s="206">
        <v>135901</v>
      </c>
      <c r="BA10" s="109">
        <f t="shared" si="13"/>
        <v>0.94923482038709495</v>
      </c>
      <c r="BB10" s="223">
        <v>1807</v>
      </c>
      <c r="BC10" s="223">
        <v>1807</v>
      </c>
      <c r="BD10" s="223">
        <v>6443</v>
      </c>
      <c r="BE10" s="223">
        <v>1752</v>
      </c>
      <c r="BF10" s="223">
        <v>91385</v>
      </c>
      <c r="BG10" s="223">
        <v>2</v>
      </c>
      <c r="BH10" s="223">
        <v>89</v>
      </c>
      <c r="BI10" s="206">
        <v>0</v>
      </c>
      <c r="BJ10" s="116">
        <f t="shared" si="40"/>
        <v>91</v>
      </c>
      <c r="BK10" s="223">
        <v>255111</v>
      </c>
      <c r="BL10" s="109">
        <f t="shared" si="15"/>
        <v>1.7818871403725667</v>
      </c>
      <c r="BM10" s="223">
        <v>155</v>
      </c>
      <c r="BN10" s="206">
        <v>55277</v>
      </c>
      <c r="BO10" s="109">
        <f t="shared" si="16"/>
        <v>0.38609615209996578</v>
      </c>
      <c r="BP10" s="206">
        <v>47740</v>
      </c>
      <c r="BQ10" s="206">
        <v>0</v>
      </c>
      <c r="BR10" s="230">
        <f t="shared" si="41"/>
        <v>392912</v>
      </c>
      <c r="BS10" s="230">
        <v>52453</v>
      </c>
      <c r="BT10" s="223">
        <v>445365</v>
      </c>
      <c r="BU10" s="109">
        <f t="shared" si="17"/>
        <v>3.1107642017475849</v>
      </c>
      <c r="BV10" s="108">
        <f t="shared" si="42"/>
        <v>26197.941176470587</v>
      </c>
      <c r="BW10" s="109">
        <f t="shared" si="19"/>
        <v>52.199367088607595</v>
      </c>
      <c r="BX10" s="109">
        <f t="shared" si="20"/>
        <v>1.5847991089697284</v>
      </c>
      <c r="BY10" s="109">
        <f t="shared" si="43"/>
        <v>1.7457694885755612</v>
      </c>
      <c r="BZ10" s="206">
        <v>260</v>
      </c>
      <c r="CA10" s="206">
        <v>0</v>
      </c>
      <c r="CB10" s="206">
        <v>1189</v>
      </c>
      <c r="CC10" s="113">
        <f t="shared" si="44"/>
        <v>1449</v>
      </c>
      <c r="CD10" s="206">
        <v>4992</v>
      </c>
      <c r="CE10" s="206">
        <v>0</v>
      </c>
      <c r="CF10" s="206">
        <v>31819</v>
      </c>
      <c r="CG10" s="116">
        <f t="shared" si="45"/>
        <v>36811</v>
      </c>
      <c r="CH10" s="109">
        <f t="shared" si="23"/>
        <v>0.25711571639111819</v>
      </c>
      <c r="CI10" s="206">
        <v>281023</v>
      </c>
      <c r="CJ10" s="109">
        <f t="shared" si="24"/>
        <v>1.9628760416011846</v>
      </c>
      <c r="CK10" s="223">
        <v>58520</v>
      </c>
      <c r="CL10" s="209" t="s">
        <v>7</v>
      </c>
      <c r="CM10" s="209" t="s">
        <v>7</v>
      </c>
      <c r="CN10" s="209" t="s">
        <v>7</v>
      </c>
      <c r="CO10" s="210">
        <v>1</v>
      </c>
      <c r="CP10" s="108">
        <f>C10/CO10</f>
        <v>143169</v>
      </c>
      <c r="CQ10" s="210">
        <v>0</v>
      </c>
      <c r="CR10" s="210">
        <v>16</v>
      </c>
      <c r="CS10" s="180">
        <f t="shared" si="46"/>
        <v>17</v>
      </c>
      <c r="CT10" s="108">
        <f t="shared" si="26"/>
        <v>8421.7058823529405</v>
      </c>
      <c r="CU10" s="206">
        <v>6961</v>
      </c>
      <c r="CV10" s="208">
        <v>111404</v>
      </c>
      <c r="CW10" s="210">
        <v>25</v>
      </c>
      <c r="CX10" s="209" t="s">
        <v>7</v>
      </c>
      <c r="CY10" s="209" t="s">
        <v>7</v>
      </c>
      <c r="CZ10" s="206">
        <v>324</v>
      </c>
      <c r="DA10" s="206">
        <v>27</v>
      </c>
      <c r="DB10" s="206">
        <v>70</v>
      </c>
      <c r="DC10" s="206">
        <v>43736</v>
      </c>
      <c r="DD10" s="206">
        <v>29233</v>
      </c>
      <c r="DE10" s="206" t="s">
        <v>1115</v>
      </c>
      <c r="DF10" s="206">
        <v>11854</v>
      </c>
      <c r="DG10" s="206">
        <v>51</v>
      </c>
      <c r="DH10" s="210">
        <f t="shared" si="27"/>
        <v>8.2797253595401243E-2</v>
      </c>
      <c r="DI10" s="206">
        <v>28</v>
      </c>
      <c r="DJ10" s="206">
        <v>28</v>
      </c>
      <c r="DL10" s="347">
        <v>8532</v>
      </c>
      <c r="DM10" s="205"/>
      <c r="DN10" s="209" t="s">
        <v>1040</v>
      </c>
      <c r="DO10" s="209" t="s">
        <v>125</v>
      </c>
      <c r="DP10" s="209"/>
      <c r="DQ10" s="207"/>
      <c r="DR10" s="218" t="s">
        <v>965</v>
      </c>
      <c r="DS10" s="205" t="s">
        <v>965</v>
      </c>
      <c r="DT10" s="229">
        <v>43282</v>
      </c>
      <c r="DU10" s="229">
        <v>43646</v>
      </c>
      <c r="DV10" s="218" t="s">
        <v>965</v>
      </c>
      <c r="DW10" s="109">
        <f t="shared" si="28"/>
        <v>0.33345207412219124</v>
      </c>
      <c r="DX10" s="109">
        <f t="shared" si="29"/>
        <v>0</v>
      </c>
      <c r="DY10" s="109">
        <f t="shared" si="30"/>
        <v>2.7443929901026061</v>
      </c>
      <c r="DZ10" s="109">
        <f t="shared" si="31"/>
        <v>0.36637121164497899</v>
      </c>
      <c r="EA10" s="110">
        <f t="shared" si="48"/>
        <v>0.27371712825540334</v>
      </c>
      <c r="EB10" s="200">
        <f t="shared" si="47"/>
        <v>0.10024212151831163</v>
      </c>
    </row>
    <row r="11" spans="1:132" ht="17" thickBot="1">
      <c r="A11" s="218" t="s">
        <v>966</v>
      </c>
      <c r="B11" s="342" t="s">
        <v>1181</v>
      </c>
      <c r="C11" s="347">
        <v>262659</v>
      </c>
      <c r="D11" s="207">
        <v>12</v>
      </c>
      <c r="E11" s="207">
        <v>0</v>
      </c>
      <c r="F11" s="206">
        <v>118803</v>
      </c>
      <c r="H11" s="108">
        <f t="shared" si="0"/>
        <v>118803</v>
      </c>
      <c r="I11" s="109">
        <v>0.46700999999999998</v>
      </c>
      <c r="J11" s="208">
        <v>2867904</v>
      </c>
      <c r="K11" s="208">
        <v>1615260</v>
      </c>
      <c r="L11" s="115">
        <f t="shared" si="33"/>
        <v>4483164</v>
      </c>
      <c r="M11" s="110">
        <f t="shared" si="1"/>
        <v>17.068381437529268</v>
      </c>
      <c r="N11" s="208">
        <v>536745</v>
      </c>
      <c r="O11" s="208">
        <v>214712</v>
      </c>
      <c r="P11" s="222">
        <v>20990</v>
      </c>
      <c r="Q11" s="115">
        <v>772447</v>
      </c>
      <c r="R11" s="110">
        <f t="shared" si="2"/>
        <v>2.9408739087562199</v>
      </c>
      <c r="S11" s="222">
        <v>833140</v>
      </c>
      <c r="T11" s="208">
        <v>6088751</v>
      </c>
      <c r="U11" s="208">
        <v>0</v>
      </c>
      <c r="V11" s="208">
        <v>6088751</v>
      </c>
      <c r="W11" s="110">
        <f t="shared" si="3"/>
        <v>23.181200720325592</v>
      </c>
      <c r="X11" s="111">
        <f t="shared" si="34"/>
        <v>0.73630273269509627</v>
      </c>
      <c r="Y11" s="111">
        <f t="shared" si="35"/>
        <v>0.12686460655067025</v>
      </c>
      <c r="Z11" s="111">
        <f t="shared" si="36"/>
        <v>0.1368326607542335</v>
      </c>
      <c r="AA11" s="111">
        <f t="shared" si="37"/>
        <v>0</v>
      </c>
      <c r="AB11" s="208">
        <v>423166</v>
      </c>
      <c r="AE11" s="208"/>
      <c r="AF11" s="208">
        <v>6088751</v>
      </c>
      <c r="AG11" s="208">
        <v>5649428</v>
      </c>
      <c r="AH11" s="208"/>
      <c r="AI11" s="115">
        <f t="shared" si="8"/>
        <v>11738179</v>
      </c>
      <c r="AJ11" s="110">
        <f t="shared" si="9"/>
        <v>44.689803128771523</v>
      </c>
      <c r="AK11" s="208">
        <v>227666</v>
      </c>
      <c r="AL11" s="208">
        <v>0</v>
      </c>
      <c r="AM11" s="208">
        <v>211657</v>
      </c>
      <c r="AN11" s="208"/>
      <c r="AO11" s="115">
        <f t="shared" si="38"/>
        <v>211657</v>
      </c>
      <c r="AP11" s="208">
        <v>6088751</v>
      </c>
      <c r="AQ11" s="112">
        <f t="shared" si="11"/>
        <v>23.181200720325592</v>
      </c>
      <c r="AR11" s="208"/>
      <c r="AS11" s="222">
        <v>2964885</v>
      </c>
      <c r="AT11" s="208">
        <v>0</v>
      </c>
      <c r="AU11" s="222">
        <v>0</v>
      </c>
      <c r="AV11" s="222">
        <v>0</v>
      </c>
      <c r="AW11" s="208"/>
      <c r="AX11" s="222">
        <v>0</v>
      </c>
      <c r="AY11" s="115">
        <f t="shared" si="39"/>
        <v>2964885</v>
      </c>
      <c r="AZ11" s="206">
        <v>473451</v>
      </c>
      <c r="BA11" s="109">
        <f t="shared" si="13"/>
        <v>1.8025310383424897</v>
      </c>
      <c r="BB11" s="223">
        <v>41281</v>
      </c>
      <c r="BC11" s="223">
        <v>41281</v>
      </c>
      <c r="BD11" s="223">
        <v>22640</v>
      </c>
      <c r="BE11" s="223">
        <v>2183</v>
      </c>
      <c r="BF11" s="223">
        <v>156491</v>
      </c>
      <c r="BG11" s="223">
        <v>6</v>
      </c>
      <c r="BH11" s="223">
        <v>89</v>
      </c>
      <c r="BI11" s="206">
        <v>0</v>
      </c>
      <c r="BJ11" s="116">
        <f t="shared" si="40"/>
        <v>95</v>
      </c>
      <c r="BK11" s="223">
        <v>737253</v>
      </c>
      <c r="BL11" s="109">
        <f t="shared" si="15"/>
        <v>2.80688268820029</v>
      </c>
      <c r="BM11" s="223">
        <v>0</v>
      </c>
      <c r="BN11" s="206">
        <v>89914</v>
      </c>
      <c r="BO11" s="109">
        <f t="shared" si="16"/>
        <v>0.34232217437818618</v>
      </c>
      <c r="BP11" s="206">
        <v>461071</v>
      </c>
      <c r="BQ11" s="206">
        <v>0</v>
      </c>
      <c r="BR11" s="230">
        <f t="shared" si="41"/>
        <v>1052545</v>
      </c>
      <c r="BS11" s="230">
        <v>558484</v>
      </c>
      <c r="BT11" s="223">
        <v>1611029</v>
      </c>
      <c r="BU11" s="109">
        <f t="shared" si="17"/>
        <v>6.1335381616468503</v>
      </c>
      <c r="BV11" s="108">
        <f t="shared" si="42"/>
        <v>24200.525762355417</v>
      </c>
      <c r="BW11" s="109">
        <f t="shared" si="19"/>
        <v>57.909022286125087</v>
      </c>
      <c r="BX11" s="109">
        <f t="shared" si="20"/>
        <v>2.27709853963013</v>
      </c>
      <c r="BY11" s="109">
        <f t="shared" si="43"/>
        <v>2.1851779511239697</v>
      </c>
      <c r="BZ11" s="206">
        <v>1597</v>
      </c>
      <c r="CA11" s="206">
        <v>118</v>
      </c>
      <c r="CB11" s="206">
        <v>435</v>
      </c>
      <c r="CC11" s="113">
        <f t="shared" si="44"/>
        <v>2150</v>
      </c>
      <c r="CD11" s="206">
        <v>21533</v>
      </c>
      <c r="CE11" s="206">
        <v>525</v>
      </c>
      <c r="CF11" s="206">
        <v>23713</v>
      </c>
      <c r="CG11" s="116">
        <f t="shared" si="45"/>
        <v>45771</v>
      </c>
      <c r="CH11" s="109">
        <f t="shared" si="23"/>
        <v>0.17426016241590808</v>
      </c>
      <c r="CI11" s="206">
        <v>707492</v>
      </c>
      <c r="CJ11" s="109">
        <f t="shared" si="24"/>
        <v>2.6935760815353746</v>
      </c>
      <c r="CK11" s="223">
        <v>127875</v>
      </c>
      <c r="CL11" s="209" t="s">
        <v>7</v>
      </c>
      <c r="CM11" s="209" t="s">
        <v>7</v>
      </c>
      <c r="CN11" s="209" t="s">
        <v>7</v>
      </c>
      <c r="CO11" s="210">
        <v>4</v>
      </c>
      <c r="CP11" s="108">
        <f>C11/CO11</f>
        <v>65664.75</v>
      </c>
      <c r="CQ11" s="210">
        <v>0</v>
      </c>
      <c r="CR11" s="210">
        <v>62.57</v>
      </c>
      <c r="CS11" s="180">
        <f t="shared" si="46"/>
        <v>66.569999999999993</v>
      </c>
      <c r="CT11" s="108">
        <f t="shared" si="26"/>
        <v>3945.6061288868864</v>
      </c>
      <c r="CU11" s="206">
        <v>3474</v>
      </c>
      <c r="CV11" s="208">
        <v>127620</v>
      </c>
      <c r="CW11" s="210">
        <v>40</v>
      </c>
      <c r="CX11" s="209" t="s">
        <v>7</v>
      </c>
      <c r="CY11" s="209" t="s">
        <v>7</v>
      </c>
      <c r="CZ11" s="206">
        <v>33430</v>
      </c>
      <c r="DA11" s="206">
        <v>50402</v>
      </c>
      <c r="DB11" s="206">
        <v>139</v>
      </c>
      <c r="DC11" s="206">
        <v>60513</v>
      </c>
      <c r="DD11" s="206">
        <v>245390</v>
      </c>
      <c r="DE11" s="206">
        <v>323472</v>
      </c>
      <c r="DF11" s="206">
        <v>32188</v>
      </c>
      <c r="DG11" s="206">
        <v>52</v>
      </c>
      <c r="DH11" s="210">
        <f t="shared" si="27"/>
        <v>0.12254672407950994</v>
      </c>
      <c r="DI11" s="206">
        <v>70</v>
      </c>
      <c r="DJ11" s="206">
        <v>70</v>
      </c>
      <c r="DK11" s="108">
        <v>13211</v>
      </c>
      <c r="DL11" s="347">
        <v>27820</v>
      </c>
      <c r="DM11" s="205"/>
      <c r="DN11" s="209" t="s">
        <v>1041</v>
      </c>
      <c r="DO11" s="209" t="s">
        <v>125</v>
      </c>
      <c r="DP11" s="209"/>
      <c r="DQ11" s="207"/>
      <c r="DR11" s="218" t="s">
        <v>966</v>
      </c>
      <c r="DS11" s="205" t="s">
        <v>966</v>
      </c>
      <c r="DT11" s="229">
        <v>43282</v>
      </c>
      <c r="DU11" s="229">
        <v>43646</v>
      </c>
      <c r="DV11" s="218" t="s">
        <v>966</v>
      </c>
      <c r="DW11" s="109">
        <f t="shared" si="28"/>
        <v>1.7553976829272935</v>
      </c>
      <c r="DX11" s="109">
        <f t="shared" si="29"/>
        <v>0</v>
      </c>
      <c r="DY11" s="109">
        <f t="shared" si="30"/>
        <v>4.0072679786338945</v>
      </c>
      <c r="DZ11" s="109">
        <f t="shared" si="31"/>
        <v>2.1262701830129558</v>
      </c>
      <c r="EA11" s="110">
        <f t="shared" si="48"/>
        <v>0.35461107704992545</v>
      </c>
      <c r="EB11" s="200">
        <f t="shared" si="47"/>
        <v>0.38445506048517059</v>
      </c>
    </row>
    <row r="12" spans="1:132" ht="17" thickBot="1">
      <c r="A12" s="218" t="s">
        <v>967</v>
      </c>
      <c r="B12" s="342" t="s">
        <v>1182</v>
      </c>
      <c r="C12" s="347">
        <v>91583</v>
      </c>
      <c r="D12" s="207">
        <v>2</v>
      </c>
      <c r="E12" s="207">
        <v>0</v>
      </c>
      <c r="F12" s="206">
        <v>26200</v>
      </c>
      <c r="H12" s="108">
        <f t="shared" si="0"/>
        <v>26200</v>
      </c>
      <c r="I12" s="109">
        <v>0.28639999999999999</v>
      </c>
      <c r="J12" s="208">
        <v>861575</v>
      </c>
      <c r="K12" s="208">
        <v>361172</v>
      </c>
      <c r="L12" s="115">
        <f t="shared" si="33"/>
        <v>1222747</v>
      </c>
      <c r="M12" s="110">
        <f t="shared" si="1"/>
        <v>13.351244226548594</v>
      </c>
      <c r="N12" s="208">
        <v>94932</v>
      </c>
      <c r="O12" s="208">
        <v>24084</v>
      </c>
      <c r="P12" s="222">
        <v>3774</v>
      </c>
      <c r="Q12" s="115">
        <v>122790</v>
      </c>
      <c r="R12" s="110">
        <f t="shared" si="2"/>
        <v>1.3407510127425395</v>
      </c>
      <c r="S12" s="222">
        <v>180204</v>
      </c>
      <c r="T12" s="208">
        <v>1525741</v>
      </c>
      <c r="U12" s="208">
        <v>0</v>
      </c>
      <c r="V12" s="208">
        <v>1525741</v>
      </c>
      <c r="W12" s="110">
        <f t="shared" si="3"/>
        <v>16.65965299236758</v>
      </c>
      <c r="X12" s="111">
        <f t="shared" si="34"/>
        <v>0.80141190411740915</v>
      </c>
      <c r="Y12" s="111">
        <f t="shared" si="35"/>
        <v>8.0478927943864659E-2</v>
      </c>
      <c r="Z12" s="111">
        <f t="shared" si="36"/>
        <v>0.11810916793872617</v>
      </c>
      <c r="AA12" s="111">
        <f t="shared" si="37"/>
        <v>0</v>
      </c>
      <c r="AB12" s="208">
        <v>451037</v>
      </c>
      <c r="AE12" s="208"/>
      <c r="AF12" s="208">
        <v>1525741</v>
      </c>
      <c r="AG12" s="208">
        <v>1121735</v>
      </c>
      <c r="AH12" s="208"/>
      <c r="AI12" s="115">
        <f t="shared" si="8"/>
        <v>2647476</v>
      </c>
      <c r="AJ12" s="110">
        <f t="shared" si="9"/>
        <v>28.907941430178091</v>
      </c>
      <c r="AK12" s="208">
        <v>140788</v>
      </c>
      <c r="AL12" s="208">
        <v>2207</v>
      </c>
      <c r="AM12" s="208">
        <v>30584</v>
      </c>
      <c r="AN12" s="208"/>
      <c r="AO12" s="115">
        <f t="shared" si="38"/>
        <v>30584</v>
      </c>
      <c r="AP12" s="208">
        <v>1569314</v>
      </c>
      <c r="AQ12" s="112">
        <f t="shared" si="11"/>
        <v>17.135429064346003</v>
      </c>
      <c r="AR12" s="208"/>
      <c r="AS12" s="222">
        <v>354556</v>
      </c>
      <c r="AT12" s="208">
        <v>0</v>
      </c>
      <c r="AU12" s="222">
        <v>0</v>
      </c>
      <c r="AV12" s="222">
        <v>0</v>
      </c>
      <c r="AW12" s="208"/>
      <c r="AX12" s="222">
        <v>0</v>
      </c>
      <c r="AY12" s="115">
        <f t="shared" si="39"/>
        <v>354556</v>
      </c>
      <c r="AZ12" s="206">
        <v>125517</v>
      </c>
      <c r="BA12" s="109">
        <f t="shared" si="13"/>
        <v>1.3705272812639901</v>
      </c>
      <c r="BB12" s="223">
        <v>3791</v>
      </c>
      <c r="BC12" s="223">
        <v>3791</v>
      </c>
      <c r="BD12" s="223">
        <v>2264</v>
      </c>
      <c r="BE12" s="223">
        <v>2067</v>
      </c>
      <c r="BF12" s="223">
        <v>107580</v>
      </c>
      <c r="BG12" s="223">
        <v>2</v>
      </c>
      <c r="BH12" s="223">
        <v>89</v>
      </c>
      <c r="BI12" s="206">
        <v>0</v>
      </c>
      <c r="BJ12" s="116">
        <f t="shared" si="40"/>
        <v>91</v>
      </c>
      <c r="BK12" s="223">
        <v>260460</v>
      </c>
      <c r="BL12" s="109">
        <f t="shared" si="15"/>
        <v>2.8439775940949739</v>
      </c>
      <c r="BM12" s="223">
        <v>92</v>
      </c>
      <c r="BN12" s="206">
        <v>18500</v>
      </c>
      <c r="BO12" s="109">
        <f t="shared" si="16"/>
        <v>0.20200255505934508</v>
      </c>
      <c r="BP12" s="206">
        <v>52382</v>
      </c>
      <c r="BQ12" s="206">
        <v>0</v>
      </c>
      <c r="BR12" s="230">
        <f t="shared" si="41"/>
        <v>124026</v>
      </c>
      <c r="BS12" s="230">
        <v>107108</v>
      </c>
      <c r="BT12" s="223">
        <v>231134</v>
      </c>
      <c r="BU12" s="109">
        <f t="shared" si="17"/>
        <v>2.5237653276263061</v>
      </c>
      <c r="BV12" s="108">
        <f t="shared" si="42"/>
        <v>9650.688935281838</v>
      </c>
      <c r="BW12" s="109">
        <f t="shared" si="19"/>
        <v>27.834055876685934</v>
      </c>
      <c r="BX12" s="109">
        <f t="shared" si="20"/>
        <v>2.887406463541081</v>
      </c>
      <c r="BY12" s="109">
        <f t="shared" si="43"/>
        <v>0.88740689549259</v>
      </c>
      <c r="BZ12" s="206">
        <v>737</v>
      </c>
      <c r="CA12" s="206">
        <v>103</v>
      </c>
      <c r="CB12" s="206">
        <v>165</v>
      </c>
      <c r="CC12" s="113">
        <f t="shared" si="44"/>
        <v>1005</v>
      </c>
      <c r="CD12" s="206">
        <v>19029</v>
      </c>
      <c r="CE12" s="206">
        <v>1858</v>
      </c>
      <c r="CF12" s="206">
        <v>3677</v>
      </c>
      <c r="CG12" s="116">
        <f t="shared" si="45"/>
        <v>24564</v>
      </c>
      <c r="CH12" s="109">
        <f t="shared" si="23"/>
        <v>0.26821571689068929</v>
      </c>
      <c r="CI12" s="206">
        <v>80049</v>
      </c>
      <c r="CJ12" s="109">
        <f t="shared" si="24"/>
        <v>0.87405959621327101</v>
      </c>
      <c r="CK12" s="223">
        <v>71240</v>
      </c>
      <c r="CL12" s="209" t="s">
        <v>7</v>
      </c>
      <c r="CM12" s="209" t="s">
        <v>7</v>
      </c>
      <c r="CN12" s="209" t="s">
        <v>7</v>
      </c>
      <c r="CO12" s="210">
        <v>4</v>
      </c>
      <c r="CP12" s="108">
        <f>C12/CO12</f>
        <v>22895.75</v>
      </c>
      <c r="CQ12" s="210">
        <v>2</v>
      </c>
      <c r="CR12" s="210">
        <v>17.95</v>
      </c>
      <c r="CS12" s="180">
        <f t="shared" si="46"/>
        <v>23.95</v>
      </c>
      <c r="CT12" s="108">
        <f t="shared" si="26"/>
        <v>3823.9248434237998</v>
      </c>
      <c r="CU12" s="206">
        <v>4137</v>
      </c>
      <c r="CV12" s="208">
        <v>73913</v>
      </c>
      <c r="CW12" s="210">
        <v>40</v>
      </c>
      <c r="CX12" s="209" t="s">
        <v>7</v>
      </c>
      <c r="CY12" s="209" t="s">
        <v>7</v>
      </c>
      <c r="CZ12" s="206">
        <v>191</v>
      </c>
      <c r="DA12" s="206">
        <v>139</v>
      </c>
      <c r="DB12" s="206">
        <v>37</v>
      </c>
      <c r="DC12" s="206">
        <v>25768</v>
      </c>
      <c r="DD12" s="206" t="s">
        <v>1115</v>
      </c>
      <c r="DE12" s="206">
        <v>258832</v>
      </c>
      <c r="DF12" s="206">
        <v>8996</v>
      </c>
      <c r="DG12" s="206">
        <v>52</v>
      </c>
      <c r="DH12" s="210">
        <f t="shared" si="27"/>
        <v>9.8227837043992877E-2</v>
      </c>
      <c r="DI12" s="206">
        <v>49</v>
      </c>
      <c r="DJ12" s="206">
        <v>49</v>
      </c>
      <c r="DK12" s="108">
        <v>7306</v>
      </c>
      <c r="DL12" s="347">
        <v>8304</v>
      </c>
      <c r="DM12" s="205"/>
      <c r="DN12" s="209" t="s">
        <v>1042</v>
      </c>
      <c r="DO12" s="209" t="s">
        <v>125</v>
      </c>
      <c r="DP12" s="209"/>
      <c r="DQ12" s="207"/>
      <c r="DR12" s="218" t="s">
        <v>967</v>
      </c>
      <c r="DS12" s="205" t="s">
        <v>967</v>
      </c>
      <c r="DT12" s="229">
        <v>43282</v>
      </c>
      <c r="DU12" s="229">
        <v>43646</v>
      </c>
      <c r="DV12" s="218" t="s">
        <v>967</v>
      </c>
      <c r="DW12" s="109">
        <f t="shared" si="28"/>
        <v>0.57196204535776285</v>
      </c>
      <c r="DX12" s="109">
        <f t="shared" si="29"/>
        <v>0</v>
      </c>
      <c r="DY12" s="109">
        <f t="shared" si="30"/>
        <v>1.35424696723191</v>
      </c>
      <c r="DZ12" s="109">
        <f t="shared" si="31"/>
        <v>1.1695183603943964</v>
      </c>
      <c r="EA12" s="110">
        <f t="shared" si="48"/>
        <v>0.53813885991565014</v>
      </c>
      <c r="EB12" s="200">
        <f t="shared" si="47"/>
        <v>0.22485715352728086</v>
      </c>
    </row>
    <row r="13" spans="1:132" ht="17" thickBot="1">
      <c r="A13" s="218" t="s">
        <v>968</v>
      </c>
      <c r="B13" s="342" t="s">
        <v>1183</v>
      </c>
      <c r="C13" s="347">
        <v>213290</v>
      </c>
      <c r="D13" s="207">
        <v>4</v>
      </c>
      <c r="E13" s="207">
        <v>0</v>
      </c>
      <c r="F13" s="206">
        <v>55060</v>
      </c>
      <c r="H13" s="108">
        <f t="shared" si="0"/>
        <v>55060</v>
      </c>
      <c r="I13" s="109">
        <v>0.27588000000000001</v>
      </c>
      <c r="J13" s="208">
        <v>2077916</v>
      </c>
      <c r="K13" s="208">
        <v>799984</v>
      </c>
      <c r="L13" s="115">
        <f t="shared" si="33"/>
        <v>2877900</v>
      </c>
      <c r="M13" s="110">
        <f t="shared" si="1"/>
        <v>13.492896994702049</v>
      </c>
      <c r="N13" s="208">
        <v>273071</v>
      </c>
      <c r="O13" s="208">
        <v>101536</v>
      </c>
      <c r="P13" s="222">
        <v>93513</v>
      </c>
      <c r="Q13" s="115">
        <v>468120</v>
      </c>
      <c r="R13" s="110">
        <f t="shared" si="2"/>
        <v>2.194758310281776</v>
      </c>
      <c r="S13" s="222">
        <v>74528</v>
      </c>
      <c r="T13" s="208">
        <v>3420548</v>
      </c>
      <c r="U13" s="208">
        <v>0</v>
      </c>
      <c r="V13" s="208">
        <v>3420548</v>
      </c>
      <c r="W13" s="110">
        <f t="shared" si="3"/>
        <v>16.037076281119603</v>
      </c>
      <c r="X13" s="111">
        <f t="shared" si="34"/>
        <v>0.84135641423537988</v>
      </c>
      <c r="Y13" s="111">
        <f t="shared" si="35"/>
        <v>0.13685526412726851</v>
      </c>
      <c r="Z13" s="111">
        <f t="shared" si="36"/>
        <v>2.1788321637351674E-2</v>
      </c>
      <c r="AA13" s="111">
        <f t="shared" si="37"/>
        <v>0</v>
      </c>
      <c r="AB13" s="208">
        <v>137957</v>
      </c>
      <c r="AE13" s="208"/>
      <c r="AF13" s="208">
        <v>3420548</v>
      </c>
      <c r="AG13" s="208">
        <v>3381252</v>
      </c>
      <c r="AH13" s="208"/>
      <c r="AI13" s="115">
        <f t="shared" si="8"/>
        <v>6801800</v>
      </c>
      <c r="AJ13" s="110">
        <f t="shared" si="9"/>
        <v>31.889915139012611</v>
      </c>
      <c r="AK13" s="208">
        <v>196389</v>
      </c>
      <c r="AL13" s="208">
        <v>18544</v>
      </c>
      <c r="AM13" s="208">
        <v>0</v>
      </c>
      <c r="AN13" s="208"/>
      <c r="AO13" s="115">
        <f t="shared" si="38"/>
        <v>0</v>
      </c>
      <c r="AP13" s="208">
        <v>3596185</v>
      </c>
      <c r="AQ13" s="112">
        <f t="shared" si="11"/>
        <v>16.860541985090723</v>
      </c>
      <c r="AR13" s="208"/>
      <c r="AS13" s="222">
        <v>0</v>
      </c>
      <c r="AT13" s="208">
        <v>0</v>
      </c>
      <c r="AU13" s="222">
        <v>0</v>
      </c>
      <c r="AV13" s="222">
        <v>0</v>
      </c>
      <c r="AW13" s="208"/>
      <c r="AX13" s="222">
        <v>0</v>
      </c>
      <c r="AY13" s="115">
        <f t="shared" si="39"/>
        <v>0</v>
      </c>
      <c r="AZ13" s="206">
        <v>276670</v>
      </c>
      <c r="BA13" s="109">
        <f t="shared" si="13"/>
        <v>1.2971541094284778</v>
      </c>
      <c r="BB13" s="223">
        <v>8469</v>
      </c>
      <c r="BC13" s="223">
        <v>8469</v>
      </c>
      <c r="BD13" s="223">
        <v>12769</v>
      </c>
      <c r="BE13" s="223">
        <v>3450</v>
      </c>
      <c r="BF13" s="223">
        <v>85621</v>
      </c>
      <c r="BG13" s="223">
        <v>7</v>
      </c>
      <c r="BH13" s="223">
        <v>89</v>
      </c>
      <c r="BI13" s="206">
        <v>0</v>
      </c>
      <c r="BJ13" s="116">
        <f t="shared" si="40"/>
        <v>96</v>
      </c>
      <c r="BK13" s="223">
        <v>422151</v>
      </c>
      <c r="BL13" s="109">
        <f t="shared" si="15"/>
        <v>1.979234844577805</v>
      </c>
      <c r="BM13" s="223">
        <v>129</v>
      </c>
      <c r="BN13" s="206">
        <v>48884</v>
      </c>
      <c r="BO13" s="109">
        <f t="shared" si="16"/>
        <v>0.22919030428055698</v>
      </c>
      <c r="BP13" s="206">
        <v>290763</v>
      </c>
      <c r="BQ13" s="206">
        <v>0</v>
      </c>
      <c r="BR13" s="230">
        <f t="shared" si="41"/>
        <v>501054</v>
      </c>
      <c r="BS13" s="230">
        <v>320574</v>
      </c>
      <c r="BT13" s="223">
        <v>821628</v>
      </c>
      <c r="BU13" s="109">
        <f t="shared" si="17"/>
        <v>3.8521637207557786</v>
      </c>
      <c r="BV13" s="108">
        <f t="shared" si="42"/>
        <v>15605.470085470086</v>
      </c>
      <c r="BW13" s="109">
        <f t="shared" si="19"/>
        <v>107.0804118337026</v>
      </c>
      <c r="BX13" s="109">
        <f t="shared" si="20"/>
        <v>3.3270622345142598</v>
      </c>
      <c r="BY13" s="109">
        <f t="shared" si="43"/>
        <v>1.9462893609158809</v>
      </c>
      <c r="BZ13" s="206">
        <v>1369</v>
      </c>
      <c r="CA13" s="206">
        <v>329</v>
      </c>
      <c r="CB13" s="206">
        <v>344</v>
      </c>
      <c r="CC13" s="113">
        <f t="shared" si="44"/>
        <v>2042</v>
      </c>
      <c r="CD13" s="206">
        <v>32124</v>
      </c>
      <c r="CE13" s="206">
        <v>6115</v>
      </c>
      <c r="CF13" s="206">
        <v>7918</v>
      </c>
      <c r="CG13" s="116">
        <f t="shared" si="45"/>
        <v>46157</v>
      </c>
      <c r="CH13" s="109">
        <f t="shared" si="23"/>
        <v>0.21640489474424493</v>
      </c>
      <c r="CI13" s="206">
        <v>246953</v>
      </c>
      <c r="CJ13" s="109">
        <f t="shared" si="24"/>
        <v>1.157827371184772</v>
      </c>
      <c r="CK13" s="223">
        <v>111399</v>
      </c>
      <c r="CL13" s="209" t="s">
        <v>7</v>
      </c>
      <c r="CM13" s="209" t="s">
        <v>7</v>
      </c>
      <c r="CN13" s="209" t="s">
        <v>7</v>
      </c>
      <c r="CO13" s="210">
        <v>11</v>
      </c>
      <c r="CP13" s="108">
        <f>C13/CO13</f>
        <v>19390</v>
      </c>
      <c r="CQ13" s="210">
        <v>0</v>
      </c>
      <c r="CR13" s="210">
        <v>41.65</v>
      </c>
      <c r="CS13" s="180">
        <f t="shared" si="46"/>
        <v>52.65</v>
      </c>
      <c r="CT13" s="108">
        <f t="shared" si="26"/>
        <v>4051.0921177587848</v>
      </c>
      <c r="CU13" s="206">
        <v>3153</v>
      </c>
      <c r="CV13" s="208">
        <v>88670</v>
      </c>
      <c r="CW13" s="210">
        <v>40</v>
      </c>
      <c r="CX13" s="209" t="s">
        <v>7</v>
      </c>
      <c r="CY13" s="209" t="s">
        <v>7</v>
      </c>
      <c r="CZ13" s="206">
        <v>164</v>
      </c>
      <c r="DA13" s="206">
        <v>267</v>
      </c>
      <c r="DB13" s="206">
        <v>64</v>
      </c>
      <c r="DC13" s="206">
        <v>29546</v>
      </c>
      <c r="DD13" s="206" t="s">
        <v>1115</v>
      </c>
      <c r="DE13" s="206" t="s">
        <v>1115</v>
      </c>
      <c r="DF13" s="206">
        <v>12716</v>
      </c>
      <c r="DG13" s="206">
        <v>52</v>
      </c>
      <c r="DH13" s="210">
        <f t="shared" si="27"/>
        <v>5.9618359979370809E-2</v>
      </c>
      <c r="DI13" s="206">
        <v>54</v>
      </c>
      <c r="DJ13" s="206">
        <v>45</v>
      </c>
      <c r="DL13" s="347">
        <v>7673</v>
      </c>
      <c r="DM13" s="205"/>
      <c r="DN13" s="209" t="s">
        <v>1043</v>
      </c>
      <c r="DO13" s="209" t="s">
        <v>125</v>
      </c>
      <c r="DP13" s="209"/>
      <c r="DQ13" s="207"/>
      <c r="DR13" s="218" t="s">
        <v>968</v>
      </c>
      <c r="DS13" s="205" t="s">
        <v>968</v>
      </c>
      <c r="DT13" s="229">
        <v>43282</v>
      </c>
      <c r="DU13" s="229">
        <v>43646</v>
      </c>
      <c r="DV13" s="218" t="s">
        <v>968</v>
      </c>
      <c r="DW13" s="109">
        <f t="shared" si="28"/>
        <v>1.3632284682826199</v>
      </c>
      <c r="DX13" s="109">
        <f t="shared" si="29"/>
        <v>0</v>
      </c>
      <c r="DY13" s="109">
        <f t="shared" si="30"/>
        <v>2.3491677997093161</v>
      </c>
      <c r="DZ13" s="109">
        <f t="shared" si="31"/>
        <v>1.5029959210464625</v>
      </c>
      <c r="EA13" s="110">
        <f t="shared" si="48"/>
        <v>0.34486630117817629</v>
      </c>
      <c r="EB13" s="200">
        <f t="shared" si="47"/>
        <v>0.31673186222213906</v>
      </c>
    </row>
    <row r="14" spans="1:132" ht="17" thickBot="1">
      <c r="A14" s="218" t="s">
        <v>969</v>
      </c>
      <c r="B14" s="342" t="s">
        <v>1184</v>
      </c>
      <c r="C14" s="347">
        <v>83789</v>
      </c>
      <c r="D14" s="207">
        <v>2</v>
      </c>
      <c r="E14" s="207">
        <v>0</v>
      </c>
      <c r="F14" s="206">
        <v>34661</v>
      </c>
      <c r="H14" s="108">
        <f t="shared" si="0"/>
        <v>34661</v>
      </c>
      <c r="I14" s="109">
        <v>0.41471999999999998</v>
      </c>
      <c r="J14" s="208">
        <v>798924</v>
      </c>
      <c r="K14" s="208">
        <v>257927</v>
      </c>
      <c r="L14" s="115">
        <f t="shared" si="33"/>
        <v>1056851</v>
      </c>
      <c r="M14" s="110">
        <f t="shared" si="1"/>
        <v>12.613242788432849</v>
      </c>
      <c r="N14" s="208">
        <v>127500</v>
      </c>
      <c r="O14" s="208">
        <v>25754</v>
      </c>
      <c r="P14" s="222">
        <v>12500</v>
      </c>
      <c r="Q14" s="115">
        <v>165754</v>
      </c>
      <c r="R14" s="110">
        <f t="shared" si="2"/>
        <v>1.9782310327131247</v>
      </c>
      <c r="S14" s="222">
        <v>113000</v>
      </c>
      <c r="T14" s="208">
        <v>1335605</v>
      </c>
      <c r="U14" s="208">
        <v>0</v>
      </c>
      <c r="V14" s="208">
        <v>1335605</v>
      </c>
      <c r="W14" s="110">
        <f t="shared" si="3"/>
        <v>15.940099535738581</v>
      </c>
      <c r="X14" s="111">
        <f t="shared" si="34"/>
        <v>0.79129008950999735</v>
      </c>
      <c r="Y14" s="111">
        <f t="shared" si="35"/>
        <v>0.12410405771167374</v>
      </c>
      <c r="Z14" s="111">
        <f t="shared" si="36"/>
        <v>8.4605852778328924E-2</v>
      </c>
      <c r="AA14" s="111">
        <f t="shared" si="37"/>
        <v>0</v>
      </c>
      <c r="AB14" s="208">
        <v>0</v>
      </c>
      <c r="AE14" s="208"/>
      <c r="AF14" s="208">
        <v>1335605</v>
      </c>
      <c r="AG14" s="208">
        <v>1344150</v>
      </c>
      <c r="AH14" s="208"/>
      <c r="AI14" s="115">
        <f t="shared" si="8"/>
        <v>2679755</v>
      </c>
      <c r="AJ14" s="110">
        <f t="shared" si="9"/>
        <v>31.982181431930204</v>
      </c>
      <c r="AK14" s="208">
        <v>133759</v>
      </c>
      <c r="AL14" s="208">
        <v>4621</v>
      </c>
      <c r="AM14" s="208">
        <v>0</v>
      </c>
      <c r="AN14" s="208"/>
      <c r="AO14" s="115">
        <f t="shared" si="38"/>
        <v>0</v>
      </c>
      <c r="AP14" s="208">
        <v>1482530</v>
      </c>
      <c r="AQ14" s="112">
        <f t="shared" si="11"/>
        <v>17.693611333229899</v>
      </c>
      <c r="AR14" s="208"/>
      <c r="AS14" s="222">
        <v>250000</v>
      </c>
      <c r="AT14" s="208">
        <v>0</v>
      </c>
      <c r="AU14" s="222">
        <v>0</v>
      </c>
      <c r="AV14" s="222">
        <v>0</v>
      </c>
      <c r="AW14" s="208"/>
      <c r="AX14" s="222">
        <v>0</v>
      </c>
      <c r="AY14" s="115">
        <f t="shared" si="39"/>
        <v>250000</v>
      </c>
      <c r="AZ14" s="206">
        <v>103245</v>
      </c>
      <c r="BA14" s="109">
        <f t="shared" si="13"/>
        <v>1.2322023177266705</v>
      </c>
      <c r="BB14" s="223">
        <v>4991</v>
      </c>
      <c r="BC14" s="223">
        <v>4991</v>
      </c>
      <c r="BD14" s="223">
        <v>12944</v>
      </c>
      <c r="BE14" s="223">
        <v>2179</v>
      </c>
      <c r="BF14" s="223">
        <v>144058</v>
      </c>
      <c r="BG14" s="223">
        <v>3</v>
      </c>
      <c r="BH14" s="223">
        <v>89</v>
      </c>
      <c r="BI14" s="206">
        <v>0</v>
      </c>
      <c r="BJ14" s="116">
        <f t="shared" si="40"/>
        <v>92</v>
      </c>
      <c r="BK14" s="223">
        <v>302723</v>
      </c>
      <c r="BL14" s="109">
        <f t="shared" si="15"/>
        <v>3.6129205504302475</v>
      </c>
      <c r="BM14" s="223">
        <v>151</v>
      </c>
      <c r="BN14" s="206">
        <v>48409</v>
      </c>
      <c r="BO14" s="109">
        <f t="shared" si="16"/>
        <v>0.5777488691833057</v>
      </c>
      <c r="BP14" s="206">
        <v>57153</v>
      </c>
      <c r="BQ14" s="206">
        <v>0</v>
      </c>
      <c r="BR14" s="230">
        <f t="shared" si="41"/>
        <v>200063</v>
      </c>
      <c r="BS14" s="230">
        <v>42058</v>
      </c>
      <c r="BT14" s="223">
        <v>242121</v>
      </c>
      <c r="BU14" s="109">
        <f t="shared" si="17"/>
        <v>2.8896513862201481</v>
      </c>
      <c r="BV14" s="108">
        <f t="shared" si="42"/>
        <v>12743.21052631579</v>
      </c>
      <c r="BW14" s="109">
        <f t="shared" si="19"/>
        <v>44.247258771929822</v>
      </c>
      <c r="BX14" s="109">
        <f t="shared" si="20"/>
        <v>1.2150155062878247</v>
      </c>
      <c r="BY14" s="109">
        <f t="shared" si="43"/>
        <v>0.799810387714181</v>
      </c>
      <c r="BZ14" s="206">
        <v>422</v>
      </c>
      <c r="CA14" s="206">
        <v>28</v>
      </c>
      <c r="CB14" s="206">
        <v>165</v>
      </c>
      <c r="CC14" s="113">
        <f t="shared" si="44"/>
        <v>615</v>
      </c>
      <c r="CD14" s="206">
        <v>9984</v>
      </c>
      <c r="CE14" s="206">
        <v>292</v>
      </c>
      <c r="CF14" s="206">
        <v>1804</v>
      </c>
      <c r="CG14" s="116">
        <f t="shared" si="45"/>
        <v>12080</v>
      </c>
      <c r="CH14" s="109">
        <f t="shared" si="23"/>
        <v>0.14417166931220088</v>
      </c>
      <c r="CI14" s="206">
        <v>199274</v>
      </c>
      <c r="CJ14" s="109">
        <f t="shared" si="24"/>
        <v>2.378283545572808</v>
      </c>
      <c r="CK14" s="223">
        <v>18300</v>
      </c>
      <c r="CL14" s="209" t="s">
        <v>7</v>
      </c>
      <c r="CM14" s="209" t="s">
        <v>7</v>
      </c>
      <c r="CN14" s="209" t="s">
        <v>7</v>
      </c>
      <c r="CO14" s="210">
        <v>1</v>
      </c>
      <c r="CP14" s="108">
        <f>C14/CO14</f>
        <v>83789</v>
      </c>
      <c r="CQ14" s="210">
        <v>3</v>
      </c>
      <c r="CR14" s="210">
        <v>15</v>
      </c>
      <c r="CS14" s="180">
        <f t="shared" si="46"/>
        <v>19</v>
      </c>
      <c r="CT14" s="108">
        <f t="shared" si="26"/>
        <v>4409.9473684210525</v>
      </c>
      <c r="CU14" s="206">
        <v>0</v>
      </c>
      <c r="CV14" s="208">
        <v>71392</v>
      </c>
      <c r="CW14" s="210">
        <v>40</v>
      </c>
      <c r="CX14" s="209" t="s">
        <v>7</v>
      </c>
      <c r="CY14" s="209" t="s">
        <v>7</v>
      </c>
      <c r="CZ14" s="206">
        <v>12050</v>
      </c>
      <c r="DA14" s="206">
        <v>8577</v>
      </c>
      <c r="DB14" s="206">
        <v>43</v>
      </c>
      <c r="DC14" s="206">
        <v>31270</v>
      </c>
      <c r="DD14" s="206" t="s">
        <v>1115</v>
      </c>
      <c r="DE14" s="206">
        <v>44272</v>
      </c>
      <c r="DF14" s="206">
        <v>7904</v>
      </c>
      <c r="DG14" s="206">
        <v>0</v>
      </c>
      <c r="DH14" s="210">
        <f t="shared" si="27"/>
        <v>9.4332191576459917E-2</v>
      </c>
      <c r="DI14" s="206">
        <v>0</v>
      </c>
      <c r="DJ14" s="206">
        <v>0</v>
      </c>
      <c r="DK14" s="108">
        <v>28160</v>
      </c>
      <c r="DL14" s="347">
        <v>5472</v>
      </c>
      <c r="DM14" s="205"/>
      <c r="DN14" s="209" t="s">
        <v>1044</v>
      </c>
      <c r="DO14" s="209" t="s">
        <v>125</v>
      </c>
      <c r="DP14" s="209"/>
      <c r="DQ14" s="207"/>
      <c r="DR14" s="218" t="s">
        <v>969</v>
      </c>
      <c r="DS14" s="205" t="s">
        <v>969</v>
      </c>
      <c r="DT14" s="229">
        <v>43282</v>
      </c>
      <c r="DU14" s="229">
        <v>43646</v>
      </c>
      <c r="DV14" s="218" t="s">
        <v>969</v>
      </c>
      <c r="DW14" s="109">
        <f t="shared" si="28"/>
        <v>0.68210624306293188</v>
      </c>
      <c r="DX14" s="109">
        <f t="shared" si="29"/>
        <v>0</v>
      </c>
      <c r="DY14" s="109">
        <f t="shared" si="30"/>
        <v>2.3877000560932817</v>
      </c>
      <c r="DZ14" s="109">
        <f t="shared" si="31"/>
        <v>0.50195133012686632</v>
      </c>
      <c r="EA14" s="110">
        <f t="shared" si="48"/>
        <v>0.49569233640209009</v>
      </c>
      <c r="EB14" s="200">
        <f t="shared" si="47"/>
        <v>0.61234485710209707</v>
      </c>
    </row>
    <row r="15" spans="1:132" ht="17" thickBot="1">
      <c r="A15" s="218" t="s">
        <v>970</v>
      </c>
      <c r="B15" s="342" t="s">
        <v>1185</v>
      </c>
      <c r="C15" s="347">
        <v>23443</v>
      </c>
      <c r="D15" s="207">
        <v>0</v>
      </c>
      <c r="E15" s="207">
        <v>0</v>
      </c>
      <c r="F15" s="206">
        <v>7584</v>
      </c>
      <c r="H15" s="108">
        <f t="shared" si="0"/>
        <v>7584</v>
      </c>
      <c r="I15" s="109">
        <v>0.32536999999999999</v>
      </c>
      <c r="J15" s="208">
        <v>194644</v>
      </c>
      <c r="K15" s="208">
        <v>72348</v>
      </c>
      <c r="L15" s="115">
        <f t="shared" si="33"/>
        <v>266992</v>
      </c>
      <c r="M15" s="110">
        <f t="shared" si="1"/>
        <v>11.388986051273301</v>
      </c>
      <c r="N15" s="208">
        <v>19622</v>
      </c>
      <c r="O15" s="208">
        <v>6445</v>
      </c>
      <c r="P15" s="222">
        <v>0</v>
      </c>
      <c r="Q15" s="115">
        <v>26067</v>
      </c>
      <c r="R15" s="110">
        <f t="shared" si="2"/>
        <v>1.1119310668429809</v>
      </c>
      <c r="S15" s="222">
        <v>55128</v>
      </c>
      <c r="T15" s="208">
        <v>348187</v>
      </c>
      <c r="U15" s="208">
        <v>2276</v>
      </c>
      <c r="V15" s="208">
        <v>348187</v>
      </c>
      <c r="W15" s="110">
        <f t="shared" si="3"/>
        <v>14.85249328157659</v>
      </c>
      <c r="X15" s="111">
        <f t="shared" si="34"/>
        <v>0.7668063425687921</v>
      </c>
      <c r="Y15" s="111">
        <f t="shared" si="35"/>
        <v>7.486494326324647E-2</v>
      </c>
      <c r="Z15" s="111">
        <f t="shared" si="36"/>
        <v>0.15832871416796146</v>
      </c>
      <c r="AA15" s="111">
        <f t="shared" si="37"/>
        <v>6.5367173386714607E-3</v>
      </c>
      <c r="AB15" s="208">
        <v>2682753</v>
      </c>
      <c r="AE15" s="208"/>
      <c r="AF15" s="208">
        <v>348187</v>
      </c>
      <c r="AG15" s="208">
        <v>256866</v>
      </c>
      <c r="AH15" s="208"/>
      <c r="AI15" s="115">
        <f t="shared" si="8"/>
        <v>605053</v>
      </c>
      <c r="AJ15" s="110">
        <f t="shared" si="9"/>
        <v>25.809538028409332</v>
      </c>
      <c r="AK15" s="208">
        <v>83271</v>
      </c>
      <c r="AL15" s="208">
        <v>1764</v>
      </c>
      <c r="AM15" s="208">
        <v>8219</v>
      </c>
      <c r="AN15" s="208"/>
      <c r="AO15" s="115">
        <f t="shared" si="38"/>
        <v>8219</v>
      </c>
      <c r="AP15" s="208">
        <v>350120</v>
      </c>
      <c r="AQ15" s="112">
        <f t="shared" si="11"/>
        <v>14.934948598728832</v>
      </c>
      <c r="AR15" s="208"/>
      <c r="AS15" s="222">
        <v>0</v>
      </c>
      <c r="AT15" s="208">
        <v>0</v>
      </c>
      <c r="AU15" s="222">
        <v>0</v>
      </c>
      <c r="AV15" s="222">
        <v>0</v>
      </c>
      <c r="AW15" s="208"/>
      <c r="AX15" s="222">
        <v>0</v>
      </c>
      <c r="AY15" s="115">
        <f t="shared" si="39"/>
        <v>0</v>
      </c>
      <c r="AZ15" s="206">
        <v>40696</v>
      </c>
      <c r="BA15" s="109">
        <f t="shared" si="13"/>
        <v>1.7359552958239133</v>
      </c>
      <c r="BB15" s="223">
        <v>982</v>
      </c>
      <c r="BC15" s="223">
        <v>982</v>
      </c>
      <c r="BD15" s="223">
        <v>2454</v>
      </c>
      <c r="BE15" s="223">
        <v>2066</v>
      </c>
      <c r="BF15" s="223">
        <v>107579</v>
      </c>
      <c r="BG15" s="223">
        <v>2</v>
      </c>
      <c r="BH15" s="223">
        <v>89</v>
      </c>
      <c r="BI15" s="206">
        <v>0</v>
      </c>
      <c r="BJ15" s="116">
        <f t="shared" si="40"/>
        <v>91</v>
      </c>
      <c r="BK15" s="223">
        <v>170869</v>
      </c>
      <c r="BL15" s="109">
        <f t="shared" si="15"/>
        <v>7.2887002516742738</v>
      </c>
      <c r="BM15" s="223">
        <v>42</v>
      </c>
      <c r="BN15" s="206">
        <v>4323</v>
      </c>
      <c r="BO15" s="109">
        <f t="shared" si="16"/>
        <v>0.18440472635754809</v>
      </c>
      <c r="BP15" s="206">
        <v>7081</v>
      </c>
      <c r="BQ15" s="206">
        <v>0</v>
      </c>
      <c r="BR15" s="230">
        <f t="shared" si="41"/>
        <v>20150</v>
      </c>
      <c r="BS15" s="230">
        <v>2589</v>
      </c>
      <c r="BT15" s="223">
        <v>22739</v>
      </c>
      <c r="BU15" s="109">
        <f t="shared" si="17"/>
        <v>0.96996971377383445</v>
      </c>
      <c r="BV15" s="108">
        <f t="shared" si="42"/>
        <v>3358.7887740029546</v>
      </c>
      <c r="BW15" s="109">
        <f t="shared" si="19"/>
        <v>10.503002309468823</v>
      </c>
      <c r="BX15" s="109">
        <f t="shared" si="20"/>
        <v>0.43673414512349712</v>
      </c>
      <c r="BY15" s="109">
        <f t="shared" si="43"/>
        <v>0.13307855725731407</v>
      </c>
      <c r="BZ15" s="206">
        <v>114</v>
      </c>
      <c r="CA15" s="206">
        <v>79</v>
      </c>
      <c r="CB15" s="206">
        <v>136</v>
      </c>
      <c r="CC15" s="113">
        <f t="shared" si="44"/>
        <v>329</v>
      </c>
      <c r="CD15" s="206">
        <v>4723</v>
      </c>
      <c r="CE15" s="206">
        <v>608</v>
      </c>
      <c r="CF15" s="206">
        <v>1078</v>
      </c>
      <c r="CG15" s="116">
        <f t="shared" si="45"/>
        <v>6409</v>
      </c>
      <c r="CH15" s="109">
        <f t="shared" si="23"/>
        <v>0.27338651196519215</v>
      </c>
      <c r="CI15" s="206">
        <v>52066</v>
      </c>
      <c r="CJ15" s="109">
        <f t="shared" si="24"/>
        <v>2.2209614810391161</v>
      </c>
      <c r="CK15" s="223">
        <v>4938</v>
      </c>
      <c r="CL15" s="209" t="s">
        <v>7</v>
      </c>
      <c r="CM15" s="209" t="s">
        <v>7</v>
      </c>
      <c r="CN15" s="209" t="s">
        <v>7</v>
      </c>
      <c r="CO15" s="210">
        <v>1</v>
      </c>
      <c r="CP15" s="210">
        <v>0</v>
      </c>
      <c r="CQ15" s="210">
        <v>0</v>
      </c>
      <c r="CR15" s="210">
        <v>5.77</v>
      </c>
      <c r="CS15" s="180">
        <f t="shared" si="46"/>
        <v>6.77</v>
      </c>
      <c r="CT15" s="108">
        <f t="shared" si="26"/>
        <v>3462.7769571639587</v>
      </c>
      <c r="CU15" s="206">
        <v>437</v>
      </c>
      <c r="CV15" s="208">
        <v>57660</v>
      </c>
      <c r="CW15" s="210">
        <v>29</v>
      </c>
      <c r="CX15" s="209" t="s">
        <v>7</v>
      </c>
      <c r="CY15" s="209" t="s">
        <v>7</v>
      </c>
      <c r="CZ15" s="206">
        <v>2376</v>
      </c>
      <c r="DA15" s="206">
        <v>933</v>
      </c>
      <c r="DB15" s="206">
        <v>21</v>
      </c>
      <c r="DC15" s="206">
        <v>4877</v>
      </c>
      <c r="DD15" s="206">
        <v>3380</v>
      </c>
      <c r="DE15" s="206">
        <v>3725</v>
      </c>
      <c r="DF15" s="206">
        <v>2340</v>
      </c>
      <c r="DG15" s="206">
        <v>52</v>
      </c>
      <c r="DH15" s="210">
        <f t="shared" si="27"/>
        <v>9.9816576376743585E-2</v>
      </c>
      <c r="DI15" s="206">
        <v>29</v>
      </c>
      <c r="DJ15" s="206">
        <v>29</v>
      </c>
      <c r="DL15" s="347">
        <v>2165</v>
      </c>
      <c r="DM15" s="205"/>
      <c r="DN15" s="209" t="s">
        <v>1045</v>
      </c>
      <c r="DO15" s="209" t="s">
        <v>125</v>
      </c>
      <c r="DP15" s="209"/>
      <c r="DQ15" s="207"/>
      <c r="DR15" s="218" t="s">
        <v>970</v>
      </c>
      <c r="DS15" s="205" t="s">
        <v>970</v>
      </c>
      <c r="DT15" s="229">
        <v>43282</v>
      </c>
      <c r="DU15" s="229">
        <v>43646</v>
      </c>
      <c r="DV15" s="218" t="s">
        <v>970</v>
      </c>
      <c r="DW15" s="109">
        <f t="shared" si="28"/>
        <v>0.3020517851810775</v>
      </c>
      <c r="DX15" s="109">
        <f t="shared" si="29"/>
        <v>0</v>
      </c>
      <c r="DY15" s="109">
        <f t="shared" si="30"/>
        <v>0.85953162991084764</v>
      </c>
      <c r="DZ15" s="109">
        <f t="shared" si="31"/>
        <v>0.11043808386298681</v>
      </c>
      <c r="EA15" s="110">
        <f t="shared" si="48"/>
        <v>0.7205758143292571</v>
      </c>
      <c r="EB15" s="200">
        <v>0</v>
      </c>
    </row>
    <row r="16" spans="1:132" ht="17" thickBot="1">
      <c r="A16" s="218" t="s">
        <v>971</v>
      </c>
      <c r="B16" s="342" t="s">
        <v>1186</v>
      </c>
      <c r="C16" s="347">
        <v>118311</v>
      </c>
      <c r="D16" s="207">
        <v>6</v>
      </c>
      <c r="E16" s="207">
        <v>0</v>
      </c>
      <c r="F16" s="206">
        <v>65400</v>
      </c>
      <c r="H16" s="108">
        <f t="shared" si="0"/>
        <v>65400</v>
      </c>
      <c r="I16" s="109">
        <v>0.55830000000000002</v>
      </c>
      <c r="J16" s="208">
        <v>1630986</v>
      </c>
      <c r="K16" s="208">
        <v>531159</v>
      </c>
      <c r="L16" s="115">
        <f t="shared" si="33"/>
        <v>2162145</v>
      </c>
      <c r="M16" s="110">
        <f t="shared" si="1"/>
        <v>18.275096990136166</v>
      </c>
      <c r="N16" s="208">
        <v>214173</v>
      </c>
      <c r="O16" s="208">
        <v>51441</v>
      </c>
      <c r="P16" s="222">
        <v>56580</v>
      </c>
      <c r="Q16" s="115">
        <v>322194</v>
      </c>
      <c r="R16" s="110">
        <f t="shared" si="2"/>
        <v>2.7232801683698051</v>
      </c>
      <c r="S16" s="222">
        <v>401141</v>
      </c>
      <c r="T16" s="208">
        <v>2885480</v>
      </c>
      <c r="U16" s="208">
        <v>0</v>
      </c>
      <c r="V16" s="208">
        <v>2885480</v>
      </c>
      <c r="W16" s="110">
        <f t="shared" si="3"/>
        <v>24.388941011402153</v>
      </c>
      <c r="X16" s="111">
        <f t="shared" si="34"/>
        <v>0.7493190041171659</v>
      </c>
      <c r="Y16" s="111">
        <f t="shared" si="35"/>
        <v>0.11166045164062825</v>
      </c>
      <c r="Z16" s="111">
        <f t="shared" si="36"/>
        <v>0.13902054424220581</v>
      </c>
      <c r="AA16" s="111">
        <f t="shared" si="37"/>
        <v>0</v>
      </c>
      <c r="AB16" s="208">
        <v>26925</v>
      </c>
      <c r="AE16" s="208"/>
      <c r="AF16" s="208">
        <v>2885480</v>
      </c>
      <c r="AG16" s="208">
        <v>2589806</v>
      </c>
      <c r="AH16" s="208"/>
      <c r="AI16" s="115">
        <f t="shared" si="8"/>
        <v>5475286</v>
      </c>
      <c r="AJ16" s="110">
        <f t="shared" si="9"/>
        <v>46.278756835797182</v>
      </c>
      <c r="AK16" s="208">
        <v>146945</v>
      </c>
      <c r="AL16" s="208">
        <v>38512</v>
      </c>
      <c r="AM16" s="208">
        <v>45070</v>
      </c>
      <c r="AN16" s="208"/>
      <c r="AO16" s="115">
        <f t="shared" si="38"/>
        <v>45070</v>
      </c>
      <c r="AP16" s="208">
        <v>2885480</v>
      </c>
      <c r="AQ16" s="112">
        <f t="shared" si="11"/>
        <v>24.388941011402153</v>
      </c>
      <c r="AR16" s="208"/>
      <c r="AS16" s="222">
        <v>49948</v>
      </c>
      <c r="AT16" s="208">
        <v>0</v>
      </c>
      <c r="AU16" s="222">
        <v>0</v>
      </c>
      <c r="AV16" s="222">
        <v>0</v>
      </c>
      <c r="AW16" s="208"/>
      <c r="AX16" s="222">
        <v>0</v>
      </c>
      <c r="AY16" s="115">
        <f t="shared" si="39"/>
        <v>49948</v>
      </c>
      <c r="AZ16" s="206">
        <v>146715</v>
      </c>
      <c r="BA16" s="109">
        <f t="shared" si="13"/>
        <v>1.240079113522834</v>
      </c>
      <c r="BB16" s="223">
        <v>7913</v>
      </c>
      <c r="BC16" s="223">
        <v>7913</v>
      </c>
      <c r="BD16" s="223">
        <v>23276</v>
      </c>
      <c r="BE16" s="223">
        <v>2179</v>
      </c>
      <c r="BF16" s="223">
        <v>144117</v>
      </c>
      <c r="BG16" s="223">
        <v>8</v>
      </c>
      <c r="BH16" s="223">
        <v>89</v>
      </c>
      <c r="BI16" s="206">
        <v>0</v>
      </c>
      <c r="BJ16" s="116">
        <f t="shared" si="40"/>
        <v>97</v>
      </c>
      <c r="BK16" s="223">
        <v>368407</v>
      </c>
      <c r="BL16" s="109">
        <f t="shared" si="15"/>
        <v>3.1138862827632257</v>
      </c>
      <c r="BM16" s="223">
        <v>220</v>
      </c>
      <c r="BN16" s="206">
        <v>49246</v>
      </c>
      <c r="BO16" s="109">
        <f t="shared" si="16"/>
        <v>0.4162419386194014</v>
      </c>
      <c r="BP16" s="206">
        <v>157045</v>
      </c>
      <c r="BQ16" s="206">
        <v>0</v>
      </c>
      <c r="BR16" s="230">
        <f t="shared" si="41"/>
        <v>353779</v>
      </c>
      <c r="BS16" s="230">
        <v>139394</v>
      </c>
      <c r="BT16" s="223">
        <v>493173</v>
      </c>
      <c r="BU16" s="109">
        <f t="shared" si="17"/>
        <v>4.1684458757004847</v>
      </c>
      <c r="BV16" s="108">
        <f t="shared" si="42"/>
        <v>13775.78212290503</v>
      </c>
      <c r="BW16" s="109">
        <f t="shared" si="19"/>
        <v>33.613208833151582</v>
      </c>
      <c r="BX16" s="109">
        <f t="shared" si="20"/>
        <v>1.8756674729587879</v>
      </c>
      <c r="BY16" s="109">
        <f t="shared" si="43"/>
        <v>1.3386634890216527</v>
      </c>
      <c r="BZ16" s="206">
        <v>740</v>
      </c>
      <c r="CA16" s="206">
        <v>49</v>
      </c>
      <c r="CB16" s="206">
        <v>483</v>
      </c>
      <c r="CC16" s="113">
        <f t="shared" si="44"/>
        <v>1272</v>
      </c>
      <c r="CD16" s="206">
        <v>11874</v>
      </c>
      <c r="CE16" s="206">
        <v>558</v>
      </c>
      <c r="CF16" s="206">
        <v>4717</v>
      </c>
      <c r="CG16" s="116">
        <f t="shared" si="45"/>
        <v>17149</v>
      </c>
      <c r="CH16" s="109">
        <f t="shared" si="23"/>
        <v>0.14494848323486403</v>
      </c>
      <c r="CI16" s="206">
        <v>262932</v>
      </c>
      <c r="CJ16" s="109">
        <f t="shared" si="24"/>
        <v>2.2223799984785861</v>
      </c>
      <c r="CK16" s="223">
        <v>96853</v>
      </c>
      <c r="CL16" s="209" t="s">
        <v>7</v>
      </c>
      <c r="CM16" s="209" t="s">
        <v>7</v>
      </c>
      <c r="CN16" s="209" t="s">
        <v>7</v>
      </c>
      <c r="CO16" s="210">
        <v>14</v>
      </c>
      <c r="CP16" s="210">
        <v>0</v>
      </c>
      <c r="CQ16" s="210">
        <v>0</v>
      </c>
      <c r="CR16" s="210">
        <v>21.8</v>
      </c>
      <c r="CS16" s="180">
        <f t="shared" si="46"/>
        <v>35.799999999999997</v>
      </c>
      <c r="CT16" s="108">
        <f t="shared" si="26"/>
        <v>3304.7765363128492</v>
      </c>
      <c r="CU16" s="206">
        <v>2772</v>
      </c>
      <c r="CV16" s="208">
        <v>93636</v>
      </c>
      <c r="CW16" s="210">
        <v>40</v>
      </c>
      <c r="CX16" s="209" t="s">
        <v>7</v>
      </c>
      <c r="CY16" s="209" t="s">
        <v>7</v>
      </c>
      <c r="CZ16" s="206">
        <v>283</v>
      </c>
      <c r="DA16" s="206">
        <v>0</v>
      </c>
      <c r="DB16" s="206">
        <v>176</v>
      </c>
      <c r="DC16" s="206">
        <v>39831</v>
      </c>
      <c r="DD16" s="206" t="s">
        <v>1115</v>
      </c>
      <c r="DE16" s="206">
        <v>68046</v>
      </c>
      <c r="DF16" s="206">
        <v>16796</v>
      </c>
      <c r="DG16" s="206">
        <v>46</v>
      </c>
      <c r="DH16" s="210">
        <f t="shared" si="27"/>
        <v>0.14196482152969717</v>
      </c>
      <c r="DI16" s="206">
        <v>51</v>
      </c>
      <c r="DJ16" s="206">
        <v>51</v>
      </c>
      <c r="DL16" s="347">
        <v>14672</v>
      </c>
      <c r="DM16" s="205"/>
      <c r="DN16" s="209" t="s">
        <v>1046</v>
      </c>
      <c r="DO16" s="209" t="s">
        <v>125</v>
      </c>
      <c r="DP16" s="209"/>
      <c r="DQ16" s="207"/>
      <c r="DR16" s="218" t="s">
        <v>971</v>
      </c>
      <c r="DS16" s="205" t="s">
        <v>971</v>
      </c>
      <c r="DT16" s="229">
        <v>43282</v>
      </c>
      <c r="DU16" s="229">
        <v>43646</v>
      </c>
      <c r="DV16" s="218" t="s">
        <v>971</v>
      </c>
      <c r="DW16" s="109">
        <f t="shared" si="28"/>
        <v>1.3273913668213437</v>
      </c>
      <c r="DX16" s="109">
        <f t="shared" si="29"/>
        <v>0</v>
      </c>
      <c r="DY16" s="109">
        <f t="shared" si="30"/>
        <v>2.9902460464369334</v>
      </c>
      <c r="DZ16" s="109">
        <f t="shared" si="31"/>
        <v>1.1781998292635512</v>
      </c>
      <c r="EA16" s="110">
        <f t="shared" si="48"/>
        <v>0.41926965060373045</v>
      </c>
      <c r="EB16" s="200">
        <f t="shared" si="47"/>
        <v>0.36903310042039111</v>
      </c>
    </row>
    <row r="17" spans="1:132" ht="17" thickBot="1">
      <c r="A17" s="218" t="s">
        <v>1129</v>
      </c>
      <c r="B17" s="342" t="s">
        <v>1187</v>
      </c>
      <c r="C17" s="347">
        <v>63639</v>
      </c>
      <c r="D17" s="207">
        <v>0</v>
      </c>
      <c r="E17" s="207">
        <v>0</v>
      </c>
      <c r="F17" s="206">
        <v>63305</v>
      </c>
      <c r="H17" s="108">
        <f t="shared" si="0"/>
        <v>63305</v>
      </c>
      <c r="I17" s="109">
        <v>1.0020100000000001</v>
      </c>
      <c r="J17" s="208">
        <v>1766008</v>
      </c>
      <c r="K17" s="208">
        <v>668859</v>
      </c>
      <c r="L17" s="115">
        <f t="shared" si="33"/>
        <v>2434867</v>
      </c>
      <c r="M17" s="110">
        <f t="shared" si="1"/>
        <v>38.260610631845253</v>
      </c>
      <c r="N17" s="208">
        <v>145700</v>
      </c>
      <c r="O17" s="208">
        <v>46367</v>
      </c>
      <c r="P17" s="222">
        <v>52416</v>
      </c>
      <c r="Q17" s="115">
        <v>244483</v>
      </c>
      <c r="R17" s="110">
        <f t="shared" si="2"/>
        <v>3.8417165574569054</v>
      </c>
      <c r="S17" s="222">
        <v>583599</v>
      </c>
      <c r="T17" s="208">
        <v>3262949</v>
      </c>
      <c r="U17" s="208">
        <v>0</v>
      </c>
      <c r="V17" s="208">
        <v>3262949</v>
      </c>
      <c r="W17" s="110">
        <f t="shared" si="3"/>
        <v>51.272788698753907</v>
      </c>
      <c r="X17" s="111">
        <f t="shared" si="34"/>
        <v>0.74621668925870432</v>
      </c>
      <c r="Y17" s="111">
        <f t="shared" si="35"/>
        <v>7.4927006214317166E-2</v>
      </c>
      <c r="Z17" s="111">
        <f t="shared" si="36"/>
        <v>0.17885630452697851</v>
      </c>
      <c r="AA17" s="111">
        <f t="shared" si="37"/>
        <v>0</v>
      </c>
      <c r="AB17" s="208">
        <v>0</v>
      </c>
      <c r="AE17" s="208"/>
      <c r="AF17" s="208">
        <v>3262949</v>
      </c>
      <c r="AG17" s="208">
        <v>568139</v>
      </c>
      <c r="AH17" s="208"/>
      <c r="AI17" s="115">
        <f t="shared" si="8"/>
        <v>3831088</v>
      </c>
      <c r="AJ17" s="110">
        <f t="shared" si="9"/>
        <v>60.20031741542136</v>
      </c>
      <c r="AK17" s="208">
        <v>28713</v>
      </c>
      <c r="AL17" s="208">
        <v>47082</v>
      </c>
      <c r="AM17" s="208">
        <v>149968</v>
      </c>
      <c r="AN17" s="208"/>
      <c r="AO17" s="115">
        <f t="shared" si="38"/>
        <v>149968</v>
      </c>
      <c r="AP17" s="208">
        <v>3153211</v>
      </c>
      <c r="AQ17" s="112">
        <f t="shared" si="11"/>
        <v>49.548405851757572</v>
      </c>
      <c r="AR17" s="208"/>
      <c r="AS17" s="222">
        <v>0</v>
      </c>
      <c r="AT17" s="208">
        <v>0</v>
      </c>
      <c r="AU17" s="222">
        <v>0</v>
      </c>
      <c r="AV17" s="222">
        <v>0</v>
      </c>
      <c r="AW17" s="208"/>
      <c r="AX17" s="222">
        <v>0</v>
      </c>
      <c r="AY17" s="115">
        <f t="shared" si="39"/>
        <v>0</v>
      </c>
      <c r="AZ17" s="206">
        <v>182810</v>
      </c>
      <c r="BA17" s="109">
        <f t="shared" si="13"/>
        <v>2.872609563318091</v>
      </c>
      <c r="BB17" s="223">
        <v>12321</v>
      </c>
      <c r="BC17" s="223">
        <v>12321</v>
      </c>
      <c r="BD17" s="223">
        <v>12118</v>
      </c>
      <c r="BE17" s="223">
        <v>2179</v>
      </c>
      <c r="BF17" s="223">
        <v>145309</v>
      </c>
      <c r="BG17" s="223">
        <v>2</v>
      </c>
      <c r="BH17" s="223">
        <v>89</v>
      </c>
      <c r="BI17" s="206">
        <v>0</v>
      </c>
      <c r="BJ17" s="116">
        <f t="shared" si="40"/>
        <v>91</v>
      </c>
      <c r="BK17" s="223">
        <v>390171</v>
      </c>
      <c r="BL17" s="109">
        <f t="shared" si="15"/>
        <v>6.1310045726677034</v>
      </c>
      <c r="BM17" s="223">
        <v>155</v>
      </c>
      <c r="BN17" s="206">
        <v>-1</v>
      </c>
      <c r="BO17" s="109">
        <f t="shared" si="16"/>
        <v>-1.5713634720847279E-5</v>
      </c>
      <c r="BP17" s="206">
        <v>667826</v>
      </c>
      <c r="BQ17" s="206">
        <v>0</v>
      </c>
      <c r="BR17" s="230">
        <f t="shared" si="41"/>
        <v>1092619</v>
      </c>
      <c r="BS17" s="230">
        <v>274771</v>
      </c>
      <c r="BT17" s="223">
        <v>1367390</v>
      </c>
      <c r="BU17" s="109">
        <f t="shared" si="17"/>
        <v>21.486666980939361</v>
      </c>
      <c r="BV17" s="108">
        <f t="shared" si="42"/>
        <v>38409.831460674155</v>
      </c>
      <c r="BW17" s="109">
        <f t="shared" si="19"/>
        <v>554.94724025974028</v>
      </c>
      <c r="BX17" s="109">
        <f t="shared" si="20"/>
        <v>3.4861676605487046</v>
      </c>
      <c r="BY17" s="109">
        <f t="shared" si="43"/>
        <v>3.5045915765138873</v>
      </c>
      <c r="BZ17" s="206">
        <v>526</v>
      </c>
      <c r="CA17" s="206">
        <v>58</v>
      </c>
      <c r="CB17" s="206">
        <v>93</v>
      </c>
      <c r="CC17" s="113">
        <f t="shared" si="44"/>
        <v>677</v>
      </c>
      <c r="CD17" s="206">
        <v>20289</v>
      </c>
      <c r="CE17" s="206">
        <v>1305</v>
      </c>
      <c r="CF17" s="206">
        <v>3791</v>
      </c>
      <c r="CG17" s="116">
        <f t="shared" si="45"/>
        <v>25385</v>
      </c>
      <c r="CH17" s="109">
        <f t="shared" si="23"/>
        <v>0.39889061738870818</v>
      </c>
      <c r="CI17" s="206">
        <v>392233</v>
      </c>
      <c r="CJ17" s="109">
        <f t="shared" si="24"/>
        <v>6.1634060874620911</v>
      </c>
      <c r="CK17" s="223">
        <v>63029</v>
      </c>
      <c r="CL17" s="209" t="s">
        <v>7</v>
      </c>
      <c r="CM17" s="209" t="s">
        <v>7</v>
      </c>
      <c r="CN17" s="209" t="s">
        <v>7</v>
      </c>
      <c r="CO17" s="210">
        <v>8</v>
      </c>
      <c r="CP17" s="210">
        <v>0</v>
      </c>
      <c r="CQ17" s="210">
        <v>0</v>
      </c>
      <c r="CR17" s="210">
        <v>27.6</v>
      </c>
      <c r="CS17" s="180">
        <f t="shared" si="46"/>
        <v>35.6</v>
      </c>
      <c r="CT17" s="108">
        <f t="shared" si="26"/>
        <v>1787.6123595505617</v>
      </c>
      <c r="CU17" s="206">
        <v>2493</v>
      </c>
      <c r="CV17" s="208">
        <v>131341</v>
      </c>
      <c r="CW17" s="210">
        <v>40</v>
      </c>
      <c r="CX17" s="209" t="s">
        <v>7</v>
      </c>
      <c r="CY17" s="209" t="s">
        <v>7</v>
      </c>
      <c r="CZ17" s="206">
        <v>0</v>
      </c>
      <c r="DA17" s="206">
        <v>0</v>
      </c>
      <c r="DB17" s="206">
        <v>60</v>
      </c>
      <c r="DC17" s="206">
        <v>92543</v>
      </c>
      <c r="DD17" s="206" t="s">
        <v>1115</v>
      </c>
      <c r="DE17" s="206">
        <v>725582</v>
      </c>
      <c r="DF17" s="206">
        <v>3484</v>
      </c>
      <c r="DG17" s="206">
        <v>52</v>
      </c>
      <c r="DH17" s="210">
        <f t="shared" si="27"/>
        <v>5.4746303367431921E-2</v>
      </c>
      <c r="DI17" s="206">
        <v>38</v>
      </c>
      <c r="DJ17" s="206">
        <v>38</v>
      </c>
      <c r="DL17" s="347">
        <v>2464</v>
      </c>
      <c r="DM17" s="205"/>
      <c r="DN17" s="209" t="s">
        <v>1047</v>
      </c>
      <c r="DO17" s="209" t="s">
        <v>1031</v>
      </c>
      <c r="DP17" s="209"/>
      <c r="DQ17" s="207"/>
      <c r="DR17" s="218" t="s">
        <v>1129</v>
      </c>
      <c r="DS17" s="205" t="s">
        <v>972</v>
      </c>
      <c r="DT17" s="229">
        <v>43282</v>
      </c>
      <c r="DU17" s="229">
        <v>43646</v>
      </c>
      <c r="DV17" s="218" t="s">
        <v>1129</v>
      </c>
      <c r="DW17" s="109">
        <f t="shared" si="28"/>
        <v>10.493973821084555</v>
      </c>
      <c r="DX17" s="109">
        <f t="shared" si="29"/>
        <v>0</v>
      </c>
      <c r="DY17" s="109">
        <f t="shared" si="30"/>
        <v>17.169015855057435</v>
      </c>
      <c r="DZ17" s="109">
        <f t="shared" si="31"/>
        <v>4.3176511258819277</v>
      </c>
      <c r="EA17" s="110">
        <f t="shared" si="48"/>
        <v>8.2763164995214272E-2</v>
      </c>
      <c r="EB17" s="200">
        <v>0</v>
      </c>
    </row>
    <row r="18" spans="1:132" ht="33" thickBot="1">
      <c r="A18" s="218" t="s">
        <v>1130</v>
      </c>
      <c r="B18" s="342" t="s">
        <v>1188</v>
      </c>
      <c r="C18" s="347">
        <v>1099845</v>
      </c>
      <c r="D18" s="207">
        <v>19</v>
      </c>
      <c r="E18" s="207">
        <v>0</v>
      </c>
      <c r="F18" s="206">
        <v>526427</v>
      </c>
      <c r="H18" s="108">
        <f t="shared" si="0"/>
        <v>526427</v>
      </c>
      <c r="I18" s="109">
        <v>0.49358000000000002</v>
      </c>
      <c r="J18" s="208">
        <v>19824467</v>
      </c>
      <c r="K18" s="208">
        <v>9083217</v>
      </c>
      <c r="L18" s="115">
        <f t="shared" si="33"/>
        <v>28907684</v>
      </c>
      <c r="M18" s="110">
        <f t="shared" si="1"/>
        <v>26.283416299569485</v>
      </c>
      <c r="N18" s="208">
        <v>2200407</v>
      </c>
      <c r="O18" s="208">
        <v>2863624</v>
      </c>
      <c r="P18" s="222">
        <v>282971</v>
      </c>
      <c r="Q18" s="115">
        <v>5347002</v>
      </c>
      <c r="R18" s="110">
        <f t="shared" si="2"/>
        <v>4.861595952156895</v>
      </c>
      <c r="S18" s="222">
        <v>10466735</v>
      </c>
      <c r="T18" s="208">
        <v>44721421</v>
      </c>
      <c r="U18" s="208">
        <v>0</v>
      </c>
      <c r="V18" s="208">
        <v>44721421</v>
      </c>
      <c r="W18" s="110">
        <f t="shared" si="3"/>
        <v>40.661566857148053</v>
      </c>
      <c r="X18" s="111">
        <f t="shared" si="34"/>
        <v>0.64639457677339907</v>
      </c>
      <c r="Y18" s="111">
        <f t="shared" si="35"/>
        <v>0.11956243519185135</v>
      </c>
      <c r="Z18" s="111">
        <f t="shared" si="36"/>
        <v>0.2340429880347496</v>
      </c>
      <c r="AA18" s="111">
        <f t="shared" si="37"/>
        <v>0</v>
      </c>
      <c r="AB18" s="208">
        <v>10292212</v>
      </c>
      <c r="AE18" s="208"/>
      <c r="AF18" s="208">
        <v>44721421</v>
      </c>
      <c r="AG18" s="208">
        <v>40807879</v>
      </c>
      <c r="AH18" s="208"/>
      <c r="AI18" s="115">
        <f t="shared" si="8"/>
        <v>85529300</v>
      </c>
      <c r="AJ18" s="110">
        <f t="shared" si="9"/>
        <v>77.76486686760407</v>
      </c>
      <c r="AK18" s="208">
        <v>631286</v>
      </c>
      <c r="AL18" s="208">
        <v>140654</v>
      </c>
      <c r="AM18" s="208">
        <v>9059741</v>
      </c>
      <c r="AN18" s="208"/>
      <c r="AO18" s="115">
        <f t="shared" si="38"/>
        <v>9059741</v>
      </c>
      <c r="AP18" s="208">
        <v>50642060</v>
      </c>
      <c r="AQ18" s="112">
        <f t="shared" si="11"/>
        <v>46.044724483904552</v>
      </c>
      <c r="AR18" s="208"/>
      <c r="AS18" s="222">
        <v>11006794</v>
      </c>
      <c r="AT18" s="208">
        <v>0</v>
      </c>
      <c r="AU18" s="222">
        <v>0</v>
      </c>
      <c r="AV18" s="222">
        <v>0</v>
      </c>
      <c r="AW18" s="208"/>
      <c r="AX18" s="222">
        <v>0</v>
      </c>
      <c r="AY18" s="115">
        <f t="shared" si="39"/>
        <v>11006794</v>
      </c>
      <c r="AZ18" s="206">
        <v>786338</v>
      </c>
      <c r="BA18" s="109">
        <f t="shared" si="13"/>
        <v>0.7149534707163282</v>
      </c>
      <c r="BB18" s="223">
        <v>48236</v>
      </c>
      <c r="BC18" s="223">
        <v>48236</v>
      </c>
      <c r="BD18" s="223">
        <v>29310</v>
      </c>
      <c r="BE18" s="223">
        <v>2404</v>
      </c>
      <c r="BF18" s="223">
        <v>154200</v>
      </c>
      <c r="BG18" s="223">
        <v>32</v>
      </c>
      <c r="BH18" s="223">
        <v>89</v>
      </c>
      <c r="BI18" s="206">
        <v>0</v>
      </c>
      <c r="BJ18" s="116">
        <f t="shared" si="40"/>
        <v>121</v>
      </c>
      <c r="BK18" s="223">
        <v>1159963</v>
      </c>
      <c r="BL18" s="109">
        <f t="shared" si="15"/>
        <v>1.0546604294241462</v>
      </c>
      <c r="BM18" s="223">
        <v>1553</v>
      </c>
      <c r="BN18" s="206">
        <v>1546311</v>
      </c>
      <c r="BO18" s="109">
        <f t="shared" si="16"/>
        <v>1.4059353818037996</v>
      </c>
      <c r="BP18" s="206">
        <v>2350895</v>
      </c>
      <c r="BQ18" s="206">
        <v>0</v>
      </c>
      <c r="BR18" s="230">
        <f t="shared" si="41"/>
        <v>3383184</v>
      </c>
      <c r="BS18" s="230">
        <v>10995332</v>
      </c>
      <c r="BT18" s="223">
        <v>14378516</v>
      </c>
      <c r="BU18" s="109">
        <f t="shared" si="17"/>
        <v>13.073220317408362</v>
      </c>
      <c r="BV18" s="108">
        <f t="shared" si="42"/>
        <v>35458.732429099873</v>
      </c>
      <c r="BW18" s="109">
        <f t="shared" si="19"/>
        <v>310.80619082616403</v>
      </c>
      <c r="BX18" s="109">
        <f t="shared" si="20"/>
        <v>5.6040424984604833</v>
      </c>
      <c r="BY18" s="109">
        <f t="shared" si="43"/>
        <v>12.395667792852013</v>
      </c>
      <c r="BZ18" s="206">
        <v>12065</v>
      </c>
      <c r="CA18" s="206">
        <v>2722</v>
      </c>
      <c r="CB18" s="206">
        <v>3796</v>
      </c>
      <c r="CC18" s="113">
        <f t="shared" si="44"/>
        <v>18583</v>
      </c>
      <c r="CD18" s="206">
        <v>374047</v>
      </c>
      <c r="CE18" s="206">
        <v>27660</v>
      </c>
      <c r="CF18" s="206">
        <v>38244</v>
      </c>
      <c r="CG18" s="116">
        <f t="shared" si="45"/>
        <v>439951</v>
      </c>
      <c r="CH18" s="109">
        <f t="shared" si="23"/>
        <v>0.40001181984734213</v>
      </c>
      <c r="CI18" s="206">
        <v>2565740</v>
      </c>
      <c r="CJ18" s="109">
        <f t="shared" si="24"/>
        <v>2.3328196245834638</v>
      </c>
      <c r="CK18" s="223">
        <v>1117402</v>
      </c>
      <c r="CL18" s="209" t="s">
        <v>7</v>
      </c>
      <c r="CM18" s="209" t="s">
        <v>7</v>
      </c>
      <c r="CN18" s="209" t="s">
        <v>7</v>
      </c>
      <c r="CO18" s="210">
        <v>73.599999999999994</v>
      </c>
      <c r="CP18" s="108">
        <f>C18/CO18</f>
        <v>14943.546195652176</v>
      </c>
      <c r="CQ18" s="210">
        <v>0</v>
      </c>
      <c r="CR18" s="210">
        <v>331.9</v>
      </c>
      <c r="CS18" s="180">
        <f t="shared" si="46"/>
        <v>405.5</v>
      </c>
      <c r="CT18" s="108">
        <f t="shared" si="26"/>
        <v>2712.3181257706533</v>
      </c>
      <c r="CU18" s="206">
        <v>37512</v>
      </c>
      <c r="CV18" s="208">
        <v>177843</v>
      </c>
      <c r="CW18" s="210">
        <v>40</v>
      </c>
      <c r="CX18" s="209" t="s">
        <v>7</v>
      </c>
      <c r="CY18" s="209" t="s">
        <v>7</v>
      </c>
      <c r="CZ18" s="206">
        <v>1491</v>
      </c>
      <c r="DA18" s="206">
        <v>2063</v>
      </c>
      <c r="DB18" s="206">
        <v>764</v>
      </c>
      <c r="DC18" s="206">
        <v>424399</v>
      </c>
      <c r="DD18" s="206">
        <v>1220400</v>
      </c>
      <c r="DE18" s="206">
        <v>20278794</v>
      </c>
      <c r="DF18" s="206">
        <v>57846</v>
      </c>
      <c r="DG18" s="206">
        <v>52</v>
      </c>
      <c r="DH18" s="210">
        <f t="shared" si="27"/>
        <v>5.2594683796353126E-2</v>
      </c>
      <c r="DI18" s="206">
        <v>72</v>
      </c>
      <c r="DJ18" s="206">
        <v>72</v>
      </c>
      <c r="DK18" s="108">
        <v>16370</v>
      </c>
      <c r="DL18" s="347">
        <v>46262</v>
      </c>
      <c r="DM18" s="205"/>
      <c r="DN18" s="209" t="s">
        <v>1048</v>
      </c>
      <c r="DO18" s="209" t="s">
        <v>125</v>
      </c>
      <c r="DP18" s="209"/>
      <c r="DQ18" s="207"/>
      <c r="DR18" s="218" t="s">
        <v>1130</v>
      </c>
      <c r="DS18" s="205" t="s">
        <v>973</v>
      </c>
      <c r="DT18" s="229">
        <v>43282</v>
      </c>
      <c r="DU18" s="229">
        <v>43646</v>
      </c>
      <c r="DV18" s="218" t="s">
        <v>1130</v>
      </c>
      <c r="DW18" s="109">
        <f t="shared" si="28"/>
        <v>2.1374784628743142</v>
      </c>
      <c r="DX18" s="109">
        <f t="shared" si="29"/>
        <v>0</v>
      </c>
      <c r="DY18" s="109">
        <f t="shared" si="30"/>
        <v>3.0760552623324195</v>
      </c>
      <c r="DZ18" s="109">
        <f t="shared" si="31"/>
        <v>9.9971650550759428</v>
      </c>
      <c r="EA18" s="110">
        <f t="shared" si="48"/>
        <v>0.38374200983279094</v>
      </c>
      <c r="EB18" s="200">
        <f t="shared" si="47"/>
        <v>0.26043997580063977</v>
      </c>
    </row>
    <row r="19" spans="1:132" ht="17" thickBot="1">
      <c r="A19" s="218" t="s">
        <v>974</v>
      </c>
      <c r="B19" s="342" t="s">
        <v>1189</v>
      </c>
      <c r="C19" s="347">
        <v>75705</v>
      </c>
      <c r="D19" s="207">
        <v>2</v>
      </c>
      <c r="E19" s="207">
        <v>0</v>
      </c>
      <c r="F19" s="206">
        <v>35000</v>
      </c>
      <c r="H19" s="108">
        <f t="shared" si="0"/>
        <v>35000</v>
      </c>
      <c r="I19" s="109">
        <v>0.46986</v>
      </c>
      <c r="J19" s="208">
        <v>766642</v>
      </c>
      <c r="K19" s="208">
        <v>326177</v>
      </c>
      <c r="L19" s="115">
        <f t="shared" si="33"/>
        <v>1092819</v>
      </c>
      <c r="M19" s="110">
        <f t="shared" si="1"/>
        <v>14.435228848821081</v>
      </c>
      <c r="N19" s="208">
        <v>168867</v>
      </c>
      <c r="O19" s="208">
        <v>27220</v>
      </c>
      <c r="P19" s="222">
        <v>47376</v>
      </c>
      <c r="Q19" s="115">
        <v>243463</v>
      </c>
      <c r="R19" s="110">
        <f t="shared" si="2"/>
        <v>3.2159434647645466</v>
      </c>
      <c r="S19" s="222">
        <v>837845</v>
      </c>
      <c r="T19" s="208">
        <v>2174127</v>
      </c>
      <c r="U19" s="208">
        <v>8781</v>
      </c>
      <c r="V19" s="208">
        <v>2174127</v>
      </c>
      <c r="W19" s="110">
        <f t="shared" si="3"/>
        <v>28.71840697444026</v>
      </c>
      <c r="X19" s="111">
        <f t="shared" si="34"/>
        <v>0.50264726945574012</v>
      </c>
      <c r="Y19" s="111">
        <f t="shared" si="35"/>
        <v>0.11198195873562124</v>
      </c>
      <c r="Z19" s="111">
        <f t="shared" si="36"/>
        <v>0.3853707718086386</v>
      </c>
      <c r="AA19" s="111">
        <f t="shared" si="37"/>
        <v>4.0388624951532273E-3</v>
      </c>
      <c r="AB19" s="208">
        <v>0</v>
      </c>
      <c r="AE19" s="208"/>
      <c r="AF19" s="208">
        <v>2174127</v>
      </c>
      <c r="AG19" s="208">
        <v>1948915</v>
      </c>
      <c r="AH19" s="208"/>
      <c r="AI19" s="115">
        <f t="shared" si="8"/>
        <v>4123042</v>
      </c>
      <c r="AJ19" s="110">
        <f t="shared" si="9"/>
        <v>54.461950993989831</v>
      </c>
      <c r="AK19" s="208">
        <v>91742</v>
      </c>
      <c r="AL19" s="208">
        <v>2000</v>
      </c>
      <c r="AM19" s="208">
        <v>249612</v>
      </c>
      <c r="AN19" s="208"/>
      <c r="AO19" s="115">
        <f t="shared" si="38"/>
        <v>249612</v>
      </c>
      <c r="AP19" s="208">
        <v>2292269</v>
      </c>
      <c r="AQ19" s="112">
        <f t="shared" si="11"/>
        <v>30.278964401294498</v>
      </c>
      <c r="AR19" s="208"/>
      <c r="AS19" s="222">
        <v>0</v>
      </c>
      <c r="AT19" s="208">
        <v>0</v>
      </c>
      <c r="AU19" s="222">
        <v>0</v>
      </c>
      <c r="AV19" s="222">
        <v>0</v>
      </c>
      <c r="AW19" s="208"/>
      <c r="AX19" s="222">
        <v>0</v>
      </c>
      <c r="AY19" s="115">
        <f t="shared" si="39"/>
        <v>0</v>
      </c>
      <c r="AZ19" s="206">
        <v>91273</v>
      </c>
      <c r="BA19" s="109">
        <f t="shared" si="13"/>
        <v>1.2056403143781784</v>
      </c>
      <c r="BB19" s="223">
        <v>3395</v>
      </c>
      <c r="BC19" s="223">
        <v>3395</v>
      </c>
      <c r="BD19" s="223">
        <v>8042</v>
      </c>
      <c r="BE19" s="223">
        <v>2067</v>
      </c>
      <c r="BF19" s="223">
        <v>107580</v>
      </c>
      <c r="BG19" s="223">
        <v>8</v>
      </c>
      <c r="BH19" s="223">
        <v>89</v>
      </c>
      <c r="BI19" s="206">
        <v>0</v>
      </c>
      <c r="BJ19" s="116">
        <f t="shared" si="40"/>
        <v>97</v>
      </c>
      <c r="BK19" s="223">
        <v>230484</v>
      </c>
      <c r="BL19" s="109">
        <f t="shared" si="15"/>
        <v>3.0445016841688131</v>
      </c>
      <c r="BM19" s="223">
        <v>1141</v>
      </c>
      <c r="BN19" s="206">
        <v>22606</v>
      </c>
      <c r="BO19" s="109">
        <f t="shared" si="16"/>
        <v>0.29860643286440791</v>
      </c>
      <c r="BP19" s="206">
        <v>65659</v>
      </c>
      <c r="BQ19" s="206">
        <v>0</v>
      </c>
      <c r="BR19" s="230">
        <f t="shared" si="41"/>
        <v>162382</v>
      </c>
      <c r="BS19" s="230">
        <v>89892</v>
      </c>
      <c r="BT19" s="223">
        <v>252274</v>
      </c>
      <c r="BU19" s="109">
        <f t="shared" si="17"/>
        <v>3.3323294366290206</v>
      </c>
      <c r="BV19" s="108">
        <f t="shared" si="42"/>
        <v>14415.657142857142</v>
      </c>
      <c r="BW19" s="109">
        <f t="shared" si="19"/>
        <v>35.531549295774646</v>
      </c>
      <c r="BX19" s="109">
        <f t="shared" si="20"/>
        <v>2.1219110101774752</v>
      </c>
      <c r="BY19" s="109">
        <f t="shared" si="43"/>
        <v>1.0945401850019958</v>
      </c>
      <c r="BZ19" s="206">
        <v>546</v>
      </c>
      <c r="CA19" s="206">
        <v>76</v>
      </c>
      <c r="CB19" s="206">
        <v>150</v>
      </c>
      <c r="CC19" s="113">
        <f t="shared" si="44"/>
        <v>772</v>
      </c>
      <c r="CD19" s="206">
        <v>11830</v>
      </c>
      <c r="CE19" s="206">
        <v>581</v>
      </c>
      <c r="CF19" s="206">
        <v>2960</v>
      </c>
      <c r="CG19" s="116">
        <f t="shared" si="45"/>
        <v>15371</v>
      </c>
      <c r="CH19" s="109">
        <f t="shared" si="23"/>
        <v>0.20303810844726239</v>
      </c>
      <c r="CI19" s="206">
        <v>118890</v>
      </c>
      <c r="CJ19" s="109">
        <f t="shared" si="24"/>
        <v>1.5704378838914206</v>
      </c>
      <c r="CK19" s="223">
        <v>37017</v>
      </c>
      <c r="CL19" s="209" t="s">
        <v>7</v>
      </c>
      <c r="CM19" s="209" t="s">
        <v>7</v>
      </c>
      <c r="CN19" s="209" t="s">
        <v>7</v>
      </c>
      <c r="CO19" s="210">
        <v>4</v>
      </c>
      <c r="CP19" s="210">
        <v>0</v>
      </c>
      <c r="CQ19" s="210">
        <v>0</v>
      </c>
      <c r="CR19" s="210">
        <v>13.5</v>
      </c>
      <c r="CS19" s="180">
        <f t="shared" si="46"/>
        <v>17.5</v>
      </c>
      <c r="CT19" s="108">
        <f t="shared" si="26"/>
        <v>4326</v>
      </c>
      <c r="CU19" s="206">
        <v>0</v>
      </c>
      <c r="CV19" s="208">
        <v>83462</v>
      </c>
      <c r="CW19" s="210">
        <v>24</v>
      </c>
      <c r="CX19" s="209" t="s">
        <v>7</v>
      </c>
      <c r="CY19" s="209" t="s">
        <v>7</v>
      </c>
      <c r="CZ19" s="206">
        <v>161</v>
      </c>
      <c r="DA19" s="206">
        <v>0</v>
      </c>
      <c r="DB19" s="206">
        <v>58</v>
      </c>
      <c r="DC19" s="206">
        <v>17515</v>
      </c>
      <c r="DD19" s="206" t="s">
        <v>1115</v>
      </c>
      <c r="DE19" s="206" t="s">
        <v>1115</v>
      </c>
      <c r="DF19" s="206">
        <v>7100</v>
      </c>
      <c r="DG19" s="206">
        <v>52</v>
      </c>
      <c r="DH19" s="210">
        <f t="shared" si="27"/>
        <v>9.3785086850274091E-2</v>
      </c>
      <c r="DI19" s="206">
        <v>24</v>
      </c>
      <c r="DJ19" s="206">
        <v>24</v>
      </c>
      <c r="DL19" s="347">
        <v>7100</v>
      </c>
      <c r="DM19" s="205"/>
      <c r="DN19" s="209" t="s">
        <v>1049</v>
      </c>
      <c r="DO19" s="209" t="s">
        <v>125</v>
      </c>
      <c r="DP19" s="209"/>
      <c r="DQ19" s="207"/>
      <c r="DR19" s="218" t="s">
        <v>974</v>
      </c>
      <c r="DS19" s="205" t="s">
        <v>974</v>
      </c>
      <c r="DT19" s="229">
        <v>43282</v>
      </c>
      <c r="DU19" s="229">
        <v>43646</v>
      </c>
      <c r="DV19" s="218" t="s">
        <v>974</v>
      </c>
      <c r="DW19" s="109">
        <f t="shared" si="28"/>
        <v>0.86730070669044312</v>
      </c>
      <c r="DX19" s="109">
        <f t="shared" si="29"/>
        <v>0</v>
      </c>
      <c r="DY19" s="109">
        <f t="shared" si="30"/>
        <v>2.1449309821015783</v>
      </c>
      <c r="DZ19" s="109">
        <f t="shared" si="31"/>
        <v>1.1873984545274421</v>
      </c>
      <c r="EA19" s="110">
        <f t="shared" si="48"/>
        <v>0.74051157467297546</v>
      </c>
      <c r="EB19" s="200">
        <f t="shared" si="47"/>
        <v>0.30280781382102967</v>
      </c>
    </row>
    <row r="20" spans="1:132" ht="14" customHeight="1" thickBot="1">
      <c r="A20" s="218" t="s">
        <v>975</v>
      </c>
      <c r="B20" s="342" t="s">
        <v>1190</v>
      </c>
      <c r="C20" s="347">
        <v>90200</v>
      </c>
      <c r="D20" s="207">
        <v>1</v>
      </c>
      <c r="E20" s="207">
        <v>0</v>
      </c>
      <c r="F20" s="206">
        <v>29000</v>
      </c>
      <c r="H20" s="108">
        <f t="shared" si="0"/>
        <v>29000</v>
      </c>
      <c r="I20" s="109">
        <v>0.32595000000000002</v>
      </c>
      <c r="J20" s="208">
        <v>614012</v>
      </c>
      <c r="K20" s="208">
        <v>272728</v>
      </c>
      <c r="L20" s="115">
        <f t="shared" si="33"/>
        <v>886740</v>
      </c>
      <c r="M20" s="110">
        <f t="shared" si="1"/>
        <v>9.8308203991130814</v>
      </c>
      <c r="N20" s="208">
        <v>58932</v>
      </c>
      <c r="O20" s="208">
        <v>9624</v>
      </c>
      <c r="P20" s="222">
        <v>6088</v>
      </c>
      <c r="Q20" s="115">
        <v>74644</v>
      </c>
      <c r="R20" s="110">
        <f t="shared" si="2"/>
        <v>0.82753880266075386</v>
      </c>
      <c r="S20" s="222">
        <v>171734</v>
      </c>
      <c r="T20" s="208">
        <v>1133118</v>
      </c>
      <c r="U20" s="208">
        <v>0</v>
      </c>
      <c r="V20" s="208">
        <v>1133118</v>
      </c>
      <c r="W20" s="110">
        <f t="shared" si="3"/>
        <v>12.562283813747229</v>
      </c>
      <c r="X20" s="111">
        <f t="shared" si="34"/>
        <v>0.78256633466240944</v>
      </c>
      <c r="Y20" s="111">
        <f t="shared" si="35"/>
        <v>6.5874869166318073E-2</v>
      </c>
      <c r="Z20" s="111">
        <f t="shared" si="36"/>
        <v>0.15155879617127255</v>
      </c>
      <c r="AA20" s="111">
        <f t="shared" si="37"/>
        <v>0</v>
      </c>
      <c r="AB20" s="208">
        <v>12500</v>
      </c>
      <c r="AE20" s="208"/>
      <c r="AF20" s="208">
        <v>1133118</v>
      </c>
      <c r="AG20" s="208">
        <v>931562</v>
      </c>
      <c r="AH20" s="208"/>
      <c r="AI20" s="115">
        <f t="shared" si="8"/>
        <v>2064680</v>
      </c>
      <c r="AJ20" s="110">
        <f t="shared" si="9"/>
        <v>22.890022172949003</v>
      </c>
      <c r="AK20" s="208">
        <v>139435</v>
      </c>
      <c r="AL20" s="208">
        <v>1264</v>
      </c>
      <c r="AM20" s="208">
        <v>64979</v>
      </c>
      <c r="AN20" s="208"/>
      <c r="AO20" s="115">
        <f t="shared" si="38"/>
        <v>64979</v>
      </c>
      <c r="AP20" s="208">
        <v>1137240</v>
      </c>
      <c r="AQ20" s="112">
        <f t="shared" si="11"/>
        <v>12.607982261640798</v>
      </c>
      <c r="AR20" s="208"/>
      <c r="AS20" s="222">
        <v>22139</v>
      </c>
      <c r="AT20" s="208">
        <v>0</v>
      </c>
      <c r="AU20" s="222">
        <v>0</v>
      </c>
      <c r="AV20" s="222">
        <v>0</v>
      </c>
      <c r="AW20" s="208"/>
      <c r="AX20" s="222">
        <v>0</v>
      </c>
      <c r="AY20" s="115">
        <f t="shared" si="39"/>
        <v>22139</v>
      </c>
      <c r="AZ20" s="206">
        <v>89661</v>
      </c>
      <c r="BA20" s="109">
        <f t="shared" si="13"/>
        <v>0.99402439024390243</v>
      </c>
      <c r="BB20" s="223">
        <v>1931</v>
      </c>
      <c r="BC20" s="223">
        <v>1931</v>
      </c>
      <c r="BD20" s="223">
        <v>3865</v>
      </c>
      <c r="BE20" s="223">
        <v>2067</v>
      </c>
      <c r="BF20" s="223">
        <v>107580</v>
      </c>
      <c r="BG20" s="223">
        <v>4</v>
      </c>
      <c r="BH20" s="223">
        <v>89</v>
      </c>
      <c r="BI20" s="206">
        <v>0</v>
      </c>
      <c r="BJ20" s="116">
        <f t="shared" si="40"/>
        <v>93</v>
      </c>
      <c r="BK20" s="223">
        <v>228204</v>
      </c>
      <c r="BL20" s="109">
        <f t="shared" si="15"/>
        <v>2.5299778270509976</v>
      </c>
      <c r="BM20" s="223">
        <v>0</v>
      </c>
      <c r="BN20" s="206">
        <v>38302</v>
      </c>
      <c r="BO20" s="109">
        <f t="shared" si="16"/>
        <v>0.4246341463414634</v>
      </c>
      <c r="BP20" s="206">
        <v>42976</v>
      </c>
      <c r="BQ20" s="206">
        <v>0</v>
      </c>
      <c r="BR20" s="230">
        <f t="shared" si="41"/>
        <v>135611</v>
      </c>
      <c r="BS20" s="230">
        <v>39048</v>
      </c>
      <c r="BT20" s="223">
        <v>174659</v>
      </c>
      <c r="BU20" s="109">
        <f t="shared" si="17"/>
        <v>1.9363525498891352</v>
      </c>
      <c r="BV20" s="108">
        <f t="shared" si="42"/>
        <v>9570.3561643835619</v>
      </c>
      <c r="BW20" s="109">
        <f t="shared" si="19"/>
        <v>53.642199017199019</v>
      </c>
      <c r="BX20" s="109">
        <f t="shared" si="20"/>
        <v>1.8566523513904243</v>
      </c>
      <c r="BY20" s="109">
        <f t="shared" si="43"/>
        <v>0.76536344674063561</v>
      </c>
      <c r="BZ20" s="206">
        <v>210</v>
      </c>
      <c r="CA20" s="206">
        <v>4</v>
      </c>
      <c r="CB20" s="206">
        <v>27</v>
      </c>
      <c r="CC20" s="113">
        <f t="shared" si="44"/>
        <v>241</v>
      </c>
      <c r="CD20" s="206">
        <v>3906</v>
      </c>
      <c r="CE20" s="206">
        <v>60</v>
      </c>
      <c r="CF20" s="206">
        <v>874</v>
      </c>
      <c r="CG20" s="116">
        <f t="shared" si="45"/>
        <v>4840</v>
      </c>
      <c r="CH20" s="109">
        <f t="shared" si="23"/>
        <v>5.3658536585365853E-2</v>
      </c>
      <c r="CI20" s="206">
        <v>94072</v>
      </c>
      <c r="CJ20" s="109">
        <f t="shared" si="24"/>
        <v>1.0429268292682927</v>
      </c>
      <c r="CK20" s="223">
        <v>36720</v>
      </c>
      <c r="CL20" s="209" t="s">
        <v>7</v>
      </c>
      <c r="CM20" s="209" t="s">
        <v>7</v>
      </c>
      <c r="CN20" s="209" t="s">
        <v>7</v>
      </c>
      <c r="CO20" s="210">
        <v>3</v>
      </c>
      <c r="CP20" s="108">
        <f t="shared" ref="CP20:CP27" si="49">C20/CO20</f>
        <v>30066.666666666668</v>
      </c>
      <c r="CQ20" s="210">
        <v>1</v>
      </c>
      <c r="CR20" s="210">
        <v>14.25</v>
      </c>
      <c r="CS20" s="180">
        <f t="shared" si="46"/>
        <v>18.25</v>
      </c>
      <c r="CT20" s="108">
        <f t="shared" si="26"/>
        <v>4942.4657534246571</v>
      </c>
      <c r="CU20" s="206">
        <v>1040</v>
      </c>
      <c r="CV20" s="208">
        <v>81102</v>
      </c>
      <c r="CW20" s="210">
        <v>40</v>
      </c>
      <c r="CX20" s="209" t="s">
        <v>7</v>
      </c>
      <c r="CY20" s="209" t="s">
        <v>7</v>
      </c>
      <c r="CZ20" s="206">
        <v>6975</v>
      </c>
      <c r="DA20" s="206">
        <v>4254</v>
      </c>
      <c r="DB20" s="206">
        <v>35</v>
      </c>
      <c r="DC20" s="206">
        <v>15709</v>
      </c>
      <c r="DD20" s="206" t="s">
        <v>1115</v>
      </c>
      <c r="DE20" s="206">
        <v>57256</v>
      </c>
      <c r="DF20" s="206">
        <v>3572</v>
      </c>
      <c r="DG20" s="206">
        <v>52</v>
      </c>
      <c r="DH20" s="210">
        <f t="shared" si="27"/>
        <v>3.9600886917960092E-2</v>
      </c>
      <c r="DI20" s="206">
        <v>48</v>
      </c>
      <c r="DJ20" s="206">
        <v>48</v>
      </c>
      <c r="DL20" s="347">
        <v>3256</v>
      </c>
      <c r="DM20" s="205"/>
      <c r="DN20" s="209" t="s">
        <v>1050</v>
      </c>
      <c r="DO20" s="209" t="s">
        <v>125</v>
      </c>
      <c r="DP20" s="209"/>
      <c r="DQ20" s="207"/>
      <c r="DR20" s="218" t="s">
        <v>975</v>
      </c>
      <c r="DS20" s="205" t="s">
        <v>975</v>
      </c>
      <c r="DT20" s="229">
        <v>43282</v>
      </c>
      <c r="DU20" s="229">
        <v>43646</v>
      </c>
      <c r="DV20" s="218" t="s">
        <v>975</v>
      </c>
      <c r="DW20" s="109">
        <f t="shared" si="28"/>
        <v>0.47645232815964522</v>
      </c>
      <c r="DX20" s="109">
        <f t="shared" si="29"/>
        <v>0</v>
      </c>
      <c r="DY20" s="109">
        <f t="shared" si="30"/>
        <v>1.5034478935698448</v>
      </c>
      <c r="DZ20" s="109">
        <f t="shared" si="31"/>
        <v>0.43290465631929048</v>
      </c>
      <c r="EA20" s="110">
        <f t="shared" si="48"/>
        <v>0.32999042483495439</v>
      </c>
      <c r="EB20" s="200">
        <f t="shared" si="47"/>
        <v>0.2464658881376767</v>
      </c>
    </row>
    <row r="21" spans="1:132" ht="17" thickBot="1">
      <c r="A21" s="218" t="s">
        <v>976</v>
      </c>
      <c r="B21" s="342" t="s">
        <v>1191</v>
      </c>
      <c r="C21" s="347">
        <v>56247</v>
      </c>
      <c r="D21" s="207">
        <v>5</v>
      </c>
      <c r="E21" s="207">
        <v>1</v>
      </c>
      <c r="F21" s="206">
        <v>24606</v>
      </c>
      <c r="H21" s="108">
        <f t="shared" si="0"/>
        <v>24606</v>
      </c>
      <c r="I21" s="109">
        <v>0.43547000000000002</v>
      </c>
      <c r="J21" s="208">
        <v>859046</v>
      </c>
      <c r="K21" s="208">
        <v>386115</v>
      </c>
      <c r="L21" s="115">
        <f t="shared" si="33"/>
        <v>1245161</v>
      </c>
      <c r="M21" s="110">
        <f t="shared" si="1"/>
        <v>22.137376215620389</v>
      </c>
      <c r="N21" s="208">
        <v>88000</v>
      </c>
      <c r="O21" s="208">
        <v>8000</v>
      </c>
      <c r="P21" s="222">
        <v>5500</v>
      </c>
      <c r="Q21" s="115">
        <v>101500</v>
      </c>
      <c r="R21" s="110">
        <f t="shared" si="2"/>
        <v>1.8045406866143971</v>
      </c>
      <c r="S21" s="222">
        <v>166255</v>
      </c>
      <c r="T21" s="208">
        <v>1512916</v>
      </c>
      <c r="U21" s="208">
        <v>0</v>
      </c>
      <c r="V21" s="208">
        <v>1512916</v>
      </c>
      <c r="W21" s="110">
        <f t="shared" si="3"/>
        <v>26.897718989457214</v>
      </c>
      <c r="X21" s="111">
        <f t="shared" si="34"/>
        <v>0.82302057748083834</v>
      </c>
      <c r="Y21" s="111">
        <f t="shared" si="35"/>
        <v>6.7088985773169171E-2</v>
      </c>
      <c r="Z21" s="111">
        <f t="shared" si="36"/>
        <v>0.10989043674599251</v>
      </c>
      <c r="AA21" s="111">
        <f t="shared" si="37"/>
        <v>0</v>
      </c>
      <c r="AB21" s="208">
        <v>0</v>
      </c>
      <c r="AE21" s="208"/>
      <c r="AF21" s="208">
        <v>1512916</v>
      </c>
      <c r="AG21" s="208">
        <v>1401648</v>
      </c>
      <c r="AH21" s="208"/>
      <c r="AI21" s="115">
        <f t="shared" si="8"/>
        <v>2914564</v>
      </c>
      <c r="AJ21" s="110">
        <f t="shared" si="9"/>
        <v>51.817234696961613</v>
      </c>
      <c r="AK21" s="208">
        <v>111268</v>
      </c>
      <c r="AL21" s="208">
        <v>0</v>
      </c>
      <c r="AM21" s="208">
        <v>0</v>
      </c>
      <c r="AN21" s="208"/>
      <c r="AO21" s="115">
        <f t="shared" si="38"/>
        <v>0</v>
      </c>
      <c r="AP21" s="208">
        <v>1512916</v>
      </c>
      <c r="AQ21" s="112">
        <f t="shared" si="11"/>
        <v>26.897718989457214</v>
      </c>
      <c r="AR21" s="208"/>
      <c r="AS21" s="222">
        <v>0</v>
      </c>
      <c r="AT21" s="208">
        <v>0</v>
      </c>
      <c r="AU21" s="222">
        <v>0</v>
      </c>
      <c r="AV21" s="222">
        <v>0</v>
      </c>
      <c r="AW21" s="208"/>
      <c r="AX21" s="222">
        <v>0</v>
      </c>
      <c r="AY21" s="115">
        <f t="shared" si="39"/>
        <v>0</v>
      </c>
      <c r="AZ21" s="206">
        <v>136043</v>
      </c>
      <c r="BA21" s="109">
        <f t="shared" si="13"/>
        <v>2.4186712180205165</v>
      </c>
      <c r="BB21" s="223">
        <v>2139</v>
      </c>
      <c r="BC21" s="223">
        <v>2139</v>
      </c>
      <c r="BD21" s="223">
        <v>6351</v>
      </c>
      <c r="BE21" s="223">
        <v>2067</v>
      </c>
      <c r="BF21" s="223">
        <v>107831</v>
      </c>
      <c r="BG21" s="223">
        <v>0</v>
      </c>
      <c r="BH21" s="223">
        <v>89</v>
      </c>
      <c r="BI21" s="206">
        <v>0</v>
      </c>
      <c r="BJ21" s="116">
        <f t="shared" si="40"/>
        <v>89</v>
      </c>
      <c r="BK21" s="223">
        <v>272054</v>
      </c>
      <c r="BL21" s="109">
        <f t="shared" si="15"/>
        <v>4.8367735168097852</v>
      </c>
      <c r="BM21" s="223">
        <v>296</v>
      </c>
      <c r="BN21" s="206">
        <v>24166</v>
      </c>
      <c r="BO21" s="109">
        <f t="shared" si="16"/>
        <v>0.42964069194801502</v>
      </c>
      <c r="BP21" s="206">
        <v>24338</v>
      </c>
      <c r="BQ21" s="206">
        <v>0</v>
      </c>
      <c r="BR21" s="230">
        <f t="shared" si="41"/>
        <v>73998</v>
      </c>
      <c r="BS21" s="230">
        <v>11721</v>
      </c>
      <c r="BT21" s="223">
        <v>85719</v>
      </c>
      <c r="BU21" s="109">
        <f t="shared" si="17"/>
        <v>1.5239746119793056</v>
      </c>
      <c r="BV21" s="108">
        <f t="shared" si="42"/>
        <v>3586.5690376569041</v>
      </c>
      <c r="BW21" s="109">
        <f t="shared" si="19"/>
        <v>8.6445139169019765</v>
      </c>
      <c r="BX21" s="109">
        <f t="shared" si="20"/>
        <v>1.5374226526768899</v>
      </c>
      <c r="BY21" s="109">
        <f t="shared" si="43"/>
        <v>0.31508082954119404</v>
      </c>
      <c r="BZ21" s="206">
        <v>276</v>
      </c>
      <c r="CA21" s="206">
        <v>46</v>
      </c>
      <c r="CB21" s="206">
        <v>32</v>
      </c>
      <c r="CC21" s="113">
        <f t="shared" si="44"/>
        <v>354</v>
      </c>
      <c r="CD21" s="206">
        <v>1429</v>
      </c>
      <c r="CE21" s="206">
        <v>319</v>
      </c>
      <c r="CF21" s="206">
        <v>410</v>
      </c>
      <c r="CG21" s="116">
        <f t="shared" si="45"/>
        <v>2158</v>
      </c>
      <c r="CH21" s="109">
        <f t="shared" si="23"/>
        <v>3.8366490657279498E-2</v>
      </c>
      <c r="CI21" s="206">
        <v>55755</v>
      </c>
      <c r="CJ21" s="109">
        <f t="shared" si="24"/>
        <v>0.9912528668195637</v>
      </c>
      <c r="CK21" s="223">
        <v>44871</v>
      </c>
      <c r="CL21" s="209" t="s">
        <v>7</v>
      </c>
      <c r="CM21" s="209" t="s">
        <v>7</v>
      </c>
      <c r="CN21" s="209" t="s">
        <v>7</v>
      </c>
      <c r="CO21" s="210">
        <v>1.9</v>
      </c>
      <c r="CP21" s="108">
        <f t="shared" si="49"/>
        <v>29603.684210526317</v>
      </c>
      <c r="CQ21" s="210">
        <v>0</v>
      </c>
      <c r="CR21" s="210">
        <v>22</v>
      </c>
      <c r="CS21" s="180">
        <f t="shared" si="46"/>
        <v>23.9</v>
      </c>
      <c r="CT21" s="108">
        <f t="shared" si="26"/>
        <v>2353.4309623430963</v>
      </c>
      <c r="CU21" s="206">
        <v>60</v>
      </c>
      <c r="CV21" s="208">
        <v>64341</v>
      </c>
      <c r="CW21" s="210">
        <v>40</v>
      </c>
      <c r="CX21" s="209" t="s">
        <v>7</v>
      </c>
      <c r="CY21" s="209" t="s">
        <v>7</v>
      </c>
      <c r="CZ21" s="206">
        <v>14</v>
      </c>
      <c r="DA21" s="206">
        <v>55</v>
      </c>
      <c r="DB21" s="206">
        <v>92</v>
      </c>
      <c r="DC21" s="206">
        <v>20865</v>
      </c>
      <c r="DD21" s="206">
        <v>15229</v>
      </c>
      <c r="DE21" s="206" t="s">
        <v>1115</v>
      </c>
      <c r="DF21" s="206">
        <v>13244</v>
      </c>
      <c r="DG21" s="206">
        <v>51</v>
      </c>
      <c r="DH21" s="210">
        <f t="shared" si="27"/>
        <v>0.23546144683271997</v>
      </c>
      <c r="DI21" s="206">
        <v>46</v>
      </c>
      <c r="DJ21" s="206">
        <v>46</v>
      </c>
      <c r="DL21" s="347">
        <v>9916</v>
      </c>
      <c r="DM21" s="205"/>
      <c r="DN21" s="209" t="s">
        <v>1051</v>
      </c>
      <c r="DO21" s="209" t="s">
        <v>125</v>
      </c>
      <c r="DP21" s="209"/>
      <c r="DQ21" s="207"/>
      <c r="DR21" s="218" t="s">
        <v>976</v>
      </c>
      <c r="DS21" s="205" t="s">
        <v>976</v>
      </c>
      <c r="DT21" s="229">
        <v>43282</v>
      </c>
      <c r="DU21" s="229">
        <v>43646</v>
      </c>
      <c r="DV21" s="218" t="s">
        <v>976</v>
      </c>
      <c r="DW21" s="109">
        <f t="shared" si="28"/>
        <v>0.43269863281597243</v>
      </c>
      <c r="DX21" s="109">
        <f t="shared" si="29"/>
        <v>0</v>
      </c>
      <c r="DY21" s="109">
        <f t="shared" si="30"/>
        <v>1.3155901648087898</v>
      </c>
      <c r="DZ21" s="109">
        <f t="shared" si="31"/>
        <v>0.20838444717051577</v>
      </c>
      <c r="EA21" s="110">
        <f t="shared" si="48"/>
        <v>0.89489098600715911</v>
      </c>
      <c r="EB21" s="200">
        <f t="shared" si="47"/>
        <v>0.68253561982765976</v>
      </c>
    </row>
    <row r="22" spans="1:132" ht="17" thickBot="1">
      <c r="A22" s="218" t="s">
        <v>1131</v>
      </c>
      <c r="B22" s="342" t="s">
        <v>1192</v>
      </c>
      <c r="C22" s="347">
        <v>187261</v>
      </c>
      <c r="D22" s="207">
        <v>10</v>
      </c>
      <c r="E22" s="207">
        <v>0</v>
      </c>
      <c r="F22" s="206">
        <v>79691</v>
      </c>
      <c r="H22" s="108">
        <f t="shared" si="0"/>
        <v>79691</v>
      </c>
      <c r="I22" s="109">
        <v>0.42510999999999999</v>
      </c>
      <c r="J22" s="208">
        <v>1906865</v>
      </c>
      <c r="K22" s="208">
        <v>753836</v>
      </c>
      <c r="L22" s="115">
        <f t="shared" si="33"/>
        <v>2660701</v>
      </c>
      <c r="M22" s="110">
        <f t="shared" si="1"/>
        <v>14.208516455642124</v>
      </c>
      <c r="N22" s="208">
        <v>202668</v>
      </c>
      <c r="O22" s="208">
        <v>39954</v>
      </c>
      <c r="P22" s="222">
        <v>45769</v>
      </c>
      <c r="Q22" s="115">
        <v>288391</v>
      </c>
      <c r="R22" s="110">
        <f t="shared" si="2"/>
        <v>1.5400483816705026</v>
      </c>
      <c r="S22" s="222">
        <v>693692</v>
      </c>
      <c r="T22" s="208">
        <v>3642784</v>
      </c>
      <c r="U22" s="208">
        <v>0</v>
      </c>
      <c r="V22" s="208">
        <v>3642784</v>
      </c>
      <c r="W22" s="110">
        <f t="shared" si="3"/>
        <v>19.452977395186398</v>
      </c>
      <c r="X22" s="111">
        <f t="shared" si="34"/>
        <v>0.73040317515394815</v>
      </c>
      <c r="Y22" s="111">
        <f t="shared" si="35"/>
        <v>7.9167746426908644E-2</v>
      </c>
      <c r="Z22" s="111">
        <f t="shared" si="36"/>
        <v>0.19042907841914317</v>
      </c>
      <c r="AA22" s="111">
        <f t="shared" si="37"/>
        <v>0</v>
      </c>
      <c r="AB22" s="208">
        <v>0</v>
      </c>
      <c r="AE22" s="208"/>
      <c r="AF22" s="208">
        <v>3642784</v>
      </c>
      <c r="AG22" s="208">
        <v>2600177</v>
      </c>
      <c r="AH22" s="208"/>
      <c r="AI22" s="115">
        <f t="shared" si="8"/>
        <v>6242961</v>
      </c>
      <c r="AJ22" s="110">
        <f t="shared" si="9"/>
        <v>33.338287203421963</v>
      </c>
      <c r="AK22" s="208">
        <v>414304</v>
      </c>
      <c r="AL22" s="208">
        <v>0</v>
      </c>
      <c r="AM22" s="208">
        <v>149745</v>
      </c>
      <c r="AN22" s="208"/>
      <c r="AO22" s="115">
        <f t="shared" si="38"/>
        <v>149745</v>
      </c>
      <c r="AP22" s="208">
        <v>3330691</v>
      </c>
      <c r="AQ22" s="112">
        <f t="shared" si="11"/>
        <v>17.786357009735077</v>
      </c>
      <c r="AR22" s="208"/>
      <c r="AS22" s="222">
        <v>0</v>
      </c>
      <c r="AT22" s="208">
        <v>0</v>
      </c>
      <c r="AU22" s="222">
        <v>0</v>
      </c>
      <c r="AV22" s="222">
        <v>0</v>
      </c>
      <c r="AW22" s="208"/>
      <c r="AX22" s="222">
        <v>0</v>
      </c>
      <c r="AY22" s="115">
        <f t="shared" si="39"/>
        <v>0</v>
      </c>
      <c r="AZ22" s="206">
        <v>311274</v>
      </c>
      <c r="BA22" s="109">
        <f t="shared" si="13"/>
        <v>1.6622468106012465</v>
      </c>
      <c r="BB22" s="223">
        <v>12057</v>
      </c>
      <c r="BC22" s="223">
        <v>12057</v>
      </c>
      <c r="BD22" s="223">
        <v>15829</v>
      </c>
      <c r="BE22" s="223">
        <v>1752</v>
      </c>
      <c r="BF22" s="223">
        <v>78616</v>
      </c>
      <c r="BG22" s="223">
        <v>6</v>
      </c>
      <c r="BH22" s="223">
        <v>89</v>
      </c>
      <c r="BI22" s="206">
        <v>0</v>
      </c>
      <c r="BJ22" s="116">
        <f t="shared" si="40"/>
        <v>95</v>
      </c>
      <c r="BK22" s="223">
        <v>452545</v>
      </c>
      <c r="BL22" s="109">
        <f t="shared" si="15"/>
        <v>2.4166537613277725</v>
      </c>
      <c r="BM22" s="223">
        <v>158</v>
      </c>
      <c r="BN22" s="206">
        <v>74229</v>
      </c>
      <c r="BO22" s="109">
        <f t="shared" si="16"/>
        <v>0.39639326928725149</v>
      </c>
      <c r="BP22" s="206">
        <v>120171</v>
      </c>
      <c r="BQ22" s="206">
        <v>0</v>
      </c>
      <c r="BR22" s="230">
        <f t="shared" si="41"/>
        <v>318477</v>
      </c>
      <c r="BS22" s="230">
        <v>132333</v>
      </c>
      <c r="BT22" s="223">
        <v>450810</v>
      </c>
      <c r="BU22" s="109">
        <f t="shared" si="17"/>
        <v>2.4073886180251094</v>
      </c>
      <c r="BV22" s="108">
        <f t="shared" si="42"/>
        <v>7029.6273195072517</v>
      </c>
      <c r="BW22" s="109">
        <f t="shared" si="19"/>
        <v>24.745306839389613</v>
      </c>
      <c r="BX22" s="109">
        <f t="shared" si="20"/>
        <v>1.2114640438568203</v>
      </c>
      <c r="BY22" s="109">
        <f t="shared" si="43"/>
        <v>0.99616612712547925</v>
      </c>
      <c r="BZ22" s="206">
        <v>1219</v>
      </c>
      <c r="CA22" s="206">
        <v>164</v>
      </c>
      <c r="CB22" s="206">
        <v>498</v>
      </c>
      <c r="CC22" s="113">
        <f t="shared" si="44"/>
        <v>1881</v>
      </c>
      <c r="CD22" s="206">
        <v>30231</v>
      </c>
      <c r="CE22" s="206">
        <v>1126</v>
      </c>
      <c r="CF22" s="206">
        <v>7320</v>
      </c>
      <c r="CG22" s="116">
        <f t="shared" si="45"/>
        <v>38677</v>
      </c>
      <c r="CH22" s="109">
        <f t="shared" si="23"/>
        <v>0.20654060375625463</v>
      </c>
      <c r="CI22" s="206">
        <v>372120</v>
      </c>
      <c r="CJ22" s="109">
        <f t="shared" si="24"/>
        <v>1.9871729831625378</v>
      </c>
      <c r="CK22" s="223">
        <v>77335</v>
      </c>
      <c r="CL22" s="209" t="s">
        <v>7</v>
      </c>
      <c r="CM22" s="209" t="s">
        <v>7</v>
      </c>
      <c r="CN22" s="209" t="s">
        <v>7</v>
      </c>
      <c r="CO22" s="210">
        <v>2.9</v>
      </c>
      <c r="CP22" s="108">
        <f t="shared" si="49"/>
        <v>64572.758620689659</v>
      </c>
      <c r="CQ22" s="210">
        <v>4.45</v>
      </c>
      <c r="CR22" s="210">
        <v>56.78</v>
      </c>
      <c r="CS22" s="180">
        <f t="shared" si="46"/>
        <v>64.13</v>
      </c>
      <c r="CT22" s="108">
        <f t="shared" si="26"/>
        <v>2920.0218306564793</v>
      </c>
      <c r="CU22" s="206">
        <v>1926</v>
      </c>
      <c r="CV22" s="208">
        <v>88546</v>
      </c>
      <c r="CW22" s="210">
        <v>40</v>
      </c>
      <c r="CX22" s="209" t="s">
        <v>7</v>
      </c>
      <c r="CY22" s="209" t="s">
        <v>7</v>
      </c>
      <c r="CZ22" s="206">
        <v>91</v>
      </c>
      <c r="DA22" s="206">
        <v>92</v>
      </c>
      <c r="DB22" s="206">
        <v>130</v>
      </c>
      <c r="DC22" s="206">
        <v>47898</v>
      </c>
      <c r="DD22" s="206">
        <v>47020</v>
      </c>
      <c r="DE22" s="206">
        <v>151274</v>
      </c>
      <c r="DF22" s="206">
        <v>26484</v>
      </c>
      <c r="DG22" s="206">
        <v>52</v>
      </c>
      <c r="DH22" s="210">
        <f t="shared" si="27"/>
        <v>0.14142827390647278</v>
      </c>
      <c r="DI22" s="206">
        <v>32</v>
      </c>
      <c r="DJ22" s="206">
        <v>32</v>
      </c>
      <c r="DL22" s="347">
        <v>18218</v>
      </c>
      <c r="DM22" s="205"/>
      <c r="DN22" s="209" t="s">
        <v>1052</v>
      </c>
      <c r="DO22" s="209" t="s">
        <v>1030</v>
      </c>
      <c r="DP22" s="209"/>
      <c r="DQ22" s="207"/>
      <c r="DR22" s="218" t="s">
        <v>1131</v>
      </c>
      <c r="DS22" s="205" t="s">
        <v>977</v>
      </c>
      <c r="DT22" s="229">
        <v>43282</v>
      </c>
      <c r="DU22" s="229">
        <v>43646</v>
      </c>
      <c r="DV22" s="218" t="s">
        <v>1131</v>
      </c>
      <c r="DW22" s="109">
        <f t="shared" si="28"/>
        <v>0.64172999182958546</v>
      </c>
      <c r="DX22" s="109">
        <f t="shared" si="29"/>
        <v>0</v>
      </c>
      <c r="DY22" s="109">
        <f t="shared" si="30"/>
        <v>1.7007118406929367</v>
      </c>
      <c r="DZ22" s="109">
        <f t="shared" si="31"/>
        <v>0.70667677733217271</v>
      </c>
      <c r="EA22" s="110">
        <f t="shared" si="48"/>
        <v>0.46202877934015429</v>
      </c>
      <c r="EB22" s="200">
        <f t="shared" si="47"/>
        <v>0.30192015597016619</v>
      </c>
    </row>
    <row r="23" spans="1:132" ht="17" thickBot="1">
      <c r="A23" s="218" t="s">
        <v>978</v>
      </c>
      <c r="B23" s="342" t="s">
        <v>1193</v>
      </c>
      <c r="C23" s="347">
        <v>332392</v>
      </c>
      <c r="D23" s="207">
        <v>7</v>
      </c>
      <c r="E23" s="207">
        <v>0</v>
      </c>
      <c r="F23" s="206">
        <v>192169</v>
      </c>
      <c r="H23" s="108">
        <f t="shared" si="0"/>
        <v>192169</v>
      </c>
      <c r="I23" s="109">
        <v>0.57809999999999995</v>
      </c>
      <c r="J23" s="208">
        <v>5462765</v>
      </c>
      <c r="K23" s="208">
        <v>2387828</v>
      </c>
      <c r="L23" s="115">
        <f t="shared" si="33"/>
        <v>7850593</v>
      </c>
      <c r="M23" s="110">
        <f t="shared" si="1"/>
        <v>23.618477580687863</v>
      </c>
      <c r="N23" s="208">
        <v>740624</v>
      </c>
      <c r="O23" s="208">
        <v>319245</v>
      </c>
      <c r="P23" s="222">
        <v>32436</v>
      </c>
      <c r="Q23" s="115">
        <v>1092305</v>
      </c>
      <c r="R23" s="110">
        <f t="shared" si="2"/>
        <v>3.2861952152879734</v>
      </c>
      <c r="S23" s="222">
        <v>1120684</v>
      </c>
      <c r="T23" s="208">
        <v>10063582</v>
      </c>
      <c r="U23" s="208">
        <v>0</v>
      </c>
      <c r="V23" s="208">
        <v>10063582</v>
      </c>
      <c r="W23" s="110">
        <f t="shared" si="3"/>
        <v>30.27624611904017</v>
      </c>
      <c r="X23" s="111">
        <f t="shared" si="34"/>
        <v>0.78009927280365976</v>
      </c>
      <c r="Y23" s="111">
        <f t="shared" si="35"/>
        <v>0.10854037856500796</v>
      </c>
      <c r="Z23" s="111">
        <f t="shared" si="36"/>
        <v>0.11136034863133226</v>
      </c>
      <c r="AA23" s="111">
        <f t="shared" si="37"/>
        <v>0</v>
      </c>
      <c r="AB23" s="208">
        <v>0</v>
      </c>
      <c r="AE23" s="208"/>
      <c r="AF23" s="208">
        <v>10063582</v>
      </c>
      <c r="AG23" s="208">
        <v>10144732</v>
      </c>
      <c r="AH23" s="208"/>
      <c r="AI23" s="115">
        <f t="shared" si="8"/>
        <v>20208314</v>
      </c>
      <c r="AJ23" s="110">
        <f t="shared" si="9"/>
        <v>60.796631687886588</v>
      </c>
      <c r="AK23" s="208">
        <v>346180</v>
      </c>
      <c r="AL23" s="208">
        <v>61987</v>
      </c>
      <c r="AM23" s="208">
        <v>182759</v>
      </c>
      <c r="AN23" s="208"/>
      <c r="AO23" s="115">
        <f t="shared" si="38"/>
        <v>182759</v>
      </c>
      <c r="AP23" s="208">
        <v>10735658</v>
      </c>
      <c r="AQ23" s="112">
        <f t="shared" si="11"/>
        <v>32.298184071818817</v>
      </c>
      <c r="AR23" s="208"/>
      <c r="AS23" s="222">
        <v>54965</v>
      </c>
      <c r="AT23" s="208">
        <v>0</v>
      </c>
      <c r="AU23" s="222">
        <v>0</v>
      </c>
      <c r="AV23" s="222">
        <v>44136</v>
      </c>
      <c r="AW23" s="208"/>
      <c r="AX23" s="222">
        <v>0</v>
      </c>
      <c r="AY23" s="115">
        <f t="shared" si="39"/>
        <v>99101</v>
      </c>
      <c r="AZ23" s="206">
        <v>424897</v>
      </c>
      <c r="BA23" s="109">
        <f t="shared" si="13"/>
        <v>1.2783009218031722</v>
      </c>
      <c r="BB23" s="223">
        <v>24978</v>
      </c>
      <c r="BC23" s="223">
        <v>24978</v>
      </c>
      <c r="BD23" s="223">
        <v>36969</v>
      </c>
      <c r="BE23" s="223">
        <v>2179</v>
      </c>
      <c r="BF23" s="223">
        <v>150255</v>
      </c>
      <c r="BG23" s="223">
        <v>15</v>
      </c>
      <c r="BH23" s="223">
        <v>89</v>
      </c>
      <c r="BI23" s="206">
        <v>0</v>
      </c>
      <c r="BJ23" s="116">
        <f t="shared" si="40"/>
        <v>104</v>
      </c>
      <c r="BK23" s="223">
        <v>695946</v>
      </c>
      <c r="BL23" s="109">
        <f t="shared" si="15"/>
        <v>2.0937507521239982</v>
      </c>
      <c r="BM23" s="223">
        <v>456</v>
      </c>
      <c r="BN23" s="206">
        <v>129668</v>
      </c>
      <c r="BO23" s="109">
        <f t="shared" si="16"/>
        <v>0.39010565837926303</v>
      </c>
      <c r="BP23" s="206">
        <v>423357</v>
      </c>
      <c r="BQ23" s="206">
        <v>0</v>
      </c>
      <c r="BR23" s="230">
        <f t="shared" si="41"/>
        <v>925290</v>
      </c>
      <c r="BS23" s="230">
        <v>439115</v>
      </c>
      <c r="BT23" s="223">
        <v>1364405</v>
      </c>
      <c r="BU23" s="109">
        <f t="shared" si="17"/>
        <v>4.1048069748971097</v>
      </c>
      <c r="BV23" s="108">
        <f t="shared" si="42"/>
        <v>8856.8971113274911</v>
      </c>
      <c r="BW23" s="109">
        <f t="shared" si="19"/>
        <v>78.126717819514425</v>
      </c>
      <c r="BX23" s="109">
        <f t="shared" si="20"/>
        <v>2.0018618831870039</v>
      </c>
      <c r="BY23" s="109">
        <f t="shared" si="43"/>
        <v>1.9605041195724955</v>
      </c>
      <c r="BZ23" s="206">
        <v>1418</v>
      </c>
      <c r="CA23" s="206">
        <v>408</v>
      </c>
      <c r="CB23" s="206">
        <v>449</v>
      </c>
      <c r="CC23" s="113">
        <f t="shared" si="44"/>
        <v>2275</v>
      </c>
      <c r="CD23" s="206">
        <v>41582</v>
      </c>
      <c r="CE23" s="206">
        <v>10900</v>
      </c>
      <c r="CF23" s="206">
        <v>5788</v>
      </c>
      <c r="CG23" s="116">
        <f t="shared" si="45"/>
        <v>58270</v>
      </c>
      <c r="CH23" s="109">
        <f t="shared" si="23"/>
        <v>0.1753050614936581</v>
      </c>
      <c r="CI23" s="206">
        <v>681568</v>
      </c>
      <c r="CJ23" s="109">
        <f t="shared" si="24"/>
        <v>2.0504945967411969</v>
      </c>
      <c r="CK23" s="223">
        <v>110486</v>
      </c>
      <c r="CL23" s="209" t="s">
        <v>7</v>
      </c>
      <c r="CM23" s="209" t="s">
        <v>7</v>
      </c>
      <c r="CN23" s="209" t="s">
        <v>7</v>
      </c>
      <c r="CO23" s="210">
        <v>45</v>
      </c>
      <c r="CP23" s="108">
        <f t="shared" si="49"/>
        <v>7386.4888888888891</v>
      </c>
      <c r="CQ23" s="210">
        <v>0</v>
      </c>
      <c r="CR23" s="210">
        <v>109.05</v>
      </c>
      <c r="CS23" s="180">
        <f t="shared" si="46"/>
        <v>154.05000000000001</v>
      </c>
      <c r="CT23" s="108">
        <f t="shared" si="26"/>
        <v>2157.6890619928595</v>
      </c>
      <c r="CU23" s="206">
        <v>3389</v>
      </c>
      <c r="CV23" s="208">
        <v>110648</v>
      </c>
      <c r="CW23" s="210">
        <v>40</v>
      </c>
      <c r="CX23" s="209" t="s">
        <v>7</v>
      </c>
      <c r="CY23" s="209" t="s">
        <v>7</v>
      </c>
      <c r="CZ23" s="206">
        <v>34574</v>
      </c>
      <c r="DA23" s="206">
        <v>30236</v>
      </c>
      <c r="DB23" s="206">
        <v>381</v>
      </c>
      <c r="DC23" s="206">
        <v>154886</v>
      </c>
      <c r="DD23" s="206">
        <v>300546</v>
      </c>
      <c r="DE23" s="206">
        <v>335556</v>
      </c>
      <c r="DF23" s="206">
        <v>24544</v>
      </c>
      <c r="DG23" s="206">
        <v>52</v>
      </c>
      <c r="DH23" s="210">
        <f t="shared" si="27"/>
        <v>7.3840525644419841E-2</v>
      </c>
      <c r="DI23" s="206">
        <v>66</v>
      </c>
      <c r="DJ23" s="206">
        <v>66</v>
      </c>
      <c r="DK23" s="108">
        <v>61412</v>
      </c>
      <c r="DL23" s="347">
        <v>17464</v>
      </c>
      <c r="DM23" s="205"/>
      <c r="DN23" s="209" t="s">
        <v>1053</v>
      </c>
      <c r="DO23" s="209" t="s">
        <v>125</v>
      </c>
      <c r="DP23" s="209"/>
      <c r="DQ23" s="207"/>
      <c r="DR23" s="218" t="s">
        <v>978</v>
      </c>
      <c r="DS23" s="205" t="s">
        <v>978</v>
      </c>
      <c r="DT23" s="229">
        <v>43282</v>
      </c>
      <c r="DU23" s="229">
        <v>43646</v>
      </c>
      <c r="DV23" s="218" t="s">
        <v>978</v>
      </c>
      <c r="DW23" s="109">
        <f t="shared" si="28"/>
        <v>1.2736678379744397</v>
      </c>
      <c r="DX23" s="109">
        <f t="shared" si="29"/>
        <v>0</v>
      </c>
      <c r="DY23" s="109">
        <f t="shared" si="30"/>
        <v>2.7837312570699657</v>
      </c>
      <c r="DZ23" s="109">
        <f t="shared" si="31"/>
        <v>1.3210757178271439</v>
      </c>
      <c r="EA23" s="110">
        <f t="shared" si="48"/>
        <v>0.54916075147907495</v>
      </c>
      <c r="EB23" s="200">
        <f t="shared" si="47"/>
        <v>0.72701911799870189</v>
      </c>
    </row>
    <row r="24" spans="1:132" ht="17" thickBot="1">
      <c r="A24" s="218" t="s">
        <v>979</v>
      </c>
      <c r="B24" s="342" t="s">
        <v>1194</v>
      </c>
      <c r="C24" s="347">
        <v>162674</v>
      </c>
      <c r="D24" s="207">
        <v>4</v>
      </c>
      <c r="E24" s="207">
        <v>1</v>
      </c>
      <c r="F24" s="206">
        <v>69486</v>
      </c>
      <c r="H24" s="108">
        <f t="shared" si="0"/>
        <v>69486</v>
      </c>
      <c r="I24" s="109">
        <v>0.42026999999999998</v>
      </c>
      <c r="J24" s="208">
        <v>1781884</v>
      </c>
      <c r="K24" s="208">
        <v>716657</v>
      </c>
      <c r="L24" s="115">
        <f t="shared" si="33"/>
        <v>2498541</v>
      </c>
      <c r="M24" s="110">
        <f t="shared" si="1"/>
        <v>15.359190774186409</v>
      </c>
      <c r="N24" s="208">
        <v>218140</v>
      </c>
      <c r="O24" s="208">
        <v>83836</v>
      </c>
      <c r="P24" s="222">
        <v>12273</v>
      </c>
      <c r="Q24" s="115">
        <v>314249</v>
      </c>
      <c r="R24" s="110">
        <f t="shared" si="2"/>
        <v>1.9317715184971169</v>
      </c>
      <c r="S24" s="222">
        <v>1051332</v>
      </c>
      <c r="T24" s="208">
        <v>3864122</v>
      </c>
      <c r="U24" s="208">
        <v>0</v>
      </c>
      <c r="V24" s="208">
        <v>3864122</v>
      </c>
      <c r="W24" s="110">
        <f t="shared" si="3"/>
        <v>23.753777493637582</v>
      </c>
      <c r="X24" s="111">
        <f t="shared" si="34"/>
        <v>0.6465999261928066</v>
      </c>
      <c r="Y24" s="111">
        <f t="shared" si="35"/>
        <v>8.1324813243474195E-2</v>
      </c>
      <c r="Z24" s="111">
        <f t="shared" si="36"/>
        <v>0.27207526056371928</v>
      </c>
      <c r="AA24" s="111">
        <f t="shared" si="37"/>
        <v>0</v>
      </c>
      <c r="AB24" s="208">
        <v>208666</v>
      </c>
      <c r="AE24" s="208"/>
      <c r="AF24" s="208">
        <v>3864122</v>
      </c>
      <c r="AG24" s="208">
        <v>3668931</v>
      </c>
      <c r="AH24" s="208"/>
      <c r="AI24" s="115">
        <f t="shared" si="8"/>
        <v>7533053</v>
      </c>
      <c r="AJ24" s="110">
        <f t="shared" si="9"/>
        <v>46.307664408571746</v>
      </c>
      <c r="AK24" s="208">
        <v>186778</v>
      </c>
      <c r="AL24" s="208">
        <v>82328</v>
      </c>
      <c r="AM24" s="208">
        <v>57054</v>
      </c>
      <c r="AN24" s="208"/>
      <c r="AO24" s="115">
        <f t="shared" si="38"/>
        <v>57054</v>
      </c>
      <c r="AP24" s="208">
        <v>3995091</v>
      </c>
      <c r="AQ24" s="112">
        <f t="shared" si="11"/>
        <v>24.558878493182686</v>
      </c>
      <c r="AR24" s="208"/>
      <c r="AS24" s="222">
        <v>130968</v>
      </c>
      <c r="AT24" s="208">
        <v>0</v>
      </c>
      <c r="AU24" s="222">
        <v>0</v>
      </c>
      <c r="AV24" s="222">
        <v>0</v>
      </c>
      <c r="AW24" s="208"/>
      <c r="AX24" s="222">
        <v>0</v>
      </c>
      <c r="AY24" s="115">
        <f t="shared" si="39"/>
        <v>130968</v>
      </c>
      <c r="AZ24" s="206">
        <v>219904</v>
      </c>
      <c r="BA24" s="109">
        <f t="shared" si="13"/>
        <v>1.3518079102991258</v>
      </c>
      <c r="BB24" s="223">
        <v>10829</v>
      </c>
      <c r="BC24" s="223">
        <v>10829</v>
      </c>
      <c r="BD24" s="223">
        <v>15351</v>
      </c>
      <c r="BE24" s="223">
        <v>2584</v>
      </c>
      <c r="BF24" s="223">
        <v>188435</v>
      </c>
      <c r="BG24" s="223">
        <v>22</v>
      </c>
      <c r="BH24" s="223">
        <v>89</v>
      </c>
      <c r="BI24" s="206">
        <v>0</v>
      </c>
      <c r="BJ24" s="116">
        <f t="shared" si="40"/>
        <v>111</v>
      </c>
      <c r="BK24" s="223">
        <v>573608</v>
      </c>
      <c r="BL24" s="109">
        <f t="shared" si="15"/>
        <v>3.5261197241107984</v>
      </c>
      <c r="BM24" s="223">
        <v>101</v>
      </c>
      <c r="BN24" s="206">
        <v>152390</v>
      </c>
      <c r="BO24" s="109">
        <f t="shared" si="16"/>
        <v>0.93678153853719714</v>
      </c>
      <c r="BP24" s="206">
        <v>103026</v>
      </c>
      <c r="BQ24" s="206">
        <v>0</v>
      </c>
      <c r="BR24" s="230">
        <f t="shared" si="41"/>
        <v>296313</v>
      </c>
      <c r="BS24" s="230">
        <v>265249</v>
      </c>
      <c r="BT24" s="223">
        <v>561562</v>
      </c>
      <c r="BU24" s="109">
        <f t="shared" si="17"/>
        <v>3.4520697837392578</v>
      </c>
      <c r="BV24" s="108">
        <f t="shared" si="42"/>
        <v>9469.8482293423276</v>
      </c>
      <c r="BW24" s="109">
        <f t="shared" si="19"/>
        <v>43.270303590691938</v>
      </c>
      <c r="BX24" s="109">
        <f t="shared" si="20"/>
        <v>1.7542836971156699</v>
      </c>
      <c r="BY24" s="109">
        <f t="shared" si="43"/>
        <v>0.97899959554260052</v>
      </c>
      <c r="BZ24" s="206">
        <v>1390</v>
      </c>
      <c r="CA24" s="206">
        <v>198</v>
      </c>
      <c r="CB24" s="206">
        <v>583</v>
      </c>
      <c r="CC24" s="113">
        <f t="shared" si="44"/>
        <v>2171</v>
      </c>
      <c r="CD24" s="206">
        <v>40576</v>
      </c>
      <c r="CE24" s="206">
        <v>6335</v>
      </c>
      <c r="CF24" s="206">
        <v>8719</v>
      </c>
      <c r="CG24" s="116">
        <f t="shared" si="45"/>
        <v>55630</v>
      </c>
      <c r="CH24" s="109">
        <f t="shared" si="23"/>
        <v>0.34197228813455133</v>
      </c>
      <c r="CI24" s="206">
        <v>320109</v>
      </c>
      <c r="CJ24" s="109">
        <f t="shared" si="24"/>
        <v>1.9677944846748712</v>
      </c>
      <c r="CK24" s="223">
        <v>99370</v>
      </c>
      <c r="CL24" s="209" t="s">
        <v>7</v>
      </c>
      <c r="CM24" s="209" t="s">
        <v>7</v>
      </c>
      <c r="CN24" s="209" t="s">
        <v>7</v>
      </c>
      <c r="CO24" s="210">
        <v>7.5</v>
      </c>
      <c r="CP24" s="108">
        <f t="shared" si="49"/>
        <v>21689.866666666665</v>
      </c>
      <c r="CQ24" s="210">
        <v>0</v>
      </c>
      <c r="CR24" s="210">
        <v>51.8</v>
      </c>
      <c r="CS24" s="180">
        <f t="shared" si="46"/>
        <v>59.3</v>
      </c>
      <c r="CT24" s="108">
        <f t="shared" si="26"/>
        <v>2743.2377740303541</v>
      </c>
      <c r="CU24" s="206">
        <v>1566</v>
      </c>
      <c r="CV24" s="208">
        <v>62368</v>
      </c>
      <c r="CW24" s="210">
        <v>40</v>
      </c>
      <c r="CX24" s="209" t="s">
        <v>7</v>
      </c>
      <c r="CY24" s="209" t="s">
        <v>7</v>
      </c>
      <c r="CZ24" s="206">
        <v>22175</v>
      </c>
      <c r="DA24" s="206">
        <v>11324</v>
      </c>
      <c r="DB24" s="206">
        <v>123</v>
      </c>
      <c r="DC24" s="206">
        <v>44277</v>
      </c>
      <c r="DD24" s="206" t="s">
        <v>1115</v>
      </c>
      <c r="DE24" s="206">
        <v>64778</v>
      </c>
      <c r="DF24" s="206">
        <v>16172</v>
      </c>
      <c r="DG24" s="206">
        <v>52</v>
      </c>
      <c r="DH24" s="210">
        <f t="shared" si="27"/>
        <v>9.9413551028437241E-2</v>
      </c>
      <c r="DI24" s="206">
        <v>51</v>
      </c>
      <c r="DJ24" s="206">
        <v>51</v>
      </c>
      <c r="DK24" s="108">
        <v>1080</v>
      </c>
      <c r="DL24" s="347">
        <v>12978</v>
      </c>
      <c r="DM24" s="205"/>
      <c r="DN24" s="209" t="s">
        <v>1054</v>
      </c>
      <c r="DO24" s="211" t="s">
        <v>125</v>
      </c>
      <c r="DP24" s="209"/>
      <c r="DQ24" s="207"/>
      <c r="DR24" s="218" t="s">
        <v>979</v>
      </c>
      <c r="DS24" s="205" t="s">
        <v>979</v>
      </c>
      <c r="DT24" s="229">
        <v>43282</v>
      </c>
      <c r="DU24" s="229">
        <v>43646</v>
      </c>
      <c r="DV24" s="218" t="s">
        <v>979</v>
      </c>
      <c r="DW24" s="109">
        <f t="shared" si="28"/>
        <v>0.63332800570466086</v>
      </c>
      <c r="DX24" s="109">
        <f t="shared" si="29"/>
        <v>0</v>
      </c>
      <c r="DY24" s="109">
        <f t="shared" si="30"/>
        <v>1.8215141940322364</v>
      </c>
      <c r="DZ24" s="109">
        <f t="shared" si="31"/>
        <v>1.6305555897070214</v>
      </c>
      <c r="EA24" s="110">
        <f t="shared" si="48"/>
        <v>0.54625268255792703</v>
      </c>
      <c r="EB24" s="200">
        <f t="shared" si="47"/>
        <v>0.31606528205572876</v>
      </c>
    </row>
    <row r="25" spans="1:132" ht="17" thickBot="1">
      <c r="A25" s="218" t="s">
        <v>980</v>
      </c>
      <c r="B25" s="342" t="s">
        <v>1195</v>
      </c>
      <c r="C25" s="347">
        <v>43227</v>
      </c>
      <c r="D25" s="207">
        <v>1</v>
      </c>
      <c r="E25" s="207">
        <v>0</v>
      </c>
      <c r="F25" s="206">
        <v>18120</v>
      </c>
      <c r="H25" s="108">
        <f t="shared" si="0"/>
        <v>18120</v>
      </c>
      <c r="I25" s="109">
        <v>0.41950999999999999</v>
      </c>
      <c r="J25" s="208">
        <v>354798</v>
      </c>
      <c r="K25" s="208">
        <v>109561</v>
      </c>
      <c r="L25" s="115">
        <f t="shared" si="33"/>
        <v>464359</v>
      </c>
      <c r="M25" s="110">
        <f t="shared" si="1"/>
        <v>10.742336965322599</v>
      </c>
      <c r="N25" s="208">
        <v>46976</v>
      </c>
      <c r="O25" s="208">
        <v>19457</v>
      </c>
      <c r="P25" s="222">
        <v>2615</v>
      </c>
      <c r="Q25" s="115">
        <v>69048</v>
      </c>
      <c r="R25" s="110">
        <f t="shared" si="2"/>
        <v>1.597334998958984</v>
      </c>
      <c r="S25" s="222">
        <v>82604</v>
      </c>
      <c r="T25" s="208">
        <v>616011</v>
      </c>
      <c r="U25" s="208">
        <v>0</v>
      </c>
      <c r="V25" s="208">
        <v>616011</v>
      </c>
      <c r="W25" s="110">
        <f t="shared" si="3"/>
        <v>14.250607259351794</v>
      </c>
      <c r="X25" s="111">
        <f t="shared" si="34"/>
        <v>0.75381608445303738</v>
      </c>
      <c r="Y25" s="111">
        <f t="shared" si="35"/>
        <v>0.1120889075032751</v>
      </c>
      <c r="Z25" s="111">
        <f t="shared" si="36"/>
        <v>0.13409500804368754</v>
      </c>
      <c r="AA25" s="111">
        <f t="shared" si="37"/>
        <v>0</v>
      </c>
      <c r="AB25" s="208">
        <v>0</v>
      </c>
      <c r="AE25" s="208"/>
      <c r="AF25" s="208">
        <v>616011</v>
      </c>
      <c r="AG25" s="208">
        <v>411672</v>
      </c>
      <c r="AH25" s="208"/>
      <c r="AI25" s="115">
        <f t="shared" si="8"/>
        <v>1027683</v>
      </c>
      <c r="AJ25" s="110">
        <f t="shared" si="9"/>
        <v>23.774099521132626</v>
      </c>
      <c r="AK25" s="208">
        <v>90734</v>
      </c>
      <c r="AL25" s="208">
        <v>2613</v>
      </c>
      <c r="AM25" s="208">
        <v>57981</v>
      </c>
      <c r="AN25" s="208"/>
      <c r="AO25" s="115">
        <f t="shared" si="38"/>
        <v>57981</v>
      </c>
      <c r="AP25" s="208">
        <v>603130</v>
      </c>
      <c r="AQ25" s="112">
        <f t="shared" si="11"/>
        <v>13.95262220371527</v>
      </c>
      <c r="AR25" s="208"/>
      <c r="AS25" s="222">
        <v>0</v>
      </c>
      <c r="AT25" s="208">
        <v>0</v>
      </c>
      <c r="AU25" s="222">
        <v>0</v>
      </c>
      <c r="AV25" s="222">
        <v>0</v>
      </c>
      <c r="AW25" s="208"/>
      <c r="AX25" s="222">
        <v>0</v>
      </c>
      <c r="AY25" s="115">
        <f t="shared" si="39"/>
        <v>0</v>
      </c>
      <c r="AZ25" s="206">
        <v>61391</v>
      </c>
      <c r="BA25" s="109">
        <f t="shared" si="13"/>
        <v>1.4202003377518679</v>
      </c>
      <c r="BB25" s="223">
        <v>3279</v>
      </c>
      <c r="BC25" s="223">
        <v>3279</v>
      </c>
      <c r="BD25" s="223">
        <v>2623</v>
      </c>
      <c r="BE25" s="223">
        <v>2081</v>
      </c>
      <c r="BF25" s="223">
        <v>108590</v>
      </c>
      <c r="BG25" s="223">
        <v>5</v>
      </c>
      <c r="BH25" s="223">
        <v>89</v>
      </c>
      <c r="BI25" s="206">
        <v>0</v>
      </c>
      <c r="BJ25" s="116">
        <f t="shared" si="40"/>
        <v>94</v>
      </c>
      <c r="BK25" s="223">
        <v>195842</v>
      </c>
      <c r="BL25" s="109">
        <f t="shared" si="15"/>
        <v>4.5305480371064384</v>
      </c>
      <c r="BM25" s="223">
        <v>1</v>
      </c>
      <c r="BN25" s="206">
        <v>2232</v>
      </c>
      <c r="BO25" s="109">
        <f t="shared" si="16"/>
        <v>5.1634395169685612E-2</v>
      </c>
      <c r="BP25" s="206">
        <v>27947</v>
      </c>
      <c r="BQ25" s="206">
        <v>0</v>
      </c>
      <c r="BR25" s="230">
        <f t="shared" si="41"/>
        <v>57130</v>
      </c>
      <c r="BS25" s="230">
        <v>72526</v>
      </c>
      <c r="BT25" s="223">
        <v>129656</v>
      </c>
      <c r="BU25" s="109">
        <f t="shared" si="17"/>
        <v>2.999421657760196</v>
      </c>
      <c r="BV25" s="108">
        <f t="shared" si="42"/>
        <v>9611.2676056338023</v>
      </c>
      <c r="BW25" s="109">
        <f t="shared" si="19"/>
        <v>40.290863890615292</v>
      </c>
      <c r="BX25" s="109">
        <f t="shared" si="20"/>
        <v>2.3332433551080638</v>
      </c>
      <c r="BY25" s="109">
        <f t="shared" si="43"/>
        <v>0.66204389252560736</v>
      </c>
      <c r="BZ25" s="206">
        <v>588</v>
      </c>
      <c r="CA25" s="206">
        <v>4</v>
      </c>
      <c r="CB25" s="206">
        <v>130</v>
      </c>
      <c r="CC25" s="113">
        <f t="shared" si="44"/>
        <v>722</v>
      </c>
      <c r="CD25" s="206">
        <v>8763</v>
      </c>
      <c r="CE25" s="206">
        <v>172</v>
      </c>
      <c r="CF25" s="206">
        <v>508</v>
      </c>
      <c r="CG25" s="116">
        <f t="shared" si="45"/>
        <v>9443</v>
      </c>
      <c r="CH25" s="109">
        <f t="shared" si="23"/>
        <v>0.21845143081870128</v>
      </c>
      <c r="CI25" s="206">
        <v>55569</v>
      </c>
      <c r="CJ25" s="109">
        <f t="shared" si="24"/>
        <v>1.285515996946353</v>
      </c>
      <c r="CK25" s="223">
        <v>17647</v>
      </c>
      <c r="CL25" s="209" t="s">
        <v>7</v>
      </c>
      <c r="CM25" s="209" t="s">
        <v>7</v>
      </c>
      <c r="CN25" s="209" t="s">
        <v>7</v>
      </c>
      <c r="CO25" s="210">
        <v>2.81</v>
      </c>
      <c r="CP25" s="108">
        <f t="shared" si="49"/>
        <v>15383.274021352312</v>
      </c>
      <c r="CQ25" s="210">
        <v>2.81</v>
      </c>
      <c r="CR25" s="210">
        <v>7.87</v>
      </c>
      <c r="CS25" s="180">
        <f t="shared" si="46"/>
        <v>13.49</v>
      </c>
      <c r="CT25" s="108">
        <f t="shared" si="26"/>
        <v>3204.3736100815418</v>
      </c>
      <c r="CU25" s="206">
        <v>482</v>
      </c>
      <c r="CV25" s="208">
        <v>64160</v>
      </c>
      <c r="CW25" s="210">
        <v>40</v>
      </c>
      <c r="CX25" s="209" t="s">
        <v>7</v>
      </c>
      <c r="CY25" s="209" t="s">
        <v>7</v>
      </c>
      <c r="CZ25" s="206">
        <v>4697</v>
      </c>
      <c r="DA25" s="206">
        <v>2892</v>
      </c>
      <c r="DB25" s="206">
        <v>49</v>
      </c>
      <c r="DC25" s="206">
        <v>7506</v>
      </c>
      <c r="DD25" s="206">
        <v>5779</v>
      </c>
      <c r="DE25" s="206">
        <v>5301</v>
      </c>
      <c r="DF25" s="206">
        <v>4544</v>
      </c>
      <c r="DG25" s="206">
        <v>52</v>
      </c>
      <c r="DH25" s="210">
        <f t="shared" si="27"/>
        <v>0.10511948550674347</v>
      </c>
      <c r="DI25" s="206">
        <v>61</v>
      </c>
      <c r="DJ25" s="206">
        <v>61</v>
      </c>
      <c r="DL25" s="347">
        <v>3218</v>
      </c>
      <c r="DM25" s="205"/>
      <c r="DN25" s="209" t="s">
        <v>1055</v>
      </c>
      <c r="DO25" s="211" t="s">
        <v>125</v>
      </c>
      <c r="DP25" s="209"/>
      <c r="DQ25" s="207"/>
      <c r="DR25" s="218" t="s">
        <v>980</v>
      </c>
      <c r="DS25" s="205" t="s">
        <v>980</v>
      </c>
      <c r="DT25" s="229">
        <v>43282</v>
      </c>
      <c r="DU25" s="229">
        <v>43646</v>
      </c>
      <c r="DV25" s="218" t="s">
        <v>980</v>
      </c>
      <c r="DW25" s="109">
        <f t="shared" si="28"/>
        <v>0.6465172230319014</v>
      </c>
      <c r="DX25" s="109">
        <f t="shared" si="29"/>
        <v>0</v>
      </c>
      <c r="DY25" s="109">
        <f t="shared" si="30"/>
        <v>1.3216276863997038</v>
      </c>
      <c r="DZ25" s="109">
        <f t="shared" si="31"/>
        <v>1.6777939713604924</v>
      </c>
      <c r="EA25" s="110">
        <f t="shared" si="48"/>
        <v>0.55215863276796318</v>
      </c>
      <c r="EB25" s="200">
        <f t="shared" si="47"/>
        <v>0.26827620439566502</v>
      </c>
    </row>
    <row r="26" spans="1:132" ht="17" thickBot="1">
      <c r="A26" s="218" t="s">
        <v>981</v>
      </c>
      <c r="B26" s="342" t="s">
        <v>1196</v>
      </c>
      <c r="C26" s="347">
        <v>60048</v>
      </c>
      <c r="D26" s="207">
        <v>5</v>
      </c>
      <c r="E26" s="207">
        <v>0</v>
      </c>
      <c r="F26" s="206">
        <v>14634</v>
      </c>
      <c r="H26" s="108">
        <f t="shared" si="0"/>
        <v>14634</v>
      </c>
      <c r="I26" s="109">
        <v>0.24542</v>
      </c>
      <c r="J26" s="208">
        <v>259432</v>
      </c>
      <c r="K26" s="208">
        <v>111607</v>
      </c>
      <c r="L26" s="115">
        <f t="shared" si="33"/>
        <v>371039</v>
      </c>
      <c r="M26" s="110">
        <f t="shared" si="1"/>
        <v>6.1790401012523315</v>
      </c>
      <c r="N26" s="208">
        <v>114135</v>
      </c>
      <c r="O26" s="208">
        <v>15000</v>
      </c>
      <c r="P26" s="222">
        <v>34500</v>
      </c>
      <c r="Q26" s="115">
        <v>163635</v>
      </c>
      <c r="R26" s="110">
        <f t="shared" si="2"/>
        <v>2.7250699440447641</v>
      </c>
      <c r="S26" s="222">
        <v>94087</v>
      </c>
      <c r="T26" s="208">
        <v>628761</v>
      </c>
      <c r="U26" s="208">
        <v>0</v>
      </c>
      <c r="V26" s="208">
        <v>628761</v>
      </c>
      <c r="W26" s="110">
        <f t="shared" si="3"/>
        <v>10.470973221422861</v>
      </c>
      <c r="X26" s="111">
        <f t="shared" si="34"/>
        <v>0.59011134596452386</v>
      </c>
      <c r="Y26" s="111">
        <f t="shared" si="35"/>
        <v>0.26024992008092107</v>
      </c>
      <c r="Z26" s="111">
        <f t="shared" si="36"/>
        <v>0.14963873395455507</v>
      </c>
      <c r="AA26" s="111">
        <f t="shared" si="37"/>
        <v>0</v>
      </c>
      <c r="AB26" s="208">
        <v>23300</v>
      </c>
      <c r="AE26" s="208"/>
      <c r="AF26" s="208">
        <v>628761</v>
      </c>
      <c r="AG26" s="208">
        <v>486170</v>
      </c>
      <c r="AH26" s="208"/>
      <c r="AI26" s="115">
        <f t="shared" si="8"/>
        <v>1114931</v>
      </c>
      <c r="AJ26" s="110">
        <f t="shared" si="9"/>
        <v>18.567329469757528</v>
      </c>
      <c r="AK26" s="208">
        <v>122973</v>
      </c>
      <c r="AL26" s="208">
        <v>0</v>
      </c>
      <c r="AM26" s="208">
        <v>0</v>
      </c>
      <c r="AN26" s="208"/>
      <c r="AO26" s="115">
        <f t="shared" si="38"/>
        <v>0</v>
      </c>
      <c r="AP26" s="208">
        <v>655913</v>
      </c>
      <c r="AQ26" s="112">
        <f t="shared" si="11"/>
        <v>10.923144817479351</v>
      </c>
      <c r="AR26" s="208"/>
      <c r="AS26" s="222">
        <v>0</v>
      </c>
      <c r="AT26" s="208">
        <v>0</v>
      </c>
      <c r="AU26" s="222">
        <v>0</v>
      </c>
      <c r="AV26" s="222">
        <v>0</v>
      </c>
      <c r="AW26" s="208"/>
      <c r="AX26" s="222">
        <v>0</v>
      </c>
      <c r="AY26" s="115">
        <f t="shared" si="39"/>
        <v>0</v>
      </c>
      <c r="AZ26" s="206">
        <v>80494</v>
      </c>
      <c r="BA26" s="109">
        <f t="shared" si="13"/>
        <v>1.340494271249667</v>
      </c>
      <c r="BB26" s="223">
        <v>2125</v>
      </c>
      <c r="BC26" s="223">
        <v>2125</v>
      </c>
      <c r="BD26" s="223">
        <v>5055</v>
      </c>
      <c r="BE26" s="223">
        <v>2067</v>
      </c>
      <c r="BF26" s="223">
        <v>127502</v>
      </c>
      <c r="BG26" s="223">
        <v>0</v>
      </c>
      <c r="BH26" s="223">
        <v>89</v>
      </c>
      <c r="BI26" s="206">
        <v>0</v>
      </c>
      <c r="BJ26" s="116">
        <f t="shared" si="40"/>
        <v>89</v>
      </c>
      <c r="BK26" s="223">
        <v>236565</v>
      </c>
      <c r="BL26" s="109">
        <f t="shared" si="15"/>
        <v>3.9395983213429258</v>
      </c>
      <c r="BM26" s="223">
        <v>46</v>
      </c>
      <c r="BN26" s="206">
        <v>3521</v>
      </c>
      <c r="BO26" s="109">
        <f t="shared" si="16"/>
        <v>5.8636424193978152E-2</v>
      </c>
      <c r="BP26" s="206">
        <v>7419</v>
      </c>
      <c r="BQ26" s="206">
        <v>0</v>
      </c>
      <c r="BR26" s="230">
        <f t="shared" si="41"/>
        <v>26910</v>
      </c>
      <c r="BS26" s="230">
        <v>11339</v>
      </c>
      <c r="BT26" s="223">
        <v>38249</v>
      </c>
      <c r="BU26" s="109">
        <f t="shared" si="17"/>
        <v>0.63697375432986947</v>
      </c>
      <c r="BV26" s="108">
        <f t="shared" si="42"/>
        <v>4249.8888888888887</v>
      </c>
      <c r="BW26" s="109">
        <f t="shared" si="19"/>
        <v>7.170791151106112</v>
      </c>
      <c r="BX26" s="109">
        <f t="shared" si="20"/>
        <v>2.4518589743589745</v>
      </c>
      <c r="BY26" s="109">
        <f t="shared" si="43"/>
        <v>0.1616849491683047</v>
      </c>
      <c r="BZ26" s="206">
        <v>90</v>
      </c>
      <c r="CA26" s="206">
        <v>12</v>
      </c>
      <c r="CB26" s="206">
        <v>0</v>
      </c>
      <c r="CC26" s="113">
        <f t="shared" si="44"/>
        <v>102</v>
      </c>
      <c r="CD26" s="206">
        <v>4400</v>
      </c>
      <c r="CE26" s="206">
        <v>60</v>
      </c>
      <c r="CF26" s="206">
        <v>0</v>
      </c>
      <c r="CG26" s="116">
        <f t="shared" si="45"/>
        <v>4460</v>
      </c>
      <c r="CH26" s="109">
        <f t="shared" si="23"/>
        <v>7.4273914201971755E-2</v>
      </c>
      <c r="CI26" s="206">
        <v>15600</v>
      </c>
      <c r="CJ26" s="109">
        <f t="shared" si="24"/>
        <v>0.25979216626698642</v>
      </c>
      <c r="CK26" s="223">
        <v>2978</v>
      </c>
      <c r="CL26" s="209" t="s">
        <v>7</v>
      </c>
      <c r="CM26" s="209" t="s">
        <v>7</v>
      </c>
      <c r="CN26" s="209" t="s">
        <v>7</v>
      </c>
      <c r="CO26" s="210">
        <v>1</v>
      </c>
      <c r="CP26" s="108">
        <f t="shared" si="49"/>
        <v>60048</v>
      </c>
      <c r="CQ26" s="210">
        <v>0</v>
      </c>
      <c r="CR26" s="210">
        <v>8</v>
      </c>
      <c r="CS26" s="180">
        <f t="shared" si="46"/>
        <v>9</v>
      </c>
      <c r="CT26" s="108">
        <f t="shared" si="26"/>
        <v>6672</v>
      </c>
      <c r="CU26" s="206">
        <v>100</v>
      </c>
      <c r="CV26" s="208">
        <v>60952</v>
      </c>
      <c r="CW26" s="210">
        <v>40</v>
      </c>
      <c r="CX26" s="209" t="s">
        <v>7</v>
      </c>
      <c r="CY26" s="209" t="s">
        <v>7</v>
      </c>
      <c r="CZ26" s="206">
        <v>176</v>
      </c>
      <c r="DA26" s="206">
        <v>5</v>
      </c>
      <c r="DB26" s="206">
        <v>42</v>
      </c>
      <c r="DC26" s="206">
        <v>3448</v>
      </c>
      <c r="DD26" s="206" t="s">
        <v>1115</v>
      </c>
      <c r="DE26" s="206" t="s">
        <v>1115</v>
      </c>
      <c r="DF26" s="206">
        <v>7728</v>
      </c>
      <c r="DG26" s="206">
        <v>52</v>
      </c>
      <c r="DH26" s="210">
        <f t="shared" si="27"/>
        <v>0.1286970423661071</v>
      </c>
      <c r="DI26" s="206">
        <v>54</v>
      </c>
      <c r="DJ26" s="206">
        <v>54</v>
      </c>
      <c r="DK26" s="108">
        <v>2700</v>
      </c>
      <c r="DL26" s="347">
        <v>5334</v>
      </c>
      <c r="DM26" s="205"/>
      <c r="DN26" s="209" t="s">
        <v>1056</v>
      </c>
      <c r="DO26" s="211" t="s">
        <v>125</v>
      </c>
      <c r="DP26" s="209"/>
      <c r="DQ26" s="207"/>
      <c r="DR26" s="218" t="s">
        <v>981</v>
      </c>
      <c r="DS26" s="205" t="s">
        <v>981</v>
      </c>
      <c r="DT26" s="229">
        <v>43282</v>
      </c>
      <c r="DU26" s="229">
        <v>43646</v>
      </c>
      <c r="DV26" s="218" t="s">
        <v>981</v>
      </c>
      <c r="DW26" s="109">
        <f t="shared" si="28"/>
        <v>0.12355115907274181</v>
      </c>
      <c r="DX26" s="109">
        <f t="shared" si="29"/>
        <v>0</v>
      </c>
      <c r="DY26" s="109">
        <f t="shared" si="30"/>
        <v>0.44814148681055155</v>
      </c>
      <c r="DZ26" s="109">
        <f t="shared" si="31"/>
        <v>0.18883226751931789</v>
      </c>
      <c r="EA26" s="110">
        <f t="shared" si="48"/>
        <v>3.3247400157301406</v>
      </c>
      <c r="EB26" s="200">
        <f t="shared" si="47"/>
        <v>1.3228679777758179</v>
      </c>
    </row>
    <row r="27" spans="1:132" ht="17" thickBot="1">
      <c r="A27" s="218" t="s">
        <v>982</v>
      </c>
      <c r="B27" s="342" t="s">
        <v>1197</v>
      </c>
      <c r="C27" s="347">
        <v>313559</v>
      </c>
      <c r="D27" s="207">
        <v>6</v>
      </c>
      <c r="E27" s="207">
        <v>1</v>
      </c>
      <c r="F27" s="206">
        <v>182554</v>
      </c>
      <c r="H27" s="108">
        <f t="shared" si="0"/>
        <v>182554</v>
      </c>
      <c r="I27" s="109">
        <v>0.68476999999999999</v>
      </c>
      <c r="J27" s="208">
        <v>6457159</v>
      </c>
      <c r="K27" s="208">
        <v>2102033</v>
      </c>
      <c r="L27" s="115">
        <f t="shared" si="33"/>
        <v>8559192</v>
      </c>
      <c r="M27" s="110">
        <f t="shared" si="1"/>
        <v>27.296910629259564</v>
      </c>
      <c r="N27" s="208">
        <v>710797</v>
      </c>
      <c r="O27" s="208">
        <v>746153</v>
      </c>
      <c r="P27" s="222">
        <v>105837</v>
      </c>
      <c r="Q27" s="115">
        <v>1562787</v>
      </c>
      <c r="R27" s="110">
        <f t="shared" si="2"/>
        <v>4.9840285241374032</v>
      </c>
      <c r="S27" s="222">
        <v>949428</v>
      </c>
      <c r="T27" s="208">
        <v>11071407</v>
      </c>
      <c r="U27" s="208">
        <v>0</v>
      </c>
      <c r="V27" s="208">
        <v>11071407</v>
      </c>
      <c r="W27" s="110">
        <f t="shared" si="3"/>
        <v>35.308847776654474</v>
      </c>
      <c r="X27" s="111">
        <f t="shared" si="34"/>
        <v>0.77308981595564141</v>
      </c>
      <c r="Y27" s="111">
        <f t="shared" si="35"/>
        <v>0.14115522986373819</v>
      </c>
      <c r="Z27" s="111">
        <f t="shared" si="36"/>
        <v>8.5754954180620402E-2</v>
      </c>
      <c r="AA27" s="111">
        <f t="shared" si="37"/>
        <v>0</v>
      </c>
      <c r="AB27" s="208">
        <v>22669432</v>
      </c>
      <c r="AE27" s="208"/>
      <c r="AF27" s="208">
        <v>11071407</v>
      </c>
      <c r="AG27" s="208">
        <v>11791542</v>
      </c>
      <c r="AH27" s="208"/>
      <c r="AI27" s="115">
        <f t="shared" si="8"/>
        <v>22862949</v>
      </c>
      <c r="AJ27" s="110">
        <f t="shared" si="9"/>
        <v>72.914344668786413</v>
      </c>
      <c r="AK27" s="208">
        <v>235641</v>
      </c>
      <c r="AL27" s="208">
        <v>149615</v>
      </c>
      <c r="AM27" s="208">
        <v>125369</v>
      </c>
      <c r="AN27" s="208"/>
      <c r="AO27" s="115">
        <f t="shared" si="38"/>
        <v>125369</v>
      </c>
      <c r="AP27" s="208">
        <v>12302167</v>
      </c>
      <c r="AQ27" s="112">
        <f t="shared" si="11"/>
        <v>39.233978294356085</v>
      </c>
      <c r="AR27" s="208"/>
      <c r="AS27" s="222">
        <v>500000</v>
      </c>
      <c r="AT27" s="208">
        <v>0</v>
      </c>
      <c r="AU27" s="222">
        <v>0</v>
      </c>
      <c r="AV27" s="222">
        <v>0</v>
      </c>
      <c r="AW27" s="208"/>
      <c r="AX27" s="222">
        <v>449758</v>
      </c>
      <c r="AY27" s="115">
        <f t="shared" si="39"/>
        <v>949758</v>
      </c>
      <c r="AZ27" s="206">
        <v>552968</v>
      </c>
      <c r="BA27" s="109">
        <f t="shared" si="13"/>
        <v>1.7635213787516864</v>
      </c>
      <c r="BB27" s="223">
        <v>41309</v>
      </c>
      <c r="BC27" s="223">
        <v>41309</v>
      </c>
      <c r="BD27" s="223">
        <v>53098</v>
      </c>
      <c r="BE27" s="223">
        <v>1752</v>
      </c>
      <c r="BF27" s="223">
        <v>103356</v>
      </c>
      <c r="BG27" s="223">
        <v>21</v>
      </c>
      <c r="BH27" s="223">
        <v>89</v>
      </c>
      <c r="BI27" s="206">
        <v>0</v>
      </c>
      <c r="BJ27" s="116">
        <f t="shared" si="40"/>
        <v>110</v>
      </c>
      <c r="BK27" s="223">
        <v>774003</v>
      </c>
      <c r="BL27" s="109">
        <f t="shared" si="15"/>
        <v>2.4684445351592523</v>
      </c>
      <c r="BM27" s="223">
        <v>216</v>
      </c>
      <c r="BN27" s="206">
        <v>112188</v>
      </c>
      <c r="BO27" s="109">
        <f t="shared" si="16"/>
        <v>0.35778912421585729</v>
      </c>
      <c r="BP27" s="206">
        <v>819335</v>
      </c>
      <c r="BQ27" s="206">
        <v>0</v>
      </c>
      <c r="BR27" s="230">
        <f t="shared" si="41"/>
        <v>1470435</v>
      </c>
      <c r="BS27" s="230">
        <v>4429836</v>
      </c>
      <c r="BT27" s="223">
        <v>5900271</v>
      </c>
      <c r="BU27" s="109">
        <f t="shared" si="17"/>
        <v>18.817099812156563</v>
      </c>
      <c r="BV27" s="108">
        <f t="shared" si="42"/>
        <v>43615.249852158486</v>
      </c>
      <c r="BW27" s="109">
        <f t="shared" si="19"/>
        <v>506.0049740577162</v>
      </c>
      <c r="BX27" s="109">
        <f t="shared" si="20"/>
        <v>6.5054897195931938</v>
      </c>
      <c r="BY27" s="109">
        <f t="shared" si="43"/>
        <v>7.6230596005441837</v>
      </c>
      <c r="BZ27" s="206">
        <v>2369</v>
      </c>
      <c r="CA27" s="206">
        <v>472</v>
      </c>
      <c r="CB27" s="206">
        <v>1462</v>
      </c>
      <c r="CC27" s="113">
        <f t="shared" si="44"/>
        <v>4303</v>
      </c>
      <c r="CD27" s="206">
        <v>63366</v>
      </c>
      <c r="CE27" s="206">
        <v>7742</v>
      </c>
      <c r="CF27" s="206">
        <v>19080</v>
      </c>
      <c r="CG27" s="116">
        <f t="shared" si="45"/>
        <v>90188</v>
      </c>
      <c r="CH27" s="109">
        <f t="shared" si="23"/>
        <v>0.28762688999518432</v>
      </c>
      <c r="CI27" s="206">
        <v>906968</v>
      </c>
      <c r="CJ27" s="109">
        <f t="shared" si="24"/>
        <v>2.8924955112116062</v>
      </c>
      <c r="CK27" s="223">
        <v>203914</v>
      </c>
      <c r="CL27" s="209" t="s">
        <v>7</v>
      </c>
      <c r="CM27" s="209" t="s">
        <v>7</v>
      </c>
      <c r="CN27" s="209" t="s">
        <v>7</v>
      </c>
      <c r="CO27" s="210">
        <v>50.82</v>
      </c>
      <c r="CP27" s="108">
        <f t="shared" si="49"/>
        <v>6169.992129083038</v>
      </c>
      <c r="CQ27" s="210">
        <v>0.94</v>
      </c>
      <c r="CR27" s="210">
        <v>83.52</v>
      </c>
      <c r="CS27" s="180">
        <f t="shared" si="46"/>
        <v>135.28</v>
      </c>
      <c r="CT27" s="108">
        <f t="shared" si="26"/>
        <v>2317.8518628030752</v>
      </c>
      <c r="CU27" s="206">
        <v>1616</v>
      </c>
      <c r="CV27" s="208">
        <v>129372</v>
      </c>
      <c r="CW27" s="210">
        <v>40</v>
      </c>
      <c r="CX27" s="209" t="s">
        <v>7</v>
      </c>
      <c r="CY27" s="209" t="s">
        <v>7</v>
      </c>
      <c r="CZ27" s="206">
        <v>1690</v>
      </c>
      <c r="DA27" s="206">
        <v>634</v>
      </c>
      <c r="DB27" s="206">
        <v>251</v>
      </c>
      <c r="DC27" s="206">
        <v>120979</v>
      </c>
      <c r="DD27" s="206" t="s">
        <v>1115</v>
      </c>
      <c r="DE27" s="206">
        <v>1773650</v>
      </c>
      <c r="DF27" s="206">
        <v>16899</v>
      </c>
      <c r="DG27" s="206">
        <v>52</v>
      </c>
      <c r="DH27" s="210">
        <f t="shared" si="27"/>
        <v>5.3894163458870582E-2</v>
      </c>
      <c r="DI27" s="206">
        <v>55</v>
      </c>
      <c r="DJ27" s="206">
        <v>55</v>
      </c>
      <c r="DL27" s="347">
        <v>11660.5</v>
      </c>
      <c r="DM27" s="205"/>
      <c r="DN27" s="209" t="s">
        <v>1057</v>
      </c>
      <c r="DO27" s="209" t="s">
        <v>125</v>
      </c>
      <c r="DP27" s="209"/>
      <c r="DQ27" s="207"/>
      <c r="DR27" s="218" t="s">
        <v>982</v>
      </c>
      <c r="DS27" s="205" t="s">
        <v>982</v>
      </c>
      <c r="DT27" s="229">
        <v>43282</v>
      </c>
      <c r="DU27" s="229">
        <v>43646</v>
      </c>
      <c r="DV27" s="218" t="s">
        <v>982</v>
      </c>
      <c r="DW27" s="109">
        <f t="shared" si="28"/>
        <v>2.6130170079634136</v>
      </c>
      <c r="DX27" s="109">
        <f t="shared" si="29"/>
        <v>0</v>
      </c>
      <c r="DY27" s="109">
        <f t="shared" si="30"/>
        <v>4.6895002216488759</v>
      </c>
      <c r="DZ27" s="109">
        <f t="shared" si="31"/>
        <v>14.127599590507687</v>
      </c>
      <c r="EA27" s="110">
        <f t="shared" si="48"/>
        <v>0.3104228809007018</v>
      </c>
      <c r="EB27" s="200">
        <f t="shared" si="47"/>
        <v>0.1684380640728009</v>
      </c>
    </row>
    <row r="28" spans="1:132" ht="17" thickBot="1">
      <c r="A28" s="218" t="s">
        <v>1132</v>
      </c>
      <c r="B28" s="342" t="s">
        <v>1198</v>
      </c>
      <c r="C28" s="347">
        <v>115788</v>
      </c>
      <c r="D28" s="207">
        <v>7</v>
      </c>
      <c r="E28" s="207">
        <v>0</v>
      </c>
      <c r="F28" s="206">
        <v>69888</v>
      </c>
      <c r="H28" s="108">
        <f t="shared" si="0"/>
        <v>69888</v>
      </c>
      <c r="I28" s="109">
        <v>0.60897999999999997</v>
      </c>
      <c r="J28" s="208">
        <v>1637425</v>
      </c>
      <c r="K28" s="208">
        <v>625533</v>
      </c>
      <c r="L28" s="115">
        <f t="shared" si="33"/>
        <v>2262958</v>
      </c>
      <c r="M28" s="110">
        <f t="shared" si="1"/>
        <v>19.543976923342662</v>
      </c>
      <c r="N28" s="208">
        <v>110637</v>
      </c>
      <c r="O28" s="208">
        <v>50316</v>
      </c>
      <c r="P28" s="222">
        <v>17092</v>
      </c>
      <c r="Q28" s="115">
        <v>178045</v>
      </c>
      <c r="R28" s="110">
        <f t="shared" si="2"/>
        <v>1.5376809341209796</v>
      </c>
      <c r="S28" s="222">
        <v>618160</v>
      </c>
      <c r="T28" s="208">
        <v>3059163</v>
      </c>
      <c r="U28" s="208">
        <v>0</v>
      </c>
      <c r="V28" s="208">
        <v>3059163</v>
      </c>
      <c r="W28" s="110">
        <f t="shared" si="3"/>
        <v>26.420380350295368</v>
      </c>
      <c r="X28" s="111">
        <f t="shared" si="34"/>
        <v>0.73973109638159196</v>
      </c>
      <c r="Y28" s="111">
        <f t="shared" si="35"/>
        <v>5.8200560087841018E-2</v>
      </c>
      <c r="Z28" s="111">
        <f t="shared" si="36"/>
        <v>0.20206834353056702</v>
      </c>
      <c r="AA28" s="111">
        <f t="shared" si="37"/>
        <v>0</v>
      </c>
      <c r="AB28" s="208">
        <v>1500</v>
      </c>
      <c r="AE28" s="208"/>
      <c r="AF28" s="208">
        <v>3059163</v>
      </c>
      <c r="AG28" s="208">
        <v>2608047</v>
      </c>
      <c r="AH28" s="208"/>
      <c r="AI28" s="115">
        <f t="shared" si="8"/>
        <v>5667210</v>
      </c>
      <c r="AJ28" s="110">
        <f t="shared" si="9"/>
        <v>48.944709296300132</v>
      </c>
      <c r="AK28" s="208">
        <v>393513</v>
      </c>
      <c r="AL28" s="208">
        <v>12260</v>
      </c>
      <c r="AM28" s="208">
        <v>65250</v>
      </c>
      <c r="AN28" s="208"/>
      <c r="AO28" s="115">
        <f t="shared" si="38"/>
        <v>65250</v>
      </c>
      <c r="AP28" s="208">
        <v>3079070</v>
      </c>
      <c r="AQ28" s="112">
        <f t="shared" si="11"/>
        <v>26.5923066293571</v>
      </c>
      <c r="AR28" s="208"/>
      <c r="AS28" s="222">
        <v>0</v>
      </c>
      <c r="AT28" s="208">
        <v>0</v>
      </c>
      <c r="AU28" s="222">
        <v>0</v>
      </c>
      <c r="AV28" s="222">
        <v>0</v>
      </c>
      <c r="AW28" s="208"/>
      <c r="AX28" s="222">
        <v>0</v>
      </c>
      <c r="AY28" s="115">
        <f t="shared" si="39"/>
        <v>0</v>
      </c>
      <c r="AZ28" s="206">
        <v>212840</v>
      </c>
      <c r="BA28" s="109">
        <f t="shared" si="13"/>
        <v>1.8381870314713096</v>
      </c>
      <c r="BB28" s="223">
        <v>7705</v>
      </c>
      <c r="BC28" s="223">
        <v>7705</v>
      </c>
      <c r="BD28" s="223">
        <v>19638</v>
      </c>
      <c r="BE28" s="223">
        <v>1752</v>
      </c>
      <c r="BF28" s="223">
        <v>74521</v>
      </c>
      <c r="BG28" s="223">
        <v>7</v>
      </c>
      <c r="BH28" s="223">
        <v>89</v>
      </c>
      <c r="BI28" s="206">
        <v>0</v>
      </c>
      <c r="BJ28" s="116">
        <f t="shared" si="40"/>
        <v>96</v>
      </c>
      <c r="BK28" s="223">
        <v>330643</v>
      </c>
      <c r="BL28" s="109">
        <f t="shared" si="15"/>
        <v>2.8555895256848722</v>
      </c>
      <c r="BM28" s="223">
        <v>165</v>
      </c>
      <c r="BN28" s="206">
        <v>61496</v>
      </c>
      <c r="BO28" s="109">
        <f t="shared" si="16"/>
        <v>0.53110857774553499</v>
      </c>
      <c r="BP28" s="206">
        <v>129990</v>
      </c>
      <c r="BQ28" s="206">
        <v>0</v>
      </c>
      <c r="BR28" s="230">
        <f t="shared" si="41"/>
        <v>293857</v>
      </c>
      <c r="BS28" s="230">
        <v>68274</v>
      </c>
      <c r="BT28" s="223">
        <v>362131</v>
      </c>
      <c r="BU28" s="109">
        <f t="shared" si="17"/>
        <v>3.1275348049884273</v>
      </c>
      <c r="BV28" s="108">
        <f t="shared" si="42"/>
        <v>8067.0750723991978</v>
      </c>
      <c r="BW28" s="109">
        <f t="shared" si="19"/>
        <v>23.955215982007012</v>
      </c>
      <c r="BX28" s="109">
        <f t="shared" si="20"/>
        <v>1.6003597297165912</v>
      </c>
      <c r="BY28" s="109">
        <f t="shared" si="43"/>
        <v>1.0952326224961666</v>
      </c>
      <c r="BZ28" s="206">
        <v>900</v>
      </c>
      <c r="CA28" s="206">
        <v>12</v>
      </c>
      <c r="CB28" s="206">
        <v>193</v>
      </c>
      <c r="CC28" s="113">
        <f t="shared" si="44"/>
        <v>1105</v>
      </c>
      <c r="CD28" s="206">
        <v>20338</v>
      </c>
      <c r="CE28" s="206">
        <v>177</v>
      </c>
      <c r="CF28" s="206">
        <v>2622</v>
      </c>
      <c r="CG28" s="116">
        <f t="shared" si="45"/>
        <v>23137</v>
      </c>
      <c r="CH28" s="109">
        <f t="shared" si="23"/>
        <v>0.19982208864476456</v>
      </c>
      <c r="CI28" s="206">
        <v>226281</v>
      </c>
      <c r="CJ28" s="109">
        <f t="shared" si="24"/>
        <v>1.9542698725256504</v>
      </c>
      <c r="CK28" s="223">
        <v>52733</v>
      </c>
      <c r="CL28" s="209" t="s">
        <v>8</v>
      </c>
      <c r="CM28" s="209" t="s">
        <v>7</v>
      </c>
      <c r="CN28" s="209" t="s">
        <v>7</v>
      </c>
      <c r="CO28" s="210">
        <v>3.75</v>
      </c>
      <c r="CP28" s="210">
        <v>0</v>
      </c>
      <c r="CQ28" s="210">
        <v>0.94</v>
      </c>
      <c r="CR28" s="210">
        <v>40.200000000000003</v>
      </c>
      <c r="CS28" s="180">
        <f t="shared" si="46"/>
        <v>44.89</v>
      </c>
      <c r="CT28" s="108">
        <f t="shared" si="26"/>
        <v>2579.3717977277788</v>
      </c>
      <c r="CU28" s="206">
        <v>1833</v>
      </c>
      <c r="CV28" s="208">
        <v>71635</v>
      </c>
      <c r="CW28" s="210">
        <v>20</v>
      </c>
      <c r="CX28" s="209" t="s">
        <v>8</v>
      </c>
      <c r="CY28" s="209" t="s">
        <v>8</v>
      </c>
      <c r="CZ28" s="206">
        <v>632</v>
      </c>
      <c r="DA28" s="206">
        <v>408</v>
      </c>
      <c r="DB28" s="206">
        <v>96</v>
      </c>
      <c r="DC28" s="206">
        <v>32750</v>
      </c>
      <c r="DD28" s="206">
        <v>36861</v>
      </c>
      <c r="DE28" s="206">
        <v>162683</v>
      </c>
      <c r="DF28" s="206">
        <v>20214</v>
      </c>
      <c r="DG28" s="206">
        <v>46</v>
      </c>
      <c r="DH28" s="210">
        <f t="shared" si="27"/>
        <v>0.17457767644315472</v>
      </c>
      <c r="DI28" s="206">
        <v>20</v>
      </c>
      <c r="DJ28" s="206">
        <v>20</v>
      </c>
      <c r="DL28" s="347">
        <v>15117</v>
      </c>
      <c r="DM28" s="205"/>
      <c r="DN28" s="209" t="s">
        <v>1058</v>
      </c>
      <c r="DO28" s="209" t="s">
        <v>1030</v>
      </c>
      <c r="DP28" s="209"/>
      <c r="DQ28" s="207"/>
      <c r="DR28" s="218" t="s">
        <v>1132</v>
      </c>
      <c r="DS28" s="205" t="s">
        <v>983</v>
      </c>
      <c r="DT28" s="229">
        <v>43282</v>
      </c>
      <c r="DU28" s="229">
        <v>43646</v>
      </c>
      <c r="DV28" s="218" t="s">
        <v>1132</v>
      </c>
      <c r="DW28" s="109">
        <f t="shared" si="28"/>
        <v>1.1226551974297854</v>
      </c>
      <c r="DX28" s="109">
        <f t="shared" si="29"/>
        <v>0</v>
      </c>
      <c r="DY28" s="109">
        <f t="shared" si="30"/>
        <v>2.5378882094863027</v>
      </c>
      <c r="DZ28" s="109">
        <f t="shared" si="31"/>
        <v>0.58964659550212462</v>
      </c>
      <c r="EA28" s="110">
        <f t="shared" si="48"/>
        <v>0.26103051336921107</v>
      </c>
      <c r="EB28" s="200">
        <v>0</v>
      </c>
    </row>
    <row r="29" spans="1:132" ht="17" thickBot="1">
      <c r="A29" s="218" t="s">
        <v>984</v>
      </c>
      <c r="B29" s="342" t="s">
        <v>1199</v>
      </c>
      <c r="C29" s="347">
        <v>52394</v>
      </c>
      <c r="D29" s="207">
        <v>1</v>
      </c>
      <c r="E29" s="207">
        <v>0</v>
      </c>
      <c r="F29" s="206">
        <v>23450</v>
      </c>
      <c r="H29" s="108">
        <f t="shared" si="0"/>
        <v>23450</v>
      </c>
      <c r="I29" s="109">
        <v>0.44244</v>
      </c>
      <c r="J29" s="208">
        <v>370905</v>
      </c>
      <c r="K29" s="208">
        <v>116519</v>
      </c>
      <c r="L29" s="115">
        <f t="shared" si="33"/>
        <v>487424</v>
      </c>
      <c r="M29" s="110">
        <f t="shared" si="1"/>
        <v>9.3030499675535374</v>
      </c>
      <c r="N29" s="208">
        <v>41447</v>
      </c>
      <c r="O29" s="208">
        <v>1296</v>
      </c>
      <c r="P29" s="222">
        <v>0</v>
      </c>
      <c r="Q29" s="115">
        <v>42743</v>
      </c>
      <c r="R29" s="110">
        <f t="shared" si="2"/>
        <v>0.81579951902889647</v>
      </c>
      <c r="S29" s="222">
        <v>184296</v>
      </c>
      <c r="T29" s="208">
        <v>714463</v>
      </c>
      <c r="U29" s="208">
        <v>0</v>
      </c>
      <c r="V29" s="208">
        <v>714463</v>
      </c>
      <c r="W29" s="110">
        <f t="shared" si="3"/>
        <v>13.636351490628698</v>
      </c>
      <c r="X29" s="111">
        <f t="shared" si="34"/>
        <v>0.68222427193570556</v>
      </c>
      <c r="Y29" s="111">
        <f t="shared" si="35"/>
        <v>5.9825351347795479E-2</v>
      </c>
      <c r="Z29" s="111">
        <f t="shared" si="36"/>
        <v>0.25795037671649895</v>
      </c>
      <c r="AA29" s="111">
        <f t="shared" si="37"/>
        <v>0</v>
      </c>
      <c r="AB29" s="208">
        <v>32532</v>
      </c>
      <c r="AE29" s="208"/>
      <c r="AF29" s="208">
        <v>714463</v>
      </c>
      <c r="AG29" s="208">
        <v>376600</v>
      </c>
      <c r="AH29" s="208"/>
      <c r="AI29" s="115">
        <f t="shared" si="8"/>
        <v>1091063</v>
      </c>
      <c r="AJ29" s="110">
        <f t="shared" si="9"/>
        <v>20.82419742718632</v>
      </c>
      <c r="AK29" s="208">
        <v>115182</v>
      </c>
      <c r="AL29" s="208">
        <v>0</v>
      </c>
      <c r="AM29" s="208">
        <v>65289</v>
      </c>
      <c r="AN29" s="208"/>
      <c r="AO29" s="115">
        <f t="shared" si="38"/>
        <v>65289</v>
      </c>
      <c r="AP29" s="208">
        <v>719449</v>
      </c>
      <c r="AQ29" s="112">
        <f t="shared" si="11"/>
        <v>13.731515058976219</v>
      </c>
      <c r="AR29" s="208"/>
      <c r="AS29" s="222">
        <v>0</v>
      </c>
      <c r="AT29" s="208">
        <v>0</v>
      </c>
      <c r="AU29" s="222">
        <v>0</v>
      </c>
      <c r="AV29" s="222">
        <v>0</v>
      </c>
      <c r="AW29" s="208"/>
      <c r="AX29" s="222">
        <v>0</v>
      </c>
      <c r="AY29" s="115">
        <f t="shared" si="39"/>
        <v>0</v>
      </c>
      <c r="AZ29" s="206">
        <v>97347</v>
      </c>
      <c r="BA29" s="109">
        <f t="shared" si="13"/>
        <v>1.8579799213650419</v>
      </c>
      <c r="BB29" s="223">
        <v>1627</v>
      </c>
      <c r="BC29" s="223">
        <v>1627</v>
      </c>
      <c r="BD29" s="223">
        <v>1556</v>
      </c>
      <c r="BE29" s="223">
        <v>1752</v>
      </c>
      <c r="BF29" s="223">
        <v>71999</v>
      </c>
      <c r="BG29" s="223">
        <v>1</v>
      </c>
      <c r="BH29" s="223">
        <v>89</v>
      </c>
      <c r="BI29" s="206">
        <v>0</v>
      </c>
      <c r="BJ29" s="116">
        <f t="shared" si="40"/>
        <v>90</v>
      </c>
      <c r="BK29" s="223">
        <v>187365</v>
      </c>
      <c r="BL29" s="109">
        <f t="shared" si="15"/>
        <v>3.5760774134442874</v>
      </c>
      <c r="BM29" s="223">
        <v>84</v>
      </c>
      <c r="BN29" s="206">
        <v>4983</v>
      </c>
      <c r="BO29" s="109">
        <f t="shared" si="16"/>
        <v>9.5106309882811005E-2</v>
      </c>
      <c r="BP29" s="206">
        <v>12085</v>
      </c>
      <c r="BQ29" s="206">
        <v>0</v>
      </c>
      <c r="BR29" s="230">
        <f t="shared" si="41"/>
        <v>36641</v>
      </c>
      <c r="BS29" s="230">
        <v>6490</v>
      </c>
      <c r="BT29" s="223">
        <v>43131</v>
      </c>
      <c r="BU29" s="109">
        <f t="shared" si="17"/>
        <v>0.82320494713135095</v>
      </c>
      <c r="BV29" s="108">
        <f t="shared" si="42"/>
        <v>3450.48</v>
      </c>
      <c r="BW29" s="109">
        <f t="shared" si="19"/>
        <v>9.5317127071823204</v>
      </c>
      <c r="BX29" s="109">
        <f t="shared" si="20"/>
        <v>0.48988005997001499</v>
      </c>
      <c r="BY29" s="109">
        <f t="shared" si="43"/>
        <v>0.23019774237450966</v>
      </c>
      <c r="BZ29" s="206">
        <v>286</v>
      </c>
      <c r="CA29" s="206">
        <v>0</v>
      </c>
      <c r="CB29" s="206">
        <v>26</v>
      </c>
      <c r="CC29" s="113">
        <f t="shared" si="44"/>
        <v>312</v>
      </c>
      <c r="CD29" s="206">
        <v>8255</v>
      </c>
      <c r="CE29" s="206">
        <v>0</v>
      </c>
      <c r="CF29" s="206">
        <v>402</v>
      </c>
      <c r="CG29" s="116">
        <f t="shared" si="45"/>
        <v>8657</v>
      </c>
      <c r="CH29" s="109">
        <f t="shared" si="23"/>
        <v>0.16522884299728977</v>
      </c>
      <c r="CI29" s="206">
        <v>88044</v>
      </c>
      <c r="CJ29" s="109">
        <f t="shared" si="24"/>
        <v>1.6804214223002634</v>
      </c>
      <c r="CK29" s="223">
        <v>29714</v>
      </c>
      <c r="CL29" s="209" t="s">
        <v>7</v>
      </c>
      <c r="CM29" s="209" t="s">
        <v>7</v>
      </c>
      <c r="CN29" s="209" t="s">
        <v>7</v>
      </c>
      <c r="CO29" s="210">
        <v>2</v>
      </c>
      <c r="CP29" s="108">
        <f>C29/CO29</f>
        <v>26197</v>
      </c>
      <c r="CQ29" s="210">
        <v>0</v>
      </c>
      <c r="CR29" s="210">
        <v>10.5</v>
      </c>
      <c r="CS29" s="180">
        <f t="shared" si="46"/>
        <v>12.5</v>
      </c>
      <c r="CT29" s="108">
        <f t="shared" si="26"/>
        <v>4191.5200000000004</v>
      </c>
      <c r="CU29" s="206">
        <v>157</v>
      </c>
      <c r="CV29" s="208">
        <v>51600</v>
      </c>
      <c r="CW29" s="210">
        <v>40</v>
      </c>
      <c r="CX29" s="209" t="s">
        <v>7</v>
      </c>
      <c r="CY29" s="209" t="s">
        <v>7</v>
      </c>
      <c r="CZ29" s="206">
        <v>24</v>
      </c>
      <c r="DA29" s="206">
        <v>19</v>
      </c>
      <c r="DB29" s="206">
        <v>35</v>
      </c>
      <c r="DC29" s="206">
        <v>15953</v>
      </c>
      <c r="DD29" s="206">
        <v>35630</v>
      </c>
      <c r="DE29" s="206">
        <v>50073</v>
      </c>
      <c r="DF29" s="206">
        <v>4750</v>
      </c>
      <c r="DG29" s="206">
        <v>52</v>
      </c>
      <c r="DH29" s="210">
        <f t="shared" si="27"/>
        <v>9.0659235790357673E-2</v>
      </c>
      <c r="DI29" s="206">
        <v>49</v>
      </c>
      <c r="DJ29" s="206">
        <v>49</v>
      </c>
      <c r="DL29" s="347">
        <v>4525</v>
      </c>
      <c r="DM29" s="205"/>
      <c r="DN29" s="209" t="s">
        <v>1059</v>
      </c>
      <c r="DO29" s="209" t="s">
        <v>125</v>
      </c>
      <c r="DP29" s="209"/>
      <c r="DQ29" s="207"/>
      <c r="DR29" s="218" t="s">
        <v>984</v>
      </c>
      <c r="DS29" s="205" t="s">
        <v>984</v>
      </c>
      <c r="DT29" s="229">
        <v>43282</v>
      </c>
      <c r="DU29" s="229">
        <v>43646</v>
      </c>
      <c r="DV29" s="218" t="s">
        <v>984</v>
      </c>
      <c r="DW29" s="109">
        <f t="shared" si="28"/>
        <v>0.23065618200557317</v>
      </c>
      <c r="DX29" s="109">
        <f t="shared" si="29"/>
        <v>0</v>
      </c>
      <c r="DY29" s="109">
        <f t="shared" si="30"/>
        <v>0.6993358018093675</v>
      </c>
      <c r="DZ29" s="109">
        <f t="shared" si="31"/>
        <v>0.12386914532198344</v>
      </c>
      <c r="EA29" s="110">
        <f t="shared" si="48"/>
        <v>0.85061363543077617</v>
      </c>
      <c r="EB29" s="200">
        <f t="shared" si="47"/>
        <v>0.19969183359013867</v>
      </c>
    </row>
    <row r="30" spans="1:132" ht="17" thickBot="1">
      <c r="A30" s="218" t="s">
        <v>1133</v>
      </c>
      <c r="B30" s="342" t="s">
        <v>1200</v>
      </c>
      <c r="C30" s="347">
        <v>4634</v>
      </c>
      <c r="D30" s="207">
        <v>0</v>
      </c>
      <c r="E30" s="207">
        <v>0</v>
      </c>
      <c r="F30" s="206">
        <v>9366</v>
      </c>
      <c r="H30" s="108">
        <f t="shared" si="0"/>
        <v>9366</v>
      </c>
      <c r="I30" s="109">
        <v>2.0312299999999999</v>
      </c>
      <c r="J30" s="208">
        <v>195494</v>
      </c>
      <c r="K30" s="208">
        <v>101394</v>
      </c>
      <c r="L30" s="115">
        <f t="shared" si="33"/>
        <v>296888</v>
      </c>
      <c r="M30" s="110">
        <f t="shared" si="1"/>
        <v>64.067328441950792</v>
      </c>
      <c r="N30" s="208">
        <v>22754</v>
      </c>
      <c r="O30" s="208">
        <v>5576</v>
      </c>
      <c r="P30" s="222">
        <v>3600</v>
      </c>
      <c r="Q30" s="115">
        <v>31930</v>
      </c>
      <c r="R30" s="110">
        <f t="shared" si="2"/>
        <v>6.8903754855416484</v>
      </c>
      <c r="S30" s="222">
        <v>49501</v>
      </c>
      <c r="T30" s="208">
        <v>378319</v>
      </c>
      <c r="U30" s="208">
        <v>0</v>
      </c>
      <c r="V30" s="208">
        <v>378319</v>
      </c>
      <c r="W30" s="110">
        <f t="shared" si="3"/>
        <v>81.639835994820885</v>
      </c>
      <c r="X30" s="111">
        <f t="shared" si="34"/>
        <v>0.78475572202294885</v>
      </c>
      <c r="Y30" s="111">
        <f t="shared" si="35"/>
        <v>8.4399673291587263E-2</v>
      </c>
      <c r="Z30" s="111">
        <f t="shared" si="36"/>
        <v>0.13084460468546386</v>
      </c>
      <c r="AA30" s="111">
        <f t="shared" si="37"/>
        <v>0</v>
      </c>
      <c r="AB30" s="208">
        <v>442968</v>
      </c>
      <c r="AE30" s="208"/>
      <c r="AF30" s="208">
        <v>378319</v>
      </c>
      <c r="AG30" s="208">
        <v>10000</v>
      </c>
      <c r="AH30" s="208"/>
      <c r="AI30" s="115">
        <f t="shared" si="8"/>
        <v>388319</v>
      </c>
      <c r="AJ30" s="110">
        <f t="shared" si="9"/>
        <v>83.797798877859307</v>
      </c>
      <c r="AK30" s="208">
        <v>3601</v>
      </c>
      <c r="AL30" s="208">
        <v>1488</v>
      </c>
      <c r="AM30" s="208">
        <v>1100</v>
      </c>
      <c r="AN30" s="208"/>
      <c r="AO30" s="115">
        <f t="shared" si="38"/>
        <v>1100</v>
      </c>
      <c r="AP30" s="208">
        <v>384508</v>
      </c>
      <c r="AQ30" s="112">
        <f t="shared" si="11"/>
        <v>82.975399223133365</v>
      </c>
      <c r="AR30" s="208"/>
      <c r="AS30" s="222">
        <v>0</v>
      </c>
      <c r="AT30" s="208">
        <v>0</v>
      </c>
      <c r="AU30" s="222">
        <v>0</v>
      </c>
      <c r="AV30" s="222">
        <v>0</v>
      </c>
      <c r="AW30" s="208"/>
      <c r="AX30" s="222">
        <v>421443</v>
      </c>
      <c r="AY30" s="115">
        <f t="shared" si="39"/>
        <v>421443</v>
      </c>
      <c r="AZ30" s="206">
        <v>30107</v>
      </c>
      <c r="BA30" s="109">
        <f t="shared" si="13"/>
        <v>6.4969788519637461</v>
      </c>
      <c r="BB30" s="223">
        <v>540</v>
      </c>
      <c r="BC30" s="223">
        <v>540</v>
      </c>
      <c r="BD30" s="223">
        <v>1490</v>
      </c>
      <c r="BE30" s="223">
        <v>2067</v>
      </c>
      <c r="BF30" s="223">
        <v>107790</v>
      </c>
      <c r="BG30" s="223">
        <v>3</v>
      </c>
      <c r="BH30" s="223">
        <v>89</v>
      </c>
      <c r="BI30" s="206">
        <v>0</v>
      </c>
      <c r="BJ30" s="116">
        <f t="shared" si="40"/>
        <v>92</v>
      </c>
      <c r="BK30" s="223">
        <v>159397</v>
      </c>
      <c r="BL30" s="109">
        <f t="shared" si="15"/>
        <v>34.397280966767369</v>
      </c>
      <c r="BM30" s="223">
        <v>0</v>
      </c>
      <c r="BN30" s="206">
        <v>4056</v>
      </c>
      <c r="BO30" s="109">
        <f t="shared" si="16"/>
        <v>0.87526974536037982</v>
      </c>
      <c r="BP30" s="206">
        <v>12041</v>
      </c>
      <c r="BQ30" s="206">
        <v>0</v>
      </c>
      <c r="BR30" s="230">
        <f t="shared" si="41"/>
        <v>16208</v>
      </c>
      <c r="BS30" s="230">
        <v>14364</v>
      </c>
      <c r="BT30" s="223">
        <v>30572</v>
      </c>
      <c r="BU30" s="109">
        <f t="shared" si="17"/>
        <v>6.5973241260250326</v>
      </c>
      <c r="BV30" s="108">
        <f t="shared" si="42"/>
        <v>6264.7540983606559</v>
      </c>
      <c r="BW30" s="109">
        <f t="shared" si="19"/>
        <v>13.86485260770975</v>
      </c>
      <c r="BX30" s="109">
        <f t="shared" si="20"/>
        <v>2.1119093672285163</v>
      </c>
      <c r="BY30" s="109">
        <f t="shared" si="43"/>
        <v>0.19179783810234821</v>
      </c>
      <c r="BZ30" s="206">
        <v>170</v>
      </c>
      <c r="CA30" s="206">
        <v>3</v>
      </c>
      <c r="CB30" s="206">
        <v>82</v>
      </c>
      <c r="CC30" s="113">
        <f t="shared" si="44"/>
        <v>255</v>
      </c>
      <c r="CD30" s="206">
        <v>2277</v>
      </c>
      <c r="CE30" s="206">
        <v>36</v>
      </c>
      <c r="CF30" s="206">
        <v>803</v>
      </c>
      <c r="CG30" s="116">
        <f t="shared" si="45"/>
        <v>3116</v>
      </c>
      <c r="CH30" s="109">
        <f t="shared" si="23"/>
        <v>0.67242123435476908</v>
      </c>
      <c r="CI30" s="206">
        <v>14476</v>
      </c>
      <c r="CJ30" s="109">
        <f t="shared" si="24"/>
        <v>3.1238670694864048</v>
      </c>
      <c r="CK30" s="223">
        <v>42896</v>
      </c>
      <c r="CL30" s="209" t="s">
        <v>7</v>
      </c>
      <c r="CM30" s="209" t="s">
        <v>7</v>
      </c>
      <c r="CN30" s="209" t="s">
        <v>7</v>
      </c>
      <c r="CO30" s="210">
        <v>2</v>
      </c>
      <c r="CP30" s="210">
        <v>0</v>
      </c>
      <c r="CQ30" s="210">
        <v>0</v>
      </c>
      <c r="CR30" s="210">
        <v>2.88</v>
      </c>
      <c r="CS30" s="180">
        <f t="shared" si="46"/>
        <v>4.88</v>
      </c>
      <c r="CT30" s="108">
        <f t="shared" si="26"/>
        <v>949.5901639344263</v>
      </c>
      <c r="CU30" s="206">
        <v>100</v>
      </c>
      <c r="CV30" s="208">
        <v>62874.239999999998</v>
      </c>
      <c r="CW30" s="210">
        <v>28</v>
      </c>
      <c r="CX30" s="209" t="s">
        <v>7</v>
      </c>
      <c r="CY30" s="209" t="s">
        <v>7</v>
      </c>
      <c r="CZ30" s="206">
        <v>1087</v>
      </c>
      <c r="DA30" s="206">
        <v>1304</v>
      </c>
      <c r="DB30" s="206">
        <v>27</v>
      </c>
      <c r="DC30" s="206">
        <v>2864</v>
      </c>
      <c r="DD30" s="206">
        <v>11235</v>
      </c>
      <c r="DE30" s="206">
        <v>10870</v>
      </c>
      <c r="DF30" s="206">
        <v>3068</v>
      </c>
      <c r="DG30" s="206">
        <v>52</v>
      </c>
      <c r="DH30" s="210">
        <f t="shared" si="27"/>
        <v>0.66206301251618471</v>
      </c>
      <c r="DI30" s="206">
        <v>36</v>
      </c>
      <c r="DJ30" s="206">
        <v>36</v>
      </c>
      <c r="DL30" s="347">
        <v>2205</v>
      </c>
      <c r="DM30" s="205"/>
      <c r="DN30" s="209" t="s">
        <v>1060</v>
      </c>
      <c r="DO30" s="209" t="s">
        <v>1031</v>
      </c>
      <c r="DP30" s="209"/>
      <c r="DQ30" s="207"/>
      <c r="DR30" s="218" t="s">
        <v>1133</v>
      </c>
      <c r="DS30" s="205" t="s">
        <v>985</v>
      </c>
      <c r="DT30" s="229">
        <v>43282</v>
      </c>
      <c r="DU30" s="229">
        <v>43646</v>
      </c>
      <c r="DV30" s="218" t="s">
        <v>1133</v>
      </c>
      <c r="DW30" s="109">
        <f t="shared" si="28"/>
        <v>2.5984031074665515</v>
      </c>
      <c r="DX30" s="109">
        <f t="shared" si="29"/>
        <v>0</v>
      </c>
      <c r="DY30" s="109">
        <f t="shared" si="30"/>
        <v>3.4976262408286578</v>
      </c>
      <c r="DZ30" s="109">
        <f t="shared" si="31"/>
        <v>3.0996978851963748</v>
      </c>
      <c r="EA30" s="110">
        <f t="shared" si="48"/>
        <v>0.80547983999433603</v>
      </c>
      <c r="EB30" s="200">
        <f t="shared" si="47"/>
        <v>0.38819270398217764</v>
      </c>
    </row>
    <row r="31" spans="1:132" ht="17" thickBot="1">
      <c r="A31" s="218" t="s">
        <v>1134</v>
      </c>
      <c r="B31" s="342" t="s">
        <v>1201</v>
      </c>
      <c r="C31" s="347">
        <v>95020</v>
      </c>
      <c r="D31" s="207">
        <v>6</v>
      </c>
      <c r="E31" s="207">
        <v>0</v>
      </c>
      <c r="F31" s="206">
        <v>84456</v>
      </c>
      <c r="H31" s="108">
        <f t="shared" si="0"/>
        <v>84456</v>
      </c>
      <c r="I31" s="109">
        <v>0.88666999999999996</v>
      </c>
      <c r="J31" s="208">
        <v>1562638</v>
      </c>
      <c r="K31" s="208">
        <v>739443</v>
      </c>
      <c r="L31" s="115">
        <f t="shared" si="33"/>
        <v>2302081</v>
      </c>
      <c r="M31" s="110">
        <f t="shared" si="1"/>
        <v>24.22733108819196</v>
      </c>
      <c r="N31" s="208">
        <v>167546</v>
      </c>
      <c r="O31" s="208">
        <v>23085</v>
      </c>
      <c r="P31" s="222">
        <v>40797</v>
      </c>
      <c r="Q31" s="115">
        <v>231428</v>
      </c>
      <c r="R31" s="110">
        <f t="shared" si="2"/>
        <v>2.4355714586402861</v>
      </c>
      <c r="S31" s="222">
        <v>528243</v>
      </c>
      <c r="T31" s="208">
        <v>3061752</v>
      </c>
      <c r="U31" s="208">
        <v>0</v>
      </c>
      <c r="V31" s="208">
        <v>3061752</v>
      </c>
      <c r="W31" s="110">
        <f t="shared" si="3"/>
        <v>32.222184803199326</v>
      </c>
      <c r="X31" s="111">
        <f t="shared" si="34"/>
        <v>0.75188356209124707</v>
      </c>
      <c r="Y31" s="111">
        <f t="shared" si="35"/>
        <v>7.5586788217987616E-2</v>
      </c>
      <c r="Z31" s="111">
        <f t="shared" si="36"/>
        <v>0.17252964969076529</v>
      </c>
      <c r="AA31" s="111">
        <f t="shared" si="37"/>
        <v>0</v>
      </c>
      <c r="AB31" s="208">
        <v>0</v>
      </c>
      <c r="AE31" s="208"/>
      <c r="AF31" s="208">
        <v>3061752</v>
      </c>
      <c r="AG31" s="208">
        <v>2389297</v>
      </c>
      <c r="AH31" s="208"/>
      <c r="AI31" s="115">
        <f t="shared" si="8"/>
        <v>5451049</v>
      </c>
      <c r="AJ31" s="110">
        <f t="shared" si="9"/>
        <v>57.367385813512946</v>
      </c>
      <c r="AK31" s="208">
        <v>325155</v>
      </c>
      <c r="AL31" s="208">
        <v>19815</v>
      </c>
      <c r="AM31" s="208">
        <v>579472</v>
      </c>
      <c r="AN31" s="208"/>
      <c r="AO31" s="115">
        <f t="shared" si="38"/>
        <v>579472</v>
      </c>
      <c r="AP31" s="208">
        <v>3330739</v>
      </c>
      <c r="AQ31" s="112">
        <f t="shared" si="11"/>
        <v>35.053030940854555</v>
      </c>
      <c r="AR31" s="208"/>
      <c r="AS31" s="222">
        <v>0</v>
      </c>
      <c r="AT31" s="208">
        <v>0</v>
      </c>
      <c r="AU31" s="222">
        <v>0</v>
      </c>
      <c r="AV31" s="222">
        <v>0</v>
      </c>
      <c r="AW31" s="208"/>
      <c r="AX31" s="222">
        <v>0</v>
      </c>
      <c r="AY31" s="115">
        <f t="shared" si="39"/>
        <v>0</v>
      </c>
      <c r="AZ31" s="206">
        <v>232407</v>
      </c>
      <c r="BA31" s="109">
        <f t="shared" si="13"/>
        <v>2.4458745527257419</v>
      </c>
      <c r="BB31" s="223">
        <v>10083</v>
      </c>
      <c r="BC31" s="223">
        <v>10083</v>
      </c>
      <c r="BD31" s="223">
        <v>18163</v>
      </c>
      <c r="BE31" s="223">
        <v>2067</v>
      </c>
      <c r="BF31" s="223">
        <v>110192</v>
      </c>
      <c r="BG31" s="223">
        <v>2</v>
      </c>
      <c r="BH31" s="223">
        <v>89</v>
      </c>
      <c r="BI31" s="206">
        <v>0</v>
      </c>
      <c r="BJ31" s="116">
        <f t="shared" si="40"/>
        <v>91</v>
      </c>
      <c r="BK31" s="223">
        <v>394914</v>
      </c>
      <c r="BL31" s="109">
        <f t="shared" si="15"/>
        <v>4.1561145022100607</v>
      </c>
      <c r="BM31" s="223">
        <v>327</v>
      </c>
      <c r="BN31" s="206">
        <v>76022</v>
      </c>
      <c r="BO31" s="109">
        <f t="shared" si="16"/>
        <v>0.80006314460113659</v>
      </c>
      <c r="BP31" s="206">
        <v>91844</v>
      </c>
      <c r="BQ31" s="206">
        <v>0</v>
      </c>
      <c r="BR31" s="230">
        <f t="shared" si="41"/>
        <v>254070</v>
      </c>
      <c r="BS31" s="230">
        <v>106862</v>
      </c>
      <c r="BT31" s="223">
        <v>360932</v>
      </c>
      <c r="BU31" s="109">
        <f t="shared" si="17"/>
        <v>3.7984845295727214</v>
      </c>
      <c r="BV31" s="108">
        <f t="shared" si="42"/>
        <v>7218.64</v>
      </c>
      <c r="BW31" s="109">
        <f t="shared" si="19"/>
        <v>37.3056330749354</v>
      </c>
      <c r="BX31" s="109">
        <f t="shared" si="20"/>
        <v>1.4010356419194312</v>
      </c>
      <c r="BY31" s="109">
        <f t="shared" si="43"/>
        <v>0.91395088550925008</v>
      </c>
      <c r="BZ31" s="206">
        <v>1047</v>
      </c>
      <c r="CA31" s="206">
        <v>66</v>
      </c>
      <c r="CB31" s="206">
        <v>588</v>
      </c>
      <c r="CC31" s="113">
        <f t="shared" si="44"/>
        <v>1701</v>
      </c>
      <c r="CD31" s="206">
        <v>25495</v>
      </c>
      <c r="CE31" s="206">
        <v>852</v>
      </c>
      <c r="CF31" s="206">
        <v>7747</v>
      </c>
      <c r="CG31" s="116">
        <f t="shared" si="45"/>
        <v>34094</v>
      </c>
      <c r="CH31" s="109">
        <f t="shared" si="23"/>
        <v>0.35880867185855608</v>
      </c>
      <c r="CI31" s="206">
        <v>257618</v>
      </c>
      <c r="CJ31" s="109">
        <f t="shared" si="24"/>
        <v>2.7111976426015576</v>
      </c>
      <c r="CK31" s="223">
        <v>46486</v>
      </c>
      <c r="CL31" s="209" t="s">
        <v>7</v>
      </c>
      <c r="CM31" s="209" t="s">
        <v>7</v>
      </c>
      <c r="CN31" s="209" t="s">
        <v>7</v>
      </c>
      <c r="CO31" s="210">
        <v>7</v>
      </c>
      <c r="CP31" s="210">
        <v>0</v>
      </c>
      <c r="CQ31" s="210">
        <v>0</v>
      </c>
      <c r="CR31" s="210">
        <v>43</v>
      </c>
      <c r="CS31" s="180">
        <f t="shared" si="46"/>
        <v>50</v>
      </c>
      <c r="CT31" s="108">
        <f t="shared" si="26"/>
        <v>1900.4</v>
      </c>
      <c r="CU31" s="206">
        <v>3204</v>
      </c>
      <c r="CV31" s="208">
        <v>80496</v>
      </c>
      <c r="CW31" s="210">
        <v>40</v>
      </c>
      <c r="CX31" s="209" t="s">
        <v>7</v>
      </c>
      <c r="CY31" s="209" t="s">
        <v>7</v>
      </c>
      <c r="CZ31" s="206">
        <v>23182</v>
      </c>
      <c r="DA31" s="206">
        <v>13953</v>
      </c>
      <c r="DB31" s="206">
        <v>103</v>
      </c>
      <c r="DC31" s="206">
        <v>26141</v>
      </c>
      <c r="DD31" s="206">
        <v>182584</v>
      </c>
      <c r="DE31" s="206">
        <v>130608</v>
      </c>
      <c r="DF31" s="206">
        <v>12638</v>
      </c>
      <c r="DG31" s="206">
        <v>52</v>
      </c>
      <c r="DH31" s="210">
        <f t="shared" si="27"/>
        <v>0.13300357819406441</v>
      </c>
      <c r="DI31" s="206">
        <v>44</v>
      </c>
      <c r="DJ31" s="206">
        <v>44</v>
      </c>
      <c r="DL31" s="347">
        <v>9675</v>
      </c>
      <c r="DM31" s="205"/>
      <c r="DN31" s="209" t="s">
        <v>1061</v>
      </c>
      <c r="DO31" s="209" t="s">
        <v>1030</v>
      </c>
      <c r="DP31" s="209"/>
      <c r="DQ31" s="207"/>
      <c r="DR31" s="218" t="s">
        <v>1134</v>
      </c>
      <c r="DS31" s="205" t="s">
        <v>986</v>
      </c>
      <c r="DT31" s="229">
        <v>43282</v>
      </c>
      <c r="DU31" s="229">
        <v>43646</v>
      </c>
      <c r="DV31" s="218" t="s">
        <v>1134</v>
      </c>
      <c r="DW31" s="109">
        <f t="shared" si="28"/>
        <v>0.9665754577983583</v>
      </c>
      <c r="DX31" s="109">
        <f t="shared" si="29"/>
        <v>0</v>
      </c>
      <c r="DY31" s="109">
        <f t="shared" si="30"/>
        <v>2.6738581351294464</v>
      </c>
      <c r="DZ31" s="109">
        <f t="shared" si="31"/>
        <v>1.1246263944432751</v>
      </c>
      <c r="EA31" s="110">
        <f t="shared" si="48"/>
        <v>0.48435738362714431</v>
      </c>
      <c r="EB31" s="200">
        <f t="shared" si="47"/>
        <v>0.21602627688046266</v>
      </c>
    </row>
    <row r="32" spans="1:132" ht="17" thickBot="1">
      <c r="A32" s="218" t="s">
        <v>987</v>
      </c>
      <c r="B32" s="342" t="s">
        <v>1202</v>
      </c>
      <c r="C32" s="347">
        <v>378330</v>
      </c>
      <c r="D32" s="207">
        <v>9</v>
      </c>
      <c r="E32" s="207">
        <v>2</v>
      </c>
      <c r="F32" s="206">
        <v>199450</v>
      </c>
      <c r="H32" s="108">
        <f t="shared" si="0"/>
        <v>199450</v>
      </c>
      <c r="I32" s="109">
        <v>0.55896000000000001</v>
      </c>
      <c r="J32" s="208">
        <v>3964414</v>
      </c>
      <c r="K32" s="208">
        <v>1776622</v>
      </c>
      <c r="L32" s="115">
        <f t="shared" si="33"/>
        <v>5741036</v>
      </c>
      <c r="M32" s="110">
        <f t="shared" si="1"/>
        <v>15.174678190997277</v>
      </c>
      <c r="N32" s="208">
        <v>633269</v>
      </c>
      <c r="O32" s="208">
        <v>287738</v>
      </c>
      <c r="P32" s="222">
        <v>133653</v>
      </c>
      <c r="Q32" s="115">
        <v>1054660</v>
      </c>
      <c r="R32" s="110">
        <f t="shared" si="2"/>
        <v>2.7876721380805116</v>
      </c>
      <c r="S32" s="222">
        <v>1825255</v>
      </c>
      <c r="T32" s="208">
        <v>8620951</v>
      </c>
      <c r="U32" s="208">
        <v>0</v>
      </c>
      <c r="V32" s="208">
        <v>8620951</v>
      </c>
      <c r="W32" s="110">
        <f t="shared" si="3"/>
        <v>22.786855390796394</v>
      </c>
      <c r="X32" s="111">
        <f t="shared" si="34"/>
        <v>0.66593998736334314</v>
      </c>
      <c r="Y32" s="111">
        <f t="shared" si="35"/>
        <v>0.12233685123601792</v>
      </c>
      <c r="Z32" s="111">
        <f t="shared" si="36"/>
        <v>0.21172316140063899</v>
      </c>
      <c r="AA32" s="111">
        <f t="shared" si="37"/>
        <v>0</v>
      </c>
      <c r="AB32" s="208">
        <v>0</v>
      </c>
      <c r="AE32" s="208"/>
      <c r="AF32" s="208">
        <v>8620951</v>
      </c>
      <c r="AG32" s="208">
        <v>8620951</v>
      </c>
      <c r="AH32" s="208"/>
      <c r="AI32" s="115">
        <f t="shared" si="8"/>
        <v>17241902</v>
      </c>
      <c r="AJ32" s="110">
        <f t="shared" si="9"/>
        <v>45.573710781592787</v>
      </c>
      <c r="AK32" s="208">
        <v>307432</v>
      </c>
      <c r="AL32" s="208">
        <v>61447</v>
      </c>
      <c r="AM32" s="208">
        <v>0</v>
      </c>
      <c r="AN32" s="208"/>
      <c r="AO32" s="115">
        <f t="shared" si="38"/>
        <v>0</v>
      </c>
      <c r="AP32" s="208">
        <v>8989830</v>
      </c>
      <c r="AQ32" s="112">
        <f t="shared" si="11"/>
        <v>23.761874553960826</v>
      </c>
      <c r="AR32" s="208"/>
      <c r="AS32" s="222">
        <v>0</v>
      </c>
      <c r="AT32" s="208">
        <v>0</v>
      </c>
      <c r="AU32" s="222">
        <v>0</v>
      </c>
      <c r="AV32" s="222">
        <v>0</v>
      </c>
      <c r="AW32" s="208"/>
      <c r="AX32" s="222">
        <v>0</v>
      </c>
      <c r="AY32" s="115">
        <f t="shared" si="39"/>
        <v>0</v>
      </c>
      <c r="AZ32" s="206">
        <v>540595</v>
      </c>
      <c r="BA32" s="109">
        <f t="shared" si="13"/>
        <v>1.4288980519652155</v>
      </c>
      <c r="BB32" s="223">
        <v>30804</v>
      </c>
      <c r="BC32" s="223">
        <v>30804</v>
      </c>
      <c r="BD32" s="223">
        <v>36901</v>
      </c>
      <c r="BE32" s="223">
        <v>2402</v>
      </c>
      <c r="BF32" s="223">
        <v>193012</v>
      </c>
      <c r="BG32" s="223">
        <v>28</v>
      </c>
      <c r="BH32" s="223">
        <v>89</v>
      </c>
      <c r="BI32" s="206">
        <v>0</v>
      </c>
      <c r="BJ32" s="116">
        <f t="shared" si="40"/>
        <v>117</v>
      </c>
      <c r="BK32" s="223">
        <v>849043</v>
      </c>
      <c r="BL32" s="109">
        <f t="shared" si="15"/>
        <v>2.2441862923902414</v>
      </c>
      <c r="BM32" s="223">
        <v>987</v>
      </c>
      <c r="BN32" s="206">
        <v>303222</v>
      </c>
      <c r="BO32" s="109">
        <f t="shared" si="16"/>
        <v>0.80147490286258027</v>
      </c>
      <c r="BP32" s="206">
        <v>355708</v>
      </c>
      <c r="BQ32" s="206">
        <v>0</v>
      </c>
      <c r="BR32" s="230">
        <f t="shared" si="41"/>
        <v>998377</v>
      </c>
      <c r="BS32" s="230">
        <v>1860664</v>
      </c>
      <c r="BT32" s="223">
        <v>2859041</v>
      </c>
      <c r="BU32" s="109">
        <f t="shared" si="17"/>
        <v>7.5570031454021622</v>
      </c>
      <c r="BV32" s="108">
        <f t="shared" si="42"/>
        <v>27061.438712730713</v>
      </c>
      <c r="BW32" s="109">
        <f t="shared" si="19"/>
        <v>123.26640510476848</v>
      </c>
      <c r="BX32" s="109">
        <f t="shared" si="20"/>
        <v>2.7464476328439305</v>
      </c>
      <c r="BY32" s="109">
        <f t="shared" si="43"/>
        <v>3.3673689082885083</v>
      </c>
      <c r="BZ32" s="206">
        <v>1704</v>
      </c>
      <c r="CA32" s="206">
        <v>688</v>
      </c>
      <c r="CB32" s="206">
        <v>3687</v>
      </c>
      <c r="CC32" s="113">
        <f t="shared" si="44"/>
        <v>6079</v>
      </c>
      <c r="CD32" s="206">
        <v>50669</v>
      </c>
      <c r="CE32" s="206">
        <v>5761</v>
      </c>
      <c r="CF32" s="206">
        <v>40715</v>
      </c>
      <c r="CG32" s="116">
        <f t="shared" si="45"/>
        <v>97145</v>
      </c>
      <c r="CH32" s="109">
        <f t="shared" si="23"/>
        <v>0.25677318742896416</v>
      </c>
      <c r="CI32" s="206">
        <v>1040996</v>
      </c>
      <c r="CJ32" s="109">
        <f t="shared" si="24"/>
        <v>2.7515555203129543</v>
      </c>
      <c r="CK32" s="223">
        <v>118619</v>
      </c>
      <c r="CL32" s="209" t="s">
        <v>7</v>
      </c>
      <c r="CM32" s="209" t="s">
        <v>7</v>
      </c>
      <c r="CN32" s="209" t="s">
        <v>7</v>
      </c>
      <c r="CO32" s="210">
        <v>45.5</v>
      </c>
      <c r="CP32" s="108">
        <f>C32/CO32</f>
        <v>8314.9450549450557</v>
      </c>
      <c r="CQ32" s="210">
        <v>1</v>
      </c>
      <c r="CR32" s="210">
        <v>59.15</v>
      </c>
      <c r="CS32" s="180">
        <f t="shared" si="46"/>
        <v>105.65</v>
      </c>
      <c r="CT32" s="108">
        <f t="shared" si="26"/>
        <v>3580.9749171793655</v>
      </c>
      <c r="CU32" s="206" t="s">
        <v>913</v>
      </c>
      <c r="CV32" s="208">
        <v>142064</v>
      </c>
      <c r="CW32" s="210">
        <v>40</v>
      </c>
      <c r="CX32" s="209" t="s">
        <v>7</v>
      </c>
      <c r="CY32" s="209" t="s">
        <v>7</v>
      </c>
      <c r="CZ32" s="206">
        <v>23877</v>
      </c>
      <c r="DA32" s="206">
        <v>66707</v>
      </c>
      <c r="DB32" s="206">
        <v>224</v>
      </c>
      <c r="DC32" s="206">
        <v>127699</v>
      </c>
      <c r="DD32" s="206" t="s">
        <v>1115</v>
      </c>
      <c r="DE32" s="206">
        <v>993294</v>
      </c>
      <c r="DF32" s="206">
        <v>32715</v>
      </c>
      <c r="DG32" s="206">
        <v>52</v>
      </c>
      <c r="DH32" s="210">
        <f t="shared" si="27"/>
        <v>8.6472127507731339E-2</v>
      </c>
      <c r="DI32" s="206">
        <v>46</v>
      </c>
      <c r="DJ32" s="206">
        <v>46</v>
      </c>
      <c r="DL32" s="347">
        <v>23194</v>
      </c>
      <c r="DM32" s="205"/>
      <c r="DN32" s="209" t="s">
        <v>1062</v>
      </c>
      <c r="DO32" s="209" t="s">
        <v>125</v>
      </c>
      <c r="DP32" s="209"/>
      <c r="DQ32" s="207"/>
      <c r="DR32" s="218" t="s">
        <v>987</v>
      </c>
      <c r="DS32" s="205" t="s">
        <v>987</v>
      </c>
      <c r="DT32" s="229">
        <v>43282</v>
      </c>
      <c r="DU32" s="229">
        <v>43646</v>
      </c>
      <c r="DV32" s="218" t="s">
        <v>987</v>
      </c>
      <c r="DW32" s="109">
        <f t="shared" si="28"/>
        <v>0.94020564057833111</v>
      </c>
      <c r="DX32" s="109">
        <f t="shared" si="29"/>
        <v>0</v>
      </c>
      <c r="DY32" s="109">
        <f t="shared" si="30"/>
        <v>2.6389051885919699</v>
      </c>
      <c r="DZ32" s="109">
        <f t="shared" si="31"/>
        <v>4.9180979568101924</v>
      </c>
      <c r="EA32" s="110">
        <f t="shared" si="48"/>
        <v>0.4676730042796427</v>
      </c>
      <c r="EB32" s="200">
        <f t="shared" si="47"/>
        <v>0.15464264370138833</v>
      </c>
    </row>
    <row r="33" spans="1:132" ht="17" thickBot="1">
      <c r="A33" s="218" t="s">
        <v>988</v>
      </c>
      <c r="B33" s="342" t="s">
        <v>1203</v>
      </c>
      <c r="C33" s="347">
        <v>70157</v>
      </c>
      <c r="D33" s="207">
        <v>3</v>
      </c>
      <c r="E33" s="207">
        <v>1</v>
      </c>
      <c r="F33" s="206">
        <v>16493</v>
      </c>
      <c r="H33" s="108">
        <f t="shared" si="0"/>
        <v>16493</v>
      </c>
      <c r="I33" s="109">
        <v>0.24432000000000001</v>
      </c>
      <c r="J33" s="208">
        <v>585863</v>
      </c>
      <c r="K33" s="208">
        <v>218500</v>
      </c>
      <c r="L33" s="115">
        <f t="shared" si="33"/>
        <v>804363</v>
      </c>
      <c r="M33" s="110">
        <f t="shared" si="1"/>
        <v>11.465185227418504</v>
      </c>
      <c r="N33" s="208">
        <v>58832</v>
      </c>
      <c r="O33" s="208">
        <v>10300</v>
      </c>
      <c r="P33" s="222">
        <v>6174</v>
      </c>
      <c r="Q33" s="115">
        <v>75306</v>
      </c>
      <c r="R33" s="110">
        <f t="shared" si="2"/>
        <v>1.073392533888279</v>
      </c>
      <c r="S33" s="222">
        <v>178359</v>
      </c>
      <c r="T33" s="208">
        <v>1058028</v>
      </c>
      <c r="U33" s="208">
        <v>7552</v>
      </c>
      <c r="V33" s="208">
        <v>1058028</v>
      </c>
      <c r="W33" s="110">
        <f t="shared" si="3"/>
        <v>15.080861496358168</v>
      </c>
      <c r="X33" s="111">
        <f t="shared" si="34"/>
        <v>0.76024736585421182</v>
      </c>
      <c r="Y33" s="111">
        <f t="shared" si="35"/>
        <v>7.1175810091982442E-2</v>
      </c>
      <c r="Z33" s="111">
        <f t="shared" si="36"/>
        <v>0.16857682405380575</v>
      </c>
      <c r="AA33" s="111">
        <f t="shared" si="37"/>
        <v>7.1378073170086237E-3</v>
      </c>
      <c r="AB33" s="208">
        <v>0</v>
      </c>
      <c r="AE33" s="208"/>
      <c r="AF33" s="208">
        <v>1058028</v>
      </c>
      <c r="AG33" s="208">
        <v>985310</v>
      </c>
      <c r="AH33" s="208"/>
      <c r="AI33" s="115">
        <f t="shared" si="8"/>
        <v>2043338</v>
      </c>
      <c r="AJ33" s="110">
        <f t="shared" si="9"/>
        <v>29.125219151332011</v>
      </c>
      <c r="AK33" s="208">
        <v>115935</v>
      </c>
      <c r="AL33" s="208">
        <v>15116</v>
      </c>
      <c r="AM33" s="208">
        <v>0</v>
      </c>
      <c r="AN33" s="208"/>
      <c r="AO33" s="115">
        <f t="shared" si="38"/>
        <v>0</v>
      </c>
      <c r="AP33" s="208">
        <v>1119361</v>
      </c>
      <c r="AQ33" s="112">
        <f t="shared" si="11"/>
        <v>15.955086448964465</v>
      </c>
      <c r="AR33" s="208"/>
      <c r="AS33" s="222">
        <v>0</v>
      </c>
      <c r="AT33" s="208">
        <v>0</v>
      </c>
      <c r="AU33" s="222">
        <v>0</v>
      </c>
      <c r="AV33" s="222">
        <v>0</v>
      </c>
      <c r="AW33" s="208"/>
      <c r="AX33" s="222">
        <v>0</v>
      </c>
      <c r="AY33" s="115">
        <f t="shared" si="39"/>
        <v>0</v>
      </c>
      <c r="AZ33" s="206">
        <v>98404</v>
      </c>
      <c r="BA33" s="109">
        <f t="shared" si="13"/>
        <v>1.4026255398605985</v>
      </c>
      <c r="BB33" s="223">
        <v>1408</v>
      </c>
      <c r="BC33" s="223">
        <v>1408</v>
      </c>
      <c r="BD33" s="223">
        <v>5003</v>
      </c>
      <c r="BE33" s="223">
        <v>2067</v>
      </c>
      <c r="BF33" s="223">
        <v>107580</v>
      </c>
      <c r="BG33" s="223">
        <v>2</v>
      </c>
      <c r="BH33" s="223">
        <v>89</v>
      </c>
      <c r="BI33" s="206">
        <v>0</v>
      </c>
      <c r="BJ33" s="116">
        <f t="shared" si="40"/>
        <v>91</v>
      </c>
      <c r="BK33" s="223">
        <v>232738</v>
      </c>
      <c r="BL33" s="109">
        <f t="shared" si="15"/>
        <v>3.3173881437347661</v>
      </c>
      <c r="BM33" s="223">
        <v>139</v>
      </c>
      <c r="BN33" s="206">
        <v>8444</v>
      </c>
      <c r="BO33" s="109">
        <f t="shared" si="16"/>
        <v>0.12035862422851604</v>
      </c>
      <c r="BP33" s="206">
        <v>38957</v>
      </c>
      <c r="BQ33" s="206">
        <v>0</v>
      </c>
      <c r="BR33" s="230">
        <f t="shared" si="41"/>
        <v>92818</v>
      </c>
      <c r="BS33" s="230">
        <v>27201</v>
      </c>
      <c r="BT33" s="223">
        <v>120019</v>
      </c>
      <c r="BU33" s="109">
        <f t="shared" si="17"/>
        <v>1.7107202417435181</v>
      </c>
      <c r="BV33" s="108">
        <f t="shared" si="42"/>
        <v>8530.1350390902626</v>
      </c>
      <c r="BW33" s="109">
        <f t="shared" si="19"/>
        <v>15.750524934383202</v>
      </c>
      <c r="BX33" s="109">
        <f t="shared" si="20"/>
        <v>1.1499597577801626</v>
      </c>
      <c r="BY33" s="109">
        <f t="shared" si="43"/>
        <v>0.51568287086767095</v>
      </c>
      <c r="BZ33" s="206">
        <v>246</v>
      </c>
      <c r="CA33" s="206">
        <v>0</v>
      </c>
      <c r="CB33" s="206">
        <v>6</v>
      </c>
      <c r="CC33" s="113">
        <f t="shared" si="44"/>
        <v>252</v>
      </c>
      <c r="CD33" s="206">
        <v>1512</v>
      </c>
      <c r="CE33" s="206">
        <v>0</v>
      </c>
      <c r="CF33" s="206">
        <v>24</v>
      </c>
      <c r="CG33" s="116">
        <f t="shared" si="45"/>
        <v>1536</v>
      </c>
      <c r="CH33" s="109">
        <f t="shared" si="23"/>
        <v>2.1893752583491313E-2</v>
      </c>
      <c r="CI33" s="206">
        <v>104368</v>
      </c>
      <c r="CJ33" s="109">
        <f t="shared" si="24"/>
        <v>1.4876348760636857</v>
      </c>
      <c r="CK33" s="223">
        <v>17943</v>
      </c>
      <c r="CL33" s="209" t="s">
        <v>7</v>
      </c>
      <c r="CM33" s="209" t="s">
        <v>7</v>
      </c>
      <c r="CN33" s="209" t="s">
        <v>7</v>
      </c>
      <c r="CO33" s="210">
        <v>3</v>
      </c>
      <c r="CP33" s="108">
        <f>C33/CO33</f>
        <v>23385.666666666668</v>
      </c>
      <c r="CQ33" s="210">
        <v>0</v>
      </c>
      <c r="CR33" s="210">
        <v>11.07</v>
      </c>
      <c r="CS33" s="180">
        <f t="shared" si="46"/>
        <v>14.07</v>
      </c>
      <c r="CT33" s="108">
        <f t="shared" si="26"/>
        <v>4986.2828713574982</v>
      </c>
      <c r="CU33" s="206">
        <v>400</v>
      </c>
      <c r="CV33" s="208">
        <v>79331</v>
      </c>
      <c r="CW33" s="210">
        <v>40</v>
      </c>
      <c r="CX33" s="209" t="s">
        <v>7</v>
      </c>
      <c r="CY33" s="209" t="s">
        <v>7</v>
      </c>
      <c r="CZ33" s="206">
        <v>6077</v>
      </c>
      <c r="DA33" s="206">
        <v>5221</v>
      </c>
      <c r="DB33" s="206">
        <v>35</v>
      </c>
      <c r="DC33" s="206">
        <v>9924</v>
      </c>
      <c r="DD33" s="206">
        <v>11057</v>
      </c>
      <c r="DE33" s="206">
        <v>19590</v>
      </c>
      <c r="DF33" s="206">
        <v>9430</v>
      </c>
      <c r="DG33" s="206">
        <v>51</v>
      </c>
      <c r="DH33" s="210">
        <f t="shared" si="27"/>
        <v>0.13441281696765825</v>
      </c>
      <c r="DI33" s="206">
        <v>40</v>
      </c>
      <c r="DJ33" s="206">
        <v>40</v>
      </c>
      <c r="DK33" s="108">
        <v>1000</v>
      </c>
      <c r="DL33" s="347">
        <v>7620</v>
      </c>
      <c r="DM33" s="205"/>
      <c r="DN33" s="209" t="s">
        <v>1063</v>
      </c>
      <c r="DO33" s="209" t="s">
        <v>125</v>
      </c>
      <c r="DP33" s="209"/>
      <c r="DQ33" s="207"/>
      <c r="DR33" s="218" t="s">
        <v>988</v>
      </c>
      <c r="DS33" s="205" t="s">
        <v>988</v>
      </c>
      <c r="DT33" s="229">
        <v>43282</v>
      </c>
      <c r="DU33" s="229">
        <v>43646</v>
      </c>
      <c r="DV33" s="218" t="s">
        <v>988</v>
      </c>
      <c r="DW33" s="109">
        <f t="shared" si="28"/>
        <v>0.55528315064783274</v>
      </c>
      <c r="DX33" s="109">
        <f t="shared" si="29"/>
        <v>0</v>
      </c>
      <c r="DY33" s="109">
        <f t="shared" si="30"/>
        <v>1.3230041193323545</v>
      </c>
      <c r="DZ33" s="109">
        <f t="shared" si="31"/>
        <v>0.38771612241116354</v>
      </c>
      <c r="EA33" s="110">
        <f t="shared" si="48"/>
        <v>0.44645797761335609</v>
      </c>
      <c r="EB33" s="200">
        <f t="shared" si="47"/>
        <v>0.37866254917098635</v>
      </c>
    </row>
    <row r="34" spans="1:132" ht="17" thickBot="1">
      <c r="A34" s="218" t="s">
        <v>989</v>
      </c>
      <c r="B34" s="342" t="s">
        <v>1204</v>
      </c>
      <c r="C34" s="347">
        <v>221610</v>
      </c>
      <c r="D34" s="207">
        <v>9</v>
      </c>
      <c r="E34" s="207">
        <v>0</v>
      </c>
      <c r="F34" s="206">
        <v>92233</v>
      </c>
      <c r="H34" s="108">
        <f t="shared" si="0"/>
        <v>92233</v>
      </c>
      <c r="I34" s="109">
        <v>0.41825000000000001</v>
      </c>
      <c r="J34" s="208">
        <v>2366596</v>
      </c>
      <c r="K34" s="208">
        <v>881750</v>
      </c>
      <c r="L34" s="115">
        <f t="shared" si="33"/>
        <v>3248346</v>
      </c>
      <c r="M34" s="110">
        <f t="shared" ref="M34:M65" si="50">L34/C34</f>
        <v>14.657939623663193</v>
      </c>
      <c r="N34" s="208">
        <v>249942</v>
      </c>
      <c r="O34" s="208">
        <v>96456</v>
      </c>
      <c r="P34" s="222">
        <v>79917</v>
      </c>
      <c r="Q34" s="115">
        <v>426315</v>
      </c>
      <c r="R34" s="110">
        <f t="shared" ref="R34:R65" si="51">Q34/C34</f>
        <v>1.9237173412752133</v>
      </c>
      <c r="S34" s="222">
        <v>618518</v>
      </c>
      <c r="T34" s="208">
        <v>4293179</v>
      </c>
      <c r="U34" s="208">
        <v>0</v>
      </c>
      <c r="V34" s="208">
        <v>4293179</v>
      </c>
      <c r="W34" s="110">
        <f t="shared" ref="W34:W65" si="52">V34/C34</f>
        <v>19.372677225756959</v>
      </c>
      <c r="X34" s="111">
        <f t="shared" si="34"/>
        <v>0.75662952790927185</v>
      </c>
      <c r="Y34" s="111">
        <f t="shared" si="35"/>
        <v>9.9300541626612823E-2</v>
      </c>
      <c r="Z34" s="111">
        <f t="shared" si="36"/>
        <v>0.14406993046411529</v>
      </c>
      <c r="AA34" s="111">
        <f t="shared" si="37"/>
        <v>0</v>
      </c>
      <c r="AB34" s="208">
        <v>60000</v>
      </c>
      <c r="AE34" s="208"/>
      <c r="AF34" s="208">
        <v>4293179</v>
      </c>
      <c r="AG34" s="208">
        <v>4293179</v>
      </c>
      <c r="AH34" s="208"/>
      <c r="AI34" s="115">
        <f t="shared" ref="AI34:AI65" si="53">SUM(AF34:AH34)</f>
        <v>8586358</v>
      </c>
      <c r="AJ34" s="110">
        <f t="shared" ref="AJ34:AJ65" si="54">AI34/C34</f>
        <v>38.745354451513919</v>
      </c>
      <c r="AK34" s="208">
        <v>227155</v>
      </c>
      <c r="AL34" s="208">
        <v>6588</v>
      </c>
      <c r="AM34" s="208">
        <v>0</v>
      </c>
      <c r="AN34" s="208"/>
      <c r="AO34" s="115">
        <f t="shared" si="38"/>
        <v>0</v>
      </c>
      <c r="AP34" s="208">
        <v>4526922</v>
      </c>
      <c r="AQ34" s="112">
        <f t="shared" ref="AQ34:AQ65" si="55">AP34/C34</f>
        <v>20.427426560173277</v>
      </c>
      <c r="AR34" s="208"/>
      <c r="AS34" s="222">
        <v>441809</v>
      </c>
      <c r="AT34" s="208">
        <v>0</v>
      </c>
      <c r="AU34" s="222">
        <v>0</v>
      </c>
      <c r="AV34" s="222">
        <v>0</v>
      </c>
      <c r="AW34" s="208"/>
      <c r="AX34" s="222">
        <v>29361</v>
      </c>
      <c r="AY34" s="115">
        <f t="shared" si="39"/>
        <v>471170</v>
      </c>
      <c r="AZ34" s="206">
        <v>383229</v>
      </c>
      <c r="BA34" s="109">
        <f t="shared" ref="BA34:BA65" si="56">AZ34/C34</f>
        <v>1.7292947069175579</v>
      </c>
      <c r="BB34" s="223">
        <v>12775</v>
      </c>
      <c r="BC34" s="223">
        <v>12775</v>
      </c>
      <c r="BD34" s="223">
        <v>31485</v>
      </c>
      <c r="BE34" s="223">
        <v>2195</v>
      </c>
      <c r="BF34" s="223">
        <v>145876</v>
      </c>
      <c r="BG34" s="223">
        <v>9</v>
      </c>
      <c r="BH34" s="223">
        <v>89</v>
      </c>
      <c r="BI34" s="206">
        <v>0</v>
      </c>
      <c r="BJ34" s="116">
        <f t="shared" si="40"/>
        <v>98</v>
      </c>
      <c r="BK34" s="223">
        <v>613189</v>
      </c>
      <c r="BL34" s="109">
        <f t="shared" ref="BL34:BL65" si="57">BK34/C34</f>
        <v>2.7669735120256305</v>
      </c>
      <c r="BM34" s="223">
        <v>127</v>
      </c>
      <c r="BN34" s="206">
        <v>118215</v>
      </c>
      <c r="BO34" s="109">
        <f t="shared" ref="BO34:BO65" si="58">BN34/C34</f>
        <v>0.53343711926357118</v>
      </c>
      <c r="BP34" s="206">
        <v>326106</v>
      </c>
      <c r="BQ34" s="206">
        <v>0</v>
      </c>
      <c r="BR34" s="230">
        <f t="shared" si="41"/>
        <v>628330</v>
      </c>
      <c r="BS34" s="230">
        <v>291118</v>
      </c>
      <c r="BT34" s="223">
        <v>919448</v>
      </c>
      <c r="BU34" s="109">
        <f t="shared" ref="BU34:BU65" si="59">BT34/C34</f>
        <v>4.1489463471864987</v>
      </c>
      <c r="BV34" s="108">
        <f t="shared" si="42"/>
        <v>15452.90756302521</v>
      </c>
      <c r="BW34" s="109">
        <f t="shared" ref="BW34:BW65" si="60">BT34/DL34</f>
        <v>65.858319604612845</v>
      </c>
      <c r="BX34" s="109">
        <f t="shared" ref="BX34:BX65" si="61">BT34/CI34</f>
        <v>2.3874758837016667</v>
      </c>
      <c r="BY34" s="109">
        <f t="shared" si="43"/>
        <v>1.4994528603742077</v>
      </c>
      <c r="BZ34" s="206">
        <v>2596</v>
      </c>
      <c r="CA34" s="206">
        <v>627</v>
      </c>
      <c r="CB34" s="206">
        <v>1020</v>
      </c>
      <c r="CC34" s="113">
        <f t="shared" si="44"/>
        <v>4243</v>
      </c>
      <c r="CD34" s="206">
        <v>93968</v>
      </c>
      <c r="CE34" s="206">
        <v>5673</v>
      </c>
      <c r="CF34" s="206">
        <v>25142</v>
      </c>
      <c r="CG34" s="116">
        <f t="shared" si="45"/>
        <v>124783</v>
      </c>
      <c r="CH34" s="109">
        <f t="shared" ref="CH34:CH65" si="62">CG34/C34</f>
        <v>0.56307477099408876</v>
      </c>
      <c r="CI34" s="206">
        <v>385113</v>
      </c>
      <c r="CJ34" s="109">
        <f t="shared" ref="CJ34:CJ65" si="63">CI34/C34</f>
        <v>1.737796128333559</v>
      </c>
      <c r="CK34" s="223">
        <v>103779</v>
      </c>
      <c r="CL34" s="209" t="s">
        <v>7</v>
      </c>
      <c r="CM34" s="209" t="s">
        <v>7</v>
      </c>
      <c r="CN34" s="209" t="s">
        <v>7</v>
      </c>
      <c r="CO34" s="210">
        <v>18</v>
      </c>
      <c r="CP34" s="108">
        <f>C34/CO34</f>
        <v>12311.666666666666</v>
      </c>
      <c r="CQ34" s="210">
        <v>5</v>
      </c>
      <c r="CR34" s="210">
        <v>36.5</v>
      </c>
      <c r="CS34" s="180">
        <f t="shared" si="46"/>
        <v>59.5</v>
      </c>
      <c r="CT34" s="108">
        <f t="shared" si="26"/>
        <v>3724.5378151260506</v>
      </c>
      <c r="CU34" s="206">
        <v>2508</v>
      </c>
      <c r="CV34" s="208">
        <v>111469</v>
      </c>
      <c r="CW34" s="210">
        <v>40</v>
      </c>
      <c r="CX34" s="209" t="s">
        <v>7</v>
      </c>
      <c r="CY34" s="209" t="s">
        <v>7</v>
      </c>
      <c r="CZ34" s="206">
        <v>1346</v>
      </c>
      <c r="DA34" s="206">
        <v>191</v>
      </c>
      <c r="DB34" s="206">
        <v>93</v>
      </c>
      <c r="DC34" s="206">
        <v>60505</v>
      </c>
      <c r="DD34" s="206">
        <v>41703</v>
      </c>
      <c r="DE34" s="206">
        <v>271780</v>
      </c>
      <c r="DF34" s="206">
        <v>14196</v>
      </c>
      <c r="DG34" s="206">
        <v>52</v>
      </c>
      <c r="DH34" s="210">
        <f t="shared" ref="DH34:DH65" si="64">DF34/C34</f>
        <v>6.4058481115473132E-2</v>
      </c>
      <c r="DI34" s="206">
        <v>68</v>
      </c>
      <c r="DJ34" s="206">
        <v>68</v>
      </c>
      <c r="DL34" s="347">
        <v>13961</v>
      </c>
      <c r="DM34" s="205"/>
      <c r="DN34" s="209" t="s">
        <v>1064</v>
      </c>
      <c r="DO34" s="209" t="s">
        <v>125</v>
      </c>
      <c r="DP34" s="209"/>
      <c r="DQ34" s="207"/>
      <c r="DR34" s="218" t="s">
        <v>989</v>
      </c>
      <c r="DS34" s="205" t="s">
        <v>989</v>
      </c>
      <c r="DT34" s="229">
        <v>43282</v>
      </c>
      <c r="DU34" s="229">
        <v>43646</v>
      </c>
      <c r="DV34" s="218" t="s">
        <v>989</v>
      </c>
      <c r="DW34" s="109">
        <f t="shared" ref="DW34:DW65" si="65">BP34/C34</f>
        <v>1.471531068092595</v>
      </c>
      <c r="DX34" s="109">
        <f t="shared" ref="DX34:DX65" si="66">BQ34/C34</f>
        <v>0</v>
      </c>
      <c r="DY34" s="109">
        <f t="shared" ref="DY34:DY65" si="67">BR34/C34</f>
        <v>2.8352962411443525</v>
      </c>
      <c r="DZ34" s="109">
        <f t="shared" ref="DZ34:DZ65" si="68">BS34/C34</f>
        <v>1.3136501060421462</v>
      </c>
      <c r="EA34" s="110">
        <f t="shared" si="48"/>
        <v>0.26187402822190275</v>
      </c>
      <c r="EB34" s="200">
        <f t="shared" si="47"/>
        <v>0.33132956395688345</v>
      </c>
    </row>
    <row r="35" spans="1:132" ht="17" thickBot="1">
      <c r="A35" s="218" t="s">
        <v>1136</v>
      </c>
      <c r="B35" s="342" t="s">
        <v>1205</v>
      </c>
      <c r="C35" s="347">
        <v>9318</v>
      </c>
      <c r="D35" s="207">
        <v>0</v>
      </c>
      <c r="E35" s="207">
        <v>0</v>
      </c>
      <c r="F35" s="206">
        <v>12000</v>
      </c>
      <c r="H35" s="108">
        <f t="shared" si="0"/>
        <v>12000</v>
      </c>
      <c r="I35" s="109">
        <v>1.28274</v>
      </c>
      <c r="J35" s="208">
        <v>265818</v>
      </c>
      <c r="K35" s="208">
        <v>104024</v>
      </c>
      <c r="L35" s="115">
        <f t="shared" si="33"/>
        <v>369842</v>
      </c>
      <c r="M35" s="110">
        <f t="shared" si="50"/>
        <v>39.691135436789011</v>
      </c>
      <c r="N35" s="208">
        <v>36375</v>
      </c>
      <c r="O35" s="208">
        <v>19050</v>
      </c>
      <c r="P35" s="222">
        <v>6575</v>
      </c>
      <c r="Q35" s="115">
        <v>62000</v>
      </c>
      <c r="R35" s="110">
        <f t="shared" si="51"/>
        <v>6.6537883666022752</v>
      </c>
      <c r="S35" s="222">
        <v>113896</v>
      </c>
      <c r="T35" s="208">
        <v>545738</v>
      </c>
      <c r="U35" s="208">
        <v>0</v>
      </c>
      <c r="V35" s="208">
        <v>545738</v>
      </c>
      <c r="W35" s="110">
        <f t="shared" si="52"/>
        <v>58.568147671174074</v>
      </c>
      <c r="X35" s="111">
        <f t="shared" si="34"/>
        <v>0.67769149298747755</v>
      </c>
      <c r="Y35" s="111">
        <f t="shared" si="35"/>
        <v>0.11360762856902031</v>
      </c>
      <c r="Z35" s="111">
        <f t="shared" si="36"/>
        <v>0.20870087844350219</v>
      </c>
      <c r="AA35" s="111">
        <f t="shared" si="37"/>
        <v>0</v>
      </c>
      <c r="AB35" s="208">
        <v>0</v>
      </c>
      <c r="AE35" s="208"/>
      <c r="AF35" s="208">
        <v>545738</v>
      </c>
      <c r="AG35" s="208">
        <v>0</v>
      </c>
      <c r="AH35" s="208"/>
      <c r="AI35" s="115">
        <f t="shared" si="53"/>
        <v>545738</v>
      </c>
      <c r="AJ35" s="110">
        <f t="shared" si="54"/>
        <v>58.568147671174074</v>
      </c>
      <c r="AK35" s="208">
        <v>8468</v>
      </c>
      <c r="AL35" s="208">
        <v>0</v>
      </c>
      <c r="AM35" s="208">
        <v>29801</v>
      </c>
      <c r="AN35" s="208"/>
      <c r="AO35" s="115">
        <f t="shared" si="38"/>
        <v>29801</v>
      </c>
      <c r="AP35" s="208">
        <v>627585</v>
      </c>
      <c r="AQ35" s="112">
        <f t="shared" si="55"/>
        <v>67.3518995492595</v>
      </c>
      <c r="AR35" s="208"/>
      <c r="AS35" s="222">
        <v>43578</v>
      </c>
      <c r="AT35" s="208">
        <v>0</v>
      </c>
      <c r="AU35" s="222">
        <v>0</v>
      </c>
      <c r="AV35" s="222">
        <v>0</v>
      </c>
      <c r="AW35" s="208"/>
      <c r="AX35" s="222">
        <v>0</v>
      </c>
      <c r="AY35" s="115">
        <f t="shared" si="39"/>
        <v>43578</v>
      </c>
      <c r="AZ35" s="206">
        <v>41940</v>
      </c>
      <c r="BA35" s="109">
        <f t="shared" si="56"/>
        <v>4.5009658725048292</v>
      </c>
      <c r="BB35" s="223">
        <v>1492</v>
      </c>
      <c r="BC35" s="223">
        <v>1492</v>
      </c>
      <c r="BD35" s="223">
        <v>2347</v>
      </c>
      <c r="BE35" s="223">
        <v>2071</v>
      </c>
      <c r="BF35" s="223">
        <v>107910</v>
      </c>
      <c r="BG35" s="223">
        <v>14</v>
      </c>
      <c r="BH35" s="223">
        <v>89</v>
      </c>
      <c r="BI35" s="206">
        <v>0</v>
      </c>
      <c r="BJ35" s="116">
        <f t="shared" si="40"/>
        <v>103</v>
      </c>
      <c r="BK35" s="223">
        <v>173189</v>
      </c>
      <c r="BL35" s="109">
        <f t="shared" si="57"/>
        <v>18.586499248765829</v>
      </c>
      <c r="BM35" s="223">
        <v>0</v>
      </c>
      <c r="BN35" s="206">
        <v>17888</v>
      </c>
      <c r="BO35" s="109">
        <f t="shared" si="58"/>
        <v>1.9197252629319597</v>
      </c>
      <c r="BP35" s="206">
        <v>19391</v>
      </c>
      <c r="BQ35" s="206">
        <v>0</v>
      </c>
      <c r="BR35" s="230">
        <f t="shared" si="41"/>
        <v>51878</v>
      </c>
      <c r="BS35" s="230">
        <v>30371</v>
      </c>
      <c r="BT35" s="223">
        <v>82249</v>
      </c>
      <c r="BU35" s="109">
        <f t="shared" si="59"/>
        <v>8.8268941833011372</v>
      </c>
      <c r="BV35" s="108">
        <f t="shared" si="42"/>
        <v>10204.590570719605</v>
      </c>
      <c r="BW35" s="109">
        <f t="shared" si="60"/>
        <v>42.309156378600825</v>
      </c>
      <c r="BX35" s="109">
        <f t="shared" si="61"/>
        <v>1.4496025661361673</v>
      </c>
      <c r="BY35" s="109">
        <f t="shared" ref="BY35:BY66" si="69">BT35/BK35</f>
        <v>0.47490891453845219</v>
      </c>
      <c r="BZ35" s="206">
        <v>145</v>
      </c>
      <c r="CA35" s="206">
        <v>22</v>
      </c>
      <c r="CB35" s="206">
        <v>293</v>
      </c>
      <c r="CC35" s="113">
        <f t="shared" si="44"/>
        <v>460</v>
      </c>
      <c r="CD35" s="206">
        <v>3114</v>
      </c>
      <c r="CE35" s="206">
        <v>224</v>
      </c>
      <c r="CF35" s="206">
        <v>2480</v>
      </c>
      <c r="CG35" s="116">
        <f t="shared" si="45"/>
        <v>5818</v>
      </c>
      <c r="CH35" s="109">
        <f t="shared" si="62"/>
        <v>0.62438291478858121</v>
      </c>
      <c r="CI35" s="206">
        <v>56739</v>
      </c>
      <c r="CJ35" s="109">
        <f t="shared" si="63"/>
        <v>6.0891822279459111</v>
      </c>
      <c r="CK35" s="223">
        <v>9761</v>
      </c>
      <c r="CL35" s="209" t="s">
        <v>7</v>
      </c>
      <c r="CM35" s="209" t="s">
        <v>7</v>
      </c>
      <c r="CN35" s="209" t="s">
        <v>7</v>
      </c>
      <c r="CO35" s="210">
        <v>1</v>
      </c>
      <c r="CP35" s="108">
        <f>C35/CO35</f>
        <v>9318</v>
      </c>
      <c r="CQ35" s="210">
        <v>0</v>
      </c>
      <c r="CR35" s="210">
        <v>7.06</v>
      </c>
      <c r="CS35" s="180">
        <f t="shared" si="46"/>
        <v>8.0599999999999987</v>
      </c>
      <c r="CT35" s="108">
        <f t="shared" si="26"/>
        <v>1156.0794044665015</v>
      </c>
      <c r="CU35" s="206">
        <v>558</v>
      </c>
      <c r="CV35" s="208">
        <v>63989</v>
      </c>
      <c r="CW35" s="210">
        <v>40</v>
      </c>
      <c r="CX35" s="209" t="s">
        <v>7</v>
      </c>
      <c r="CY35" s="209" t="s">
        <v>7</v>
      </c>
      <c r="CZ35" s="206">
        <v>3485</v>
      </c>
      <c r="DA35" s="206">
        <v>2855</v>
      </c>
      <c r="DB35" s="206">
        <v>28</v>
      </c>
      <c r="DC35" s="206">
        <v>2346</v>
      </c>
      <c r="DD35" s="206">
        <v>57047</v>
      </c>
      <c r="DE35" s="206">
        <v>22846</v>
      </c>
      <c r="DF35" s="206">
        <v>2808</v>
      </c>
      <c r="DG35" s="206">
        <v>52</v>
      </c>
      <c r="DH35" s="210">
        <f t="shared" si="64"/>
        <v>0.30135222150676111</v>
      </c>
      <c r="DI35" s="206">
        <v>52</v>
      </c>
      <c r="DJ35" s="206">
        <v>52</v>
      </c>
      <c r="DK35" s="108">
        <v>15137</v>
      </c>
      <c r="DL35" s="347">
        <v>1944</v>
      </c>
      <c r="DM35" s="205"/>
      <c r="DN35" s="209" t="s">
        <v>1065</v>
      </c>
      <c r="DO35" s="209" t="s">
        <v>1031</v>
      </c>
      <c r="DP35" s="209"/>
      <c r="DQ35" s="207"/>
      <c r="DR35" s="218" t="s">
        <v>1136</v>
      </c>
      <c r="DS35" s="205" t="s">
        <v>962</v>
      </c>
      <c r="DT35" s="229">
        <v>43282</v>
      </c>
      <c r="DU35" s="229">
        <v>43646</v>
      </c>
      <c r="DV35" s="218" t="s">
        <v>1136</v>
      </c>
      <c r="DW35" s="109">
        <f t="shared" si="65"/>
        <v>2.0810259712384633</v>
      </c>
      <c r="DX35" s="109">
        <f t="shared" si="66"/>
        <v>0</v>
      </c>
      <c r="DY35" s="109">
        <f t="shared" si="67"/>
        <v>5.5675037561708525</v>
      </c>
      <c r="DZ35" s="109">
        <f t="shared" si="68"/>
        <v>3.2593904271302856</v>
      </c>
      <c r="EA35" s="110">
        <f t="shared" si="48"/>
        <v>0.51039021173301158</v>
      </c>
      <c r="EB35" s="200">
        <f t="shared" si="47"/>
        <v>0.6272430937407395</v>
      </c>
    </row>
    <row r="36" spans="1:132" ht="17" thickBot="1">
      <c r="A36" s="218" t="s">
        <v>1135</v>
      </c>
      <c r="B36" s="342" t="s">
        <v>1206</v>
      </c>
      <c r="C36" s="347">
        <v>7384</v>
      </c>
      <c r="D36" s="207">
        <v>0</v>
      </c>
      <c r="E36" s="207">
        <v>0</v>
      </c>
      <c r="F36" s="206">
        <v>2400</v>
      </c>
      <c r="H36" s="108">
        <f t="shared" si="0"/>
        <v>2400</v>
      </c>
      <c r="I36" s="109">
        <v>0.32972000000000001</v>
      </c>
      <c r="J36" s="208">
        <v>101526</v>
      </c>
      <c r="K36" s="208">
        <v>34978</v>
      </c>
      <c r="L36" s="115">
        <f t="shared" si="33"/>
        <v>136504</v>
      </c>
      <c r="M36" s="110">
        <f t="shared" si="50"/>
        <v>18.486457204767063</v>
      </c>
      <c r="N36" s="208">
        <v>11528.1</v>
      </c>
      <c r="O36" s="208">
        <v>5628.31</v>
      </c>
      <c r="P36" s="222">
        <v>800</v>
      </c>
      <c r="Q36" s="115">
        <v>17956.41</v>
      </c>
      <c r="R36" s="110">
        <f t="shared" si="51"/>
        <v>2.4317998374864573</v>
      </c>
      <c r="S36" s="222">
        <v>18596.169999999998</v>
      </c>
      <c r="T36" s="208">
        <v>173056.58</v>
      </c>
      <c r="U36" s="208">
        <v>0</v>
      </c>
      <c r="V36" s="208">
        <v>173056.58</v>
      </c>
      <c r="W36" s="110">
        <f t="shared" si="52"/>
        <v>23.436698266522207</v>
      </c>
      <c r="X36" s="111">
        <f t="shared" si="34"/>
        <v>0.78878248951874586</v>
      </c>
      <c r="Y36" s="111">
        <f t="shared" si="35"/>
        <v>0.10376034242673697</v>
      </c>
      <c r="Z36" s="111">
        <f t="shared" si="36"/>
        <v>0.1074571680545172</v>
      </c>
      <c r="AA36" s="111">
        <f t="shared" si="37"/>
        <v>0</v>
      </c>
      <c r="AB36" s="208">
        <v>0</v>
      </c>
      <c r="AE36" s="208"/>
      <c r="AF36" s="208">
        <v>173056.58</v>
      </c>
      <c r="AG36" s="208">
        <v>55500</v>
      </c>
      <c r="AH36" s="208"/>
      <c r="AI36" s="115">
        <f t="shared" si="53"/>
        <v>228556.58</v>
      </c>
      <c r="AJ36" s="110">
        <f t="shared" si="54"/>
        <v>30.952949620801732</v>
      </c>
      <c r="AK36" s="208">
        <v>5150</v>
      </c>
      <c r="AL36" s="208">
        <v>0</v>
      </c>
      <c r="AM36" s="208">
        <v>1048</v>
      </c>
      <c r="AN36" s="208"/>
      <c r="AO36" s="115">
        <f t="shared" si="38"/>
        <v>1048</v>
      </c>
      <c r="AP36" s="208">
        <v>178469</v>
      </c>
      <c r="AQ36" s="112">
        <f t="shared" si="55"/>
        <v>24.169691224268689</v>
      </c>
      <c r="AR36" s="208"/>
      <c r="AS36" s="222">
        <v>0</v>
      </c>
      <c r="AT36" s="208">
        <v>0</v>
      </c>
      <c r="AU36" s="222">
        <v>0</v>
      </c>
      <c r="AV36" s="222">
        <v>0</v>
      </c>
      <c r="AW36" s="208"/>
      <c r="AX36" s="222">
        <v>0</v>
      </c>
      <c r="AY36" s="115">
        <f t="shared" si="39"/>
        <v>0</v>
      </c>
      <c r="AZ36" s="206">
        <v>10811</v>
      </c>
      <c r="BA36" s="109">
        <f t="shared" si="56"/>
        <v>1.4641115926327193</v>
      </c>
      <c r="BB36" s="223">
        <v>183</v>
      </c>
      <c r="BC36" s="223">
        <v>183</v>
      </c>
      <c r="BD36" s="223">
        <v>1559</v>
      </c>
      <c r="BE36" s="223">
        <v>1752</v>
      </c>
      <c r="BF36" s="223">
        <v>71510</v>
      </c>
      <c r="BG36" s="223">
        <v>2</v>
      </c>
      <c r="BH36" s="223">
        <v>89</v>
      </c>
      <c r="BI36" s="206">
        <v>0</v>
      </c>
      <c r="BJ36" s="116">
        <f t="shared" si="40"/>
        <v>91</v>
      </c>
      <c r="BK36" s="223">
        <v>98205</v>
      </c>
      <c r="BL36" s="109">
        <f t="shared" si="57"/>
        <v>13.299702058504876</v>
      </c>
      <c r="BM36" s="223">
        <v>11</v>
      </c>
      <c r="BN36" s="206">
        <v>7020</v>
      </c>
      <c r="BO36" s="109">
        <f t="shared" si="58"/>
        <v>0.95070422535211263</v>
      </c>
      <c r="BP36" s="206">
        <v>10533</v>
      </c>
      <c r="BQ36" s="206">
        <v>0</v>
      </c>
      <c r="BR36" s="230">
        <f t="shared" si="41"/>
        <v>16838</v>
      </c>
      <c r="BS36" s="230">
        <v>4000</v>
      </c>
      <c r="BT36" s="223">
        <v>20838</v>
      </c>
      <c r="BU36" s="109">
        <f t="shared" si="59"/>
        <v>2.8220476706392201</v>
      </c>
      <c r="BV36" s="108">
        <f t="shared" si="42"/>
        <v>7577.454545454545</v>
      </c>
      <c r="BW36" s="109">
        <f t="shared" si="60"/>
        <v>10.367164179104478</v>
      </c>
      <c r="BX36" s="109">
        <f t="shared" si="61"/>
        <v>1.3827471798274718</v>
      </c>
      <c r="BY36" s="109">
        <f t="shared" si="69"/>
        <v>0.21218878875820987</v>
      </c>
      <c r="BZ36" s="206">
        <v>214</v>
      </c>
      <c r="CA36" s="206">
        <v>52</v>
      </c>
      <c r="CB36" s="206">
        <v>23</v>
      </c>
      <c r="CC36" s="113">
        <f t="shared" si="44"/>
        <v>289</v>
      </c>
      <c r="CD36" s="206">
        <v>2000</v>
      </c>
      <c r="CE36" s="206">
        <v>237</v>
      </c>
      <c r="CF36" s="206">
        <v>277</v>
      </c>
      <c r="CG36" s="116">
        <f t="shared" si="45"/>
        <v>2514</v>
      </c>
      <c r="CH36" s="109">
        <f t="shared" si="62"/>
        <v>0.34046587215601298</v>
      </c>
      <c r="CI36" s="206">
        <v>15070</v>
      </c>
      <c r="CJ36" s="109">
        <f t="shared" si="63"/>
        <v>2.040899241603467</v>
      </c>
      <c r="CK36" s="223">
        <v>3532</v>
      </c>
      <c r="CL36" s="209" t="s">
        <v>7</v>
      </c>
      <c r="CM36" s="209" t="s">
        <v>7</v>
      </c>
      <c r="CN36" s="209" t="s">
        <v>7</v>
      </c>
      <c r="CO36" s="210">
        <v>1</v>
      </c>
      <c r="CP36" s="108">
        <f>C36/CO36</f>
        <v>7384</v>
      </c>
      <c r="CQ36" s="210">
        <v>0</v>
      </c>
      <c r="CR36" s="210">
        <v>1.75</v>
      </c>
      <c r="CS36" s="180">
        <f t="shared" si="46"/>
        <v>2.75</v>
      </c>
      <c r="CT36" s="108">
        <f t="shared" si="26"/>
        <v>2685.090909090909</v>
      </c>
      <c r="CU36" s="206">
        <v>43</v>
      </c>
      <c r="CV36" s="208">
        <v>52192.76</v>
      </c>
      <c r="CW36" s="210">
        <v>40</v>
      </c>
      <c r="CX36" s="209" t="s">
        <v>7</v>
      </c>
      <c r="CY36" s="209" t="s">
        <v>7</v>
      </c>
      <c r="CZ36" s="206">
        <v>142</v>
      </c>
      <c r="DA36" s="206">
        <v>0</v>
      </c>
      <c r="DB36" s="206">
        <v>13</v>
      </c>
      <c r="DC36" s="206">
        <v>6197</v>
      </c>
      <c r="DD36" s="206">
        <v>1437</v>
      </c>
      <c r="DE36" s="206">
        <v>8664</v>
      </c>
      <c r="DF36" s="206">
        <v>2798</v>
      </c>
      <c r="DG36" s="206">
        <v>52</v>
      </c>
      <c r="DH36" s="210">
        <f t="shared" si="64"/>
        <v>0.37892741061755147</v>
      </c>
      <c r="DI36" s="206">
        <v>59</v>
      </c>
      <c r="DJ36" s="206">
        <v>59</v>
      </c>
      <c r="DL36" s="347">
        <v>2010</v>
      </c>
      <c r="DM36" s="205"/>
      <c r="DN36" s="209" t="s">
        <v>1066</v>
      </c>
      <c r="DO36" s="209" t="s">
        <v>1031</v>
      </c>
      <c r="DP36" s="209"/>
      <c r="DQ36" s="207"/>
      <c r="DR36" s="218" t="s">
        <v>1135</v>
      </c>
      <c r="DS36" s="205" t="s">
        <v>990</v>
      </c>
      <c r="DT36" s="229">
        <v>43282</v>
      </c>
      <c r="DU36" s="229">
        <v>43646</v>
      </c>
      <c r="DV36" s="218" t="s">
        <v>1135</v>
      </c>
      <c r="DW36" s="109">
        <f t="shared" si="65"/>
        <v>1.426462621885157</v>
      </c>
      <c r="DX36" s="109">
        <f t="shared" si="66"/>
        <v>0</v>
      </c>
      <c r="DY36" s="109">
        <f t="shared" si="67"/>
        <v>2.280335861321777</v>
      </c>
      <c r="DZ36" s="109">
        <f t="shared" si="68"/>
        <v>0.54171180931744312</v>
      </c>
      <c r="EA36" s="110">
        <f t="shared" si="48"/>
        <v>0.42117935040736548</v>
      </c>
      <c r="EB36" s="200">
        <f t="shared" si="47"/>
        <v>1.4070775000000002</v>
      </c>
    </row>
    <row r="37" spans="1:132" ht="17" thickBot="1">
      <c r="A37" s="218" t="s">
        <v>991</v>
      </c>
      <c r="B37" s="342" t="s">
        <v>1207</v>
      </c>
      <c r="C37" s="347">
        <v>61081</v>
      </c>
      <c r="D37" s="207">
        <v>3</v>
      </c>
      <c r="E37" s="207">
        <v>0</v>
      </c>
      <c r="F37" s="206">
        <v>31653</v>
      </c>
      <c r="H37" s="108">
        <f t="shared" si="0"/>
        <v>31653</v>
      </c>
      <c r="I37" s="109">
        <v>0.51685999999999999</v>
      </c>
      <c r="J37" s="208">
        <v>614595</v>
      </c>
      <c r="K37" s="208">
        <v>194921</v>
      </c>
      <c r="L37" s="115">
        <f t="shared" si="33"/>
        <v>809516</v>
      </c>
      <c r="M37" s="110">
        <f t="shared" si="50"/>
        <v>13.253155645781831</v>
      </c>
      <c r="N37" s="208">
        <v>89288</v>
      </c>
      <c r="O37" s="208">
        <v>39322</v>
      </c>
      <c r="P37" s="222">
        <v>11660</v>
      </c>
      <c r="Q37" s="115">
        <v>140270</v>
      </c>
      <c r="R37" s="110">
        <f t="shared" si="51"/>
        <v>2.2964588006090274</v>
      </c>
      <c r="S37" s="222">
        <v>193117</v>
      </c>
      <c r="T37" s="208">
        <v>1142903</v>
      </c>
      <c r="U37" s="208">
        <v>0</v>
      </c>
      <c r="V37" s="208">
        <v>1142903</v>
      </c>
      <c r="W37" s="110">
        <f t="shared" si="52"/>
        <v>18.711268643276959</v>
      </c>
      <c r="X37" s="111">
        <f t="shared" si="34"/>
        <v>0.70829807953955848</v>
      </c>
      <c r="Y37" s="111">
        <f t="shared" si="35"/>
        <v>0.1227313254055681</v>
      </c>
      <c r="Z37" s="111">
        <f t="shared" si="36"/>
        <v>0.16897059505487341</v>
      </c>
      <c r="AA37" s="111">
        <f t="shared" si="37"/>
        <v>0</v>
      </c>
      <c r="AB37" s="208">
        <v>0</v>
      </c>
      <c r="AE37" s="208"/>
      <c r="AF37" s="208">
        <v>1142903</v>
      </c>
      <c r="AG37" s="208">
        <v>1623013</v>
      </c>
      <c r="AH37" s="208"/>
      <c r="AI37" s="115">
        <f t="shared" si="53"/>
        <v>2765916</v>
      </c>
      <c r="AJ37" s="110">
        <f t="shared" si="54"/>
        <v>45.282755685073916</v>
      </c>
      <c r="AK37" s="208">
        <v>108997</v>
      </c>
      <c r="AL37" s="208">
        <v>1106</v>
      </c>
      <c r="AM37" s="208">
        <v>25722</v>
      </c>
      <c r="AN37" s="208"/>
      <c r="AO37" s="115">
        <f t="shared" si="38"/>
        <v>25722</v>
      </c>
      <c r="AP37" s="208">
        <v>1758838</v>
      </c>
      <c r="AQ37" s="112">
        <f t="shared" si="55"/>
        <v>28.795173621911889</v>
      </c>
      <c r="AR37" s="208"/>
      <c r="AS37" s="222">
        <v>30500</v>
      </c>
      <c r="AT37" s="208">
        <v>0</v>
      </c>
      <c r="AU37" s="222">
        <v>0</v>
      </c>
      <c r="AV37" s="222">
        <v>0</v>
      </c>
      <c r="AW37" s="208"/>
      <c r="AX37" s="222">
        <v>0</v>
      </c>
      <c r="AY37" s="115">
        <f t="shared" si="39"/>
        <v>30500</v>
      </c>
      <c r="AZ37" s="206">
        <v>101035</v>
      </c>
      <c r="BA37" s="109">
        <f t="shared" si="56"/>
        <v>1.6541150275863199</v>
      </c>
      <c r="BB37" s="223">
        <v>2469</v>
      </c>
      <c r="BC37" s="223">
        <v>2469</v>
      </c>
      <c r="BD37" s="223">
        <v>6884</v>
      </c>
      <c r="BE37" s="223">
        <v>2067</v>
      </c>
      <c r="BF37" s="223">
        <v>107580</v>
      </c>
      <c r="BG37" s="223">
        <v>5</v>
      </c>
      <c r="BH37" s="223">
        <v>89</v>
      </c>
      <c r="BI37" s="206">
        <v>0</v>
      </c>
      <c r="BJ37" s="116">
        <f t="shared" si="40"/>
        <v>94</v>
      </c>
      <c r="BK37" s="223">
        <v>238880</v>
      </c>
      <c r="BL37" s="109">
        <f t="shared" si="57"/>
        <v>3.9108724480607719</v>
      </c>
      <c r="BM37" s="223">
        <v>43</v>
      </c>
      <c r="BN37" s="206">
        <v>20498</v>
      </c>
      <c r="BO37" s="109">
        <f t="shared" si="58"/>
        <v>0.33558717113341302</v>
      </c>
      <c r="BP37" s="206">
        <v>26759</v>
      </c>
      <c r="BQ37" s="206">
        <v>0</v>
      </c>
      <c r="BR37" s="230">
        <f t="shared" si="41"/>
        <v>98642</v>
      </c>
      <c r="BS37" s="230">
        <v>22835</v>
      </c>
      <c r="BT37" s="223">
        <v>121477</v>
      </c>
      <c r="BU37" s="109">
        <f t="shared" si="59"/>
        <v>1.9887853833434292</v>
      </c>
      <c r="BV37" s="108">
        <v>0</v>
      </c>
      <c r="BW37" s="109">
        <f t="shared" si="60"/>
        <v>21.189080760509331</v>
      </c>
      <c r="BX37" s="109">
        <f t="shared" si="61"/>
        <v>0.79026392656635247</v>
      </c>
      <c r="BY37" s="109">
        <f t="shared" si="69"/>
        <v>0.508527294038848</v>
      </c>
      <c r="BZ37" s="206">
        <v>222</v>
      </c>
      <c r="CA37" s="206">
        <v>24</v>
      </c>
      <c r="CB37" s="206">
        <v>255</v>
      </c>
      <c r="CC37" s="113">
        <f t="shared" si="44"/>
        <v>501</v>
      </c>
      <c r="CD37" s="206">
        <v>4931</v>
      </c>
      <c r="CE37" s="206">
        <v>160</v>
      </c>
      <c r="CF37" s="206">
        <v>2138</v>
      </c>
      <c r="CG37" s="116">
        <f t="shared" si="45"/>
        <v>7229</v>
      </c>
      <c r="CH37" s="109">
        <f t="shared" si="62"/>
        <v>0.11835104205890538</v>
      </c>
      <c r="CI37" s="206">
        <v>153717</v>
      </c>
      <c r="CJ37" s="109">
        <f t="shared" si="63"/>
        <v>2.5166090928439284</v>
      </c>
      <c r="CK37" s="223">
        <v>14087</v>
      </c>
      <c r="CL37" s="209" t="s">
        <v>7</v>
      </c>
      <c r="CM37" s="209" t="s">
        <v>7</v>
      </c>
      <c r="CN37" s="209" t="s">
        <v>7</v>
      </c>
      <c r="CO37" s="210">
        <v>5.6</v>
      </c>
      <c r="CP37" s="210">
        <v>0</v>
      </c>
      <c r="CQ37" s="210">
        <v>0</v>
      </c>
      <c r="CR37" s="210">
        <v>9.5</v>
      </c>
      <c r="CS37" s="180">
        <f t="shared" si="46"/>
        <v>15.1</v>
      </c>
      <c r="CT37" s="108">
        <v>0</v>
      </c>
      <c r="CU37" s="206">
        <v>443</v>
      </c>
      <c r="CV37" s="208">
        <v>65000</v>
      </c>
      <c r="CW37" s="210">
        <v>6</v>
      </c>
      <c r="CX37" s="209" t="s">
        <v>7</v>
      </c>
      <c r="CY37" s="209" t="s">
        <v>8</v>
      </c>
      <c r="CZ37" s="206">
        <v>10527</v>
      </c>
      <c r="DA37" s="206">
        <v>5164</v>
      </c>
      <c r="DB37" s="206">
        <v>47</v>
      </c>
      <c r="DC37" s="206">
        <v>24356</v>
      </c>
      <c r="DD37" s="206">
        <v>34977</v>
      </c>
      <c r="DE37" s="206" t="s">
        <v>1115</v>
      </c>
      <c r="DF37" s="206">
        <v>7644</v>
      </c>
      <c r="DG37" s="206">
        <v>44</v>
      </c>
      <c r="DH37" s="210">
        <f t="shared" si="64"/>
        <v>0.12514529886544098</v>
      </c>
      <c r="DI37" s="206">
        <v>16</v>
      </c>
      <c r="DJ37" s="206">
        <v>16</v>
      </c>
      <c r="DL37" s="347">
        <v>5733</v>
      </c>
      <c r="DM37" s="205"/>
      <c r="DN37" s="209" t="s">
        <v>1067</v>
      </c>
      <c r="DO37" s="209" t="s">
        <v>125</v>
      </c>
      <c r="DP37" s="209"/>
      <c r="DQ37" s="207"/>
      <c r="DR37" s="218" t="s">
        <v>991</v>
      </c>
      <c r="DS37" s="205" t="s">
        <v>991</v>
      </c>
      <c r="DT37" s="229">
        <v>43282</v>
      </c>
      <c r="DU37" s="229">
        <v>43646</v>
      </c>
      <c r="DV37" s="218" t="s">
        <v>991</v>
      </c>
      <c r="DW37" s="109">
        <f t="shared" si="65"/>
        <v>0.43809040454478482</v>
      </c>
      <c r="DX37" s="109">
        <f t="shared" si="66"/>
        <v>0</v>
      </c>
      <c r="DY37" s="109">
        <f t="shared" si="67"/>
        <v>1.6149375419524894</v>
      </c>
      <c r="DZ37" s="109">
        <f t="shared" si="68"/>
        <v>0.37384784139093991</v>
      </c>
      <c r="EA37" s="110">
        <f t="shared" si="48"/>
        <v>0.71201984035215027</v>
      </c>
      <c r="EB37" s="200">
        <v>0</v>
      </c>
    </row>
    <row r="38" spans="1:132" ht="17" thickBot="1">
      <c r="A38" s="218" t="s">
        <v>992</v>
      </c>
      <c r="B38" s="342" t="s">
        <v>1208</v>
      </c>
      <c r="C38" s="347">
        <v>425703</v>
      </c>
      <c r="D38" s="207">
        <v>7</v>
      </c>
      <c r="E38" s="207">
        <v>0</v>
      </c>
      <c r="F38" s="206">
        <v>177988</v>
      </c>
      <c r="H38" s="108">
        <f t="shared" si="0"/>
        <v>177988</v>
      </c>
      <c r="I38" s="109">
        <v>0.42072999999999999</v>
      </c>
      <c r="J38" s="208">
        <v>4709660</v>
      </c>
      <c r="K38" s="208">
        <v>1854337</v>
      </c>
      <c r="L38" s="115">
        <f t="shared" si="33"/>
        <v>6563997</v>
      </c>
      <c r="M38" s="110">
        <f t="shared" si="50"/>
        <v>15.419193663187716</v>
      </c>
      <c r="N38" s="208">
        <v>343199</v>
      </c>
      <c r="O38" s="208">
        <v>325727</v>
      </c>
      <c r="P38" s="222">
        <v>122232</v>
      </c>
      <c r="Q38" s="115">
        <v>791158</v>
      </c>
      <c r="R38" s="110">
        <f t="shared" si="51"/>
        <v>1.8584741004878989</v>
      </c>
      <c r="S38" s="222">
        <v>1600021</v>
      </c>
      <c r="T38" s="208">
        <v>8955176</v>
      </c>
      <c r="U38" s="208">
        <v>0</v>
      </c>
      <c r="V38" s="208">
        <v>8955176</v>
      </c>
      <c r="W38" s="110">
        <f t="shared" si="52"/>
        <v>21.03620599338036</v>
      </c>
      <c r="X38" s="111">
        <f t="shared" si="34"/>
        <v>0.73298358401889585</v>
      </c>
      <c r="Y38" s="111">
        <f t="shared" si="35"/>
        <v>8.8346449025680784E-2</v>
      </c>
      <c r="Z38" s="111">
        <f t="shared" si="36"/>
        <v>0.17866996695542331</v>
      </c>
      <c r="AA38" s="111">
        <f t="shared" si="37"/>
        <v>0</v>
      </c>
      <c r="AB38" s="208">
        <v>0</v>
      </c>
      <c r="AE38" s="208"/>
      <c r="AF38" s="208">
        <v>8955176</v>
      </c>
      <c r="AG38" s="208">
        <v>1356847</v>
      </c>
      <c r="AH38" s="208"/>
      <c r="AI38" s="115">
        <f t="shared" si="53"/>
        <v>10312023</v>
      </c>
      <c r="AJ38" s="110">
        <f t="shared" si="54"/>
        <v>24.223514985799959</v>
      </c>
      <c r="AK38" s="208">
        <v>337505</v>
      </c>
      <c r="AL38" s="208">
        <v>0</v>
      </c>
      <c r="AM38" s="208">
        <v>189700</v>
      </c>
      <c r="AN38" s="208"/>
      <c r="AO38" s="115">
        <f t="shared" si="38"/>
        <v>189700</v>
      </c>
      <c r="AP38" s="208">
        <v>9805801</v>
      </c>
      <c r="AQ38" s="112">
        <f t="shared" si="55"/>
        <v>23.034371380986276</v>
      </c>
      <c r="AR38" s="208"/>
      <c r="AS38" s="222">
        <v>0</v>
      </c>
      <c r="AT38" s="208">
        <v>0</v>
      </c>
      <c r="AU38" s="222">
        <v>0</v>
      </c>
      <c r="AV38" s="222">
        <v>0</v>
      </c>
      <c r="AW38" s="208"/>
      <c r="AX38" s="222">
        <v>0</v>
      </c>
      <c r="AY38" s="115">
        <f t="shared" si="39"/>
        <v>0</v>
      </c>
      <c r="AZ38" s="206">
        <v>506003</v>
      </c>
      <c r="BA38" s="109">
        <f t="shared" si="56"/>
        <v>1.1886291616455604</v>
      </c>
      <c r="BB38" s="223">
        <v>23584</v>
      </c>
      <c r="BC38" s="223">
        <v>23584</v>
      </c>
      <c r="BD38" s="223">
        <v>71156</v>
      </c>
      <c r="BE38" s="223">
        <v>2429</v>
      </c>
      <c r="BF38" s="223">
        <v>194010</v>
      </c>
      <c r="BG38" s="223">
        <v>13</v>
      </c>
      <c r="BH38" s="223">
        <v>89</v>
      </c>
      <c r="BI38" s="206">
        <v>0</v>
      </c>
      <c r="BJ38" s="116">
        <f t="shared" si="40"/>
        <v>102</v>
      </c>
      <c r="BK38" s="223">
        <v>860040</v>
      </c>
      <c r="BL38" s="109">
        <f t="shared" si="57"/>
        <v>2.0202817457241316</v>
      </c>
      <c r="BM38" s="223">
        <v>652</v>
      </c>
      <c r="BN38" s="206">
        <v>96733</v>
      </c>
      <c r="BO38" s="109">
        <f t="shared" si="58"/>
        <v>0.22723119169937728</v>
      </c>
      <c r="BP38" s="206">
        <v>506856</v>
      </c>
      <c r="BQ38" s="206">
        <v>0</v>
      </c>
      <c r="BR38" s="230">
        <f t="shared" si="41"/>
        <v>906697</v>
      </c>
      <c r="BS38" s="230">
        <v>877870</v>
      </c>
      <c r="BT38" s="223">
        <v>1784567</v>
      </c>
      <c r="BU38" s="109">
        <f t="shared" si="59"/>
        <v>4.1920470374885781</v>
      </c>
      <c r="BV38" s="108">
        <f t="shared" ref="BV38:BV71" si="70">BT38/CS38</f>
        <v>18071.564556962025</v>
      </c>
      <c r="BW38" s="109">
        <f t="shared" si="60"/>
        <v>87.87507386251724</v>
      </c>
      <c r="BX38" s="109">
        <f t="shared" si="61"/>
        <v>1.1045573271273303</v>
      </c>
      <c r="BY38" s="109">
        <f t="shared" si="69"/>
        <v>2.0749813962141297</v>
      </c>
      <c r="BZ38" s="206">
        <v>1583</v>
      </c>
      <c r="CA38" s="206">
        <v>177</v>
      </c>
      <c r="CB38" s="206">
        <v>926</v>
      </c>
      <c r="CC38" s="113">
        <f t="shared" si="44"/>
        <v>2686</v>
      </c>
      <c r="CD38" s="206">
        <v>40937</v>
      </c>
      <c r="CE38" s="206">
        <v>3008</v>
      </c>
      <c r="CF38" s="206">
        <v>10818</v>
      </c>
      <c r="CG38" s="116">
        <f t="shared" si="45"/>
        <v>54763</v>
      </c>
      <c r="CH38" s="109">
        <f t="shared" si="62"/>
        <v>0.12864132975337267</v>
      </c>
      <c r="CI38" s="206">
        <v>1615640</v>
      </c>
      <c r="CJ38" s="109">
        <f t="shared" si="63"/>
        <v>3.795228128530924</v>
      </c>
      <c r="CK38" s="223">
        <v>352979</v>
      </c>
      <c r="CL38" s="209" t="s">
        <v>7</v>
      </c>
      <c r="CM38" s="209" t="s">
        <v>7</v>
      </c>
      <c r="CN38" s="209" t="s">
        <v>7</v>
      </c>
      <c r="CO38" s="210">
        <v>34</v>
      </c>
      <c r="CP38" s="108">
        <f>C38/CO38</f>
        <v>12520.676470588236</v>
      </c>
      <c r="CQ38" s="210">
        <v>6</v>
      </c>
      <c r="CR38" s="210">
        <v>58.75</v>
      </c>
      <c r="CS38" s="180">
        <f t="shared" si="46"/>
        <v>98.75</v>
      </c>
      <c r="CT38" s="108">
        <f t="shared" ref="CT38:CT71" si="71">C38/CS38</f>
        <v>4310.9164556962023</v>
      </c>
      <c r="CU38" s="206">
        <v>8840</v>
      </c>
      <c r="CV38" s="208">
        <v>124943</v>
      </c>
      <c r="CW38" s="210">
        <v>40</v>
      </c>
      <c r="CX38" s="209" t="s">
        <v>7</v>
      </c>
      <c r="CY38" s="209" t="s">
        <v>7</v>
      </c>
      <c r="CZ38" s="206">
        <v>346</v>
      </c>
      <c r="DA38" s="206">
        <v>623</v>
      </c>
      <c r="DB38" s="206">
        <v>299</v>
      </c>
      <c r="DC38" s="206">
        <v>189404</v>
      </c>
      <c r="DD38" s="206">
        <v>-1</v>
      </c>
      <c r="DE38" s="206">
        <v>2089218</v>
      </c>
      <c r="DF38" s="206">
        <v>28297</v>
      </c>
      <c r="DG38" s="206">
        <v>52</v>
      </c>
      <c r="DH38" s="210">
        <f t="shared" si="64"/>
        <v>6.6471225243890694E-2</v>
      </c>
      <c r="DI38" s="206">
        <v>41</v>
      </c>
      <c r="DJ38" s="206">
        <v>41</v>
      </c>
      <c r="DL38" s="347">
        <v>20308</v>
      </c>
      <c r="DM38" s="205"/>
      <c r="DN38" s="209" t="s">
        <v>1068</v>
      </c>
      <c r="DO38" s="209" t="s">
        <v>125</v>
      </c>
      <c r="DP38" s="209"/>
      <c r="DQ38" s="207"/>
      <c r="DR38" s="218" t="s">
        <v>992</v>
      </c>
      <c r="DS38" s="205" t="s">
        <v>992</v>
      </c>
      <c r="DT38" s="229">
        <v>43282</v>
      </c>
      <c r="DU38" s="229">
        <v>43646</v>
      </c>
      <c r="DV38" s="218" t="s">
        <v>992</v>
      </c>
      <c r="DW38" s="109">
        <f t="shared" si="65"/>
        <v>1.1906329060401266</v>
      </c>
      <c r="DX38" s="109">
        <f t="shared" si="66"/>
        <v>0</v>
      </c>
      <c r="DY38" s="109">
        <f t="shared" si="67"/>
        <v>2.1298816310902202</v>
      </c>
      <c r="DZ38" s="109">
        <f t="shared" si="68"/>
        <v>2.0621654063983574</v>
      </c>
      <c r="EA38" s="110">
        <f t="shared" ref="EA38:EA69" si="72">N38/(BP38+BR38)</f>
        <v>0.24279174533958048</v>
      </c>
      <c r="EB38" s="200">
        <f t="shared" si="47"/>
        <v>0.3710424094683723</v>
      </c>
    </row>
    <row r="39" spans="1:132" ht="17" thickBot="1">
      <c r="A39" s="218" t="s">
        <v>993</v>
      </c>
      <c r="B39" s="342" t="s">
        <v>1209</v>
      </c>
      <c r="C39" s="347">
        <v>36638</v>
      </c>
      <c r="D39" s="207">
        <v>4</v>
      </c>
      <c r="E39" s="207">
        <v>0</v>
      </c>
      <c r="F39" s="206">
        <v>28109</v>
      </c>
      <c r="H39" s="108">
        <f t="shared" si="0"/>
        <v>28109</v>
      </c>
      <c r="I39" s="109">
        <v>0.80908999999999998</v>
      </c>
      <c r="J39" s="208">
        <v>372571</v>
      </c>
      <c r="K39" s="208">
        <v>161287</v>
      </c>
      <c r="L39" s="115">
        <f t="shared" si="33"/>
        <v>533858</v>
      </c>
      <c r="M39" s="110">
        <f t="shared" si="50"/>
        <v>14.571155630765871</v>
      </c>
      <c r="N39" s="208">
        <v>60349</v>
      </c>
      <c r="O39" s="208">
        <v>8119</v>
      </c>
      <c r="P39" s="222">
        <v>1500</v>
      </c>
      <c r="Q39" s="115">
        <v>69968</v>
      </c>
      <c r="R39" s="110">
        <f t="shared" si="51"/>
        <v>1.9097112287788636</v>
      </c>
      <c r="S39" s="222">
        <v>102376</v>
      </c>
      <c r="T39" s="208">
        <v>706202</v>
      </c>
      <c r="U39" s="208">
        <v>0</v>
      </c>
      <c r="V39" s="208">
        <v>706202</v>
      </c>
      <c r="W39" s="110">
        <f t="shared" si="52"/>
        <v>19.275124188001527</v>
      </c>
      <c r="X39" s="111">
        <f t="shared" si="34"/>
        <v>0.75595651102659012</v>
      </c>
      <c r="Y39" s="111">
        <f t="shared" si="35"/>
        <v>9.9076468205980719E-2</v>
      </c>
      <c r="Z39" s="111">
        <f t="shared" si="36"/>
        <v>0.14496702076742915</v>
      </c>
      <c r="AA39" s="111">
        <f t="shared" si="37"/>
        <v>0</v>
      </c>
      <c r="AB39" s="208">
        <v>37956</v>
      </c>
      <c r="AE39" s="208"/>
      <c r="AF39" s="208">
        <v>706202</v>
      </c>
      <c r="AG39" s="208">
        <v>647845</v>
      </c>
      <c r="AH39" s="208"/>
      <c r="AI39" s="115">
        <f t="shared" si="53"/>
        <v>1354047</v>
      </c>
      <c r="AJ39" s="110">
        <f t="shared" si="54"/>
        <v>36.957448550685079</v>
      </c>
      <c r="AK39" s="208">
        <v>96921</v>
      </c>
      <c r="AL39" s="208">
        <v>2427</v>
      </c>
      <c r="AM39" s="208">
        <v>9970</v>
      </c>
      <c r="AN39" s="208"/>
      <c r="AO39" s="115">
        <f t="shared" si="38"/>
        <v>9970</v>
      </c>
      <c r="AP39" s="208">
        <v>814200</v>
      </c>
      <c r="AQ39" s="112">
        <f t="shared" si="55"/>
        <v>22.222828757028221</v>
      </c>
      <c r="AR39" s="208"/>
      <c r="AS39" s="222">
        <v>46823</v>
      </c>
      <c r="AT39" s="208">
        <v>0</v>
      </c>
      <c r="AU39" s="222">
        <v>0</v>
      </c>
      <c r="AV39" s="222">
        <v>0</v>
      </c>
      <c r="AW39" s="208"/>
      <c r="AX39" s="222">
        <v>0</v>
      </c>
      <c r="AY39" s="115">
        <f t="shared" si="39"/>
        <v>46823</v>
      </c>
      <c r="AZ39" s="206">
        <v>80539</v>
      </c>
      <c r="BA39" s="109">
        <f t="shared" si="56"/>
        <v>2.1982368033189585</v>
      </c>
      <c r="BB39" s="223">
        <v>1046</v>
      </c>
      <c r="BC39" s="223">
        <v>1046</v>
      </c>
      <c r="BD39" s="223">
        <v>219</v>
      </c>
      <c r="BE39" s="223">
        <v>2067</v>
      </c>
      <c r="BF39" s="223">
        <v>107580</v>
      </c>
      <c r="BG39" s="223">
        <v>1</v>
      </c>
      <c r="BH39" s="223">
        <v>89</v>
      </c>
      <c r="BI39" s="206">
        <v>0</v>
      </c>
      <c r="BJ39" s="116">
        <f t="shared" si="40"/>
        <v>90</v>
      </c>
      <c r="BK39" s="223">
        <v>209400</v>
      </c>
      <c r="BL39" s="109">
        <f t="shared" si="57"/>
        <v>5.7153774769365144</v>
      </c>
      <c r="BM39" s="223">
        <v>0</v>
      </c>
      <c r="BN39" s="206">
        <v>38080</v>
      </c>
      <c r="BO39" s="109">
        <f t="shared" si="58"/>
        <v>1.0393580435613297</v>
      </c>
      <c r="BP39" s="206">
        <v>7322</v>
      </c>
      <c r="BQ39" s="206">
        <v>0</v>
      </c>
      <c r="BR39" s="230">
        <f t="shared" si="41"/>
        <v>24102</v>
      </c>
      <c r="BS39" s="230">
        <v>3286</v>
      </c>
      <c r="BT39" s="223">
        <v>27388</v>
      </c>
      <c r="BU39" s="109">
        <f t="shared" si="59"/>
        <v>0.74752988700256562</v>
      </c>
      <c r="BV39" s="108">
        <f t="shared" si="70"/>
        <v>2489.818181818182</v>
      </c>
      <c r="BW39" s="109">
        <f t="shared" si="60"/>
        <v>3.1080344984112576</v>
      </c>
      <c r="BX39" s="109">
        <f t="shared" si="61"/>
        <v>0.63712285109451694</v>
      </c>
      <c r="BY39" s="109">
        <f t="shared" si="69"/>
        <v>0.13079274116523401</v>
      </c>
      <c r="BZ39" s="206">
        <v>134</v>
      </c>
      <c r="CA39" s="206">
        <v>19</v>
      </c>
      <c r="CB39" s="206">
        <v>169</v>
      </c>
      <c r="CC39" s="113">
        <f t="shared" si="44"/>
        <v>322</v>
      </c>
      <c r="CD39" s="206">
        <v>5032</v>
      </c>
      <c r="CE39" s="206">
        <v>182</v>
      </c>
      <c r="CF39" s="206">
        <v>3859</v>
      </c>
      <c r="CG39" s="116">
        <f t="shared" si="45"/>
        <v>9073</v>
      </c>
      <c r="CH39" s="109">
        <f t="shared" si="62"/>
        <v>0.24763906326764562</v>
      </c>
      <c r="CI39" s="206">
        <v>42987</v>
      </c>
      <c r="CJ39" s="109">
        <f t="shared" si="63"/>
        <v>1.1732900267481849</v>
      </c>
      <c r="CK39" s="223">
        <v>6774</v>
      </c>
      <c r="CL39" s="209" t="s">
        <v>7</v>
      </c>
      <c r="CM39" s="209" t="s">
        <v>7</v>
      </c>
      <c r="CN39" s="209" t="s">
        <v>7</v>
      </c>
      <c r="CO39" s="210">
        <v>1</v>
      </c>
      <c r="CP39" s="108">
        <f>C39/CO39</f>
        <v>36638</v>
      </c>
      <c r="CQ39" s="210">
        <v>0</v>
      </c>
      <c r="CR39" s="210">
        <v>10</v>
      </c>
      <c r="CS39" s="180">
        <f t="shared" si="46"/>
        <v>11</v>
      </c>
      <c r="CT39" s="108">
        <f t="shared" si="71"/>
        <v>3330.7272727272725</v>
      </c>
      <c r="CU39" s="206">
        <v>2000</v>
      </c>
      <c r="CV39" s="208">
        <v>78436</v>
      </c>
      <c r="CW39" s="210">
        <v>40</v>
      </c>
      <c r="CX39" s="209" t="s">
        <v>7</v>
      </c>
      <c r="CY39" s="209" t="s">
        <v>7</v>
      </c>
      <c r="CZ39" s="206">
        <v>4000</v>
      </c>
      <c r="DA39" s="206">
        <v>656</v>
      </c>
      <c r="DB39" s="206">
        <v>50</v>
      </c>
      <c r="DC39" s="206">
        <v>15161</v>
      </c>
      <c r="DD39" s="206" t="s">
        <v>1115</v>
      </c>
      <c r="DE39" s="206">
        <v>3848</v>
      </c>
      <c r="DF39" s="206">
        <v>12398</v>
      </c>
      <c r="DG39" s="206">
        <v>52</v>
      </c>
      <c r="DH39" s="210">
        <f t="shared" si="64"/>
        <v>0.33839183361537201</v>
      </c>
      <c r="DI39" s="206">
        <v>56</v>
      </c>
      <c r="DJ39" s="206">
        <v>56</v>
      </c>
      <c r="DL39" s="347">
        <v>8812</v>
      </c>
      <c r="DM39" s="205"/>
      <c r="DN39" s="209" t="s">
        <v>1069</v>
      </c>
      <c r="DO39" s="209" t="s">
        <v>125</v>
      </c>
      <c r="DP39" s="209"/>
      <c r="DQ39" s="207"/>
      <c r="DR39" s="218" t="s">
        <v>993</v>
      </c>
      <c r="DS39" s="205" t="s">
        <v>993</v>
      </c>
      <c r="DT39" s="229">
        <v>43282</v>
      </c>
      <c r="DU39" s="229">
        <v>43646</v>
      </c>
      <c r="DV39" s="218" t="s">
        <v>993</v>
      </c>
      <c r="DW39" s="109">
        <f t="shared" si="65"/>
        <v>0.19984715322888805</v>
      </c>
      <c r="DX39" s="109">
        <f t="shared" si="66"/>
        <v>0</v>
      </c>
      <c r="DY39" s="109">
        <f t="shared" si="67"/>
        <v>0.65784158523936898</v>
      </c>
      <c r="DZ39" s="109">
        <f t="shared" si="68"/>
        <v>8.9688301763196684E-2</v>
      </c>
      <c r="EA39" s="110">
        <f t="shared" si="72"/>
        <v>1.9204747963340123</v>
      </c>
      <c r="EB39" s="200">
        <f t="shared" si="47"/>
        <v>2.4707851491174679</v>
      </c>
    </row>
    <row r="40" spans="1:132" ht="17" thickBot="1">
      <c r="A40" s="218" t="s">
        <v>994</v>
      </c>
      <c r="B40" s="342" t="s">
        <v>1210</v>
      </c>
      <c r="C40" s="347">
        <v>134906</v>
      </c>
      <c r="D40" s="207">
        <v>6</v>
      </c>
      <c r="E40" s="207">
        <v>0</v>
      </c>
      <c r="F40" s="206">
        <v>32745</v>
      </c>
      <c r="H40" s="108">
        <f t="shared" si="0"/>
        <v>32745</v>
      </c>
      <c r="I40" s="109">
        <v>0.24460000000000001</v>
      </c>
      <c r="J40" s="208">
        <v>903188</v>
      </c>
      <c r="K40" s="208">
        <v>334756</v>
      </c>
      <c r="L40" s="115">
        <f t="shared" si="33"/>
        <v>1237944</v>
      </c>
      <c r="M40" s="110">
        <f t="shared" si="50"/>
        <v>9.1763450105999738</v>
      </c>
      <c r="N40" s="208">
        <v>123418</v>
      </c>
      <c r="O40" s="208">
        <v>38648</v>
      </c>
      <c r="P40" s="222">
        <v>16180</v>
      </c>
      <c r="Q40" s="115">
        <v>178246</v>
      </c>
      <c r="R40" s="110">
        <f t="shared" si="51"/>
        <v>1.3212607296932679</v>
      </c>
      <c r="S40" s="222">
        <v>183563</v>
      </c>
      <c r="T40" s="208">
        <v>1599753</v>
      </c>
      <c r="U40" s="208">
        <v>0</v>
      </c>
      <c r="V40" s="208">
        <v>1599753</v>
      </c>
      <c r="W40" s="110">
        <f t="shared" si="52"/>
        <v>11.858279098038635</v>
      </c>
      <c r="X40" s="111">
        <f t="shared" si="34"/>
        <v>0.77383446069486972</v>
      </c>
      <c r="Y40" s="111">
        <f t="shared" si="35"/>
        <v>0.11142095060925031</v>
      </c>
      <c r="Z40" s="111">
        <f t="shared" si="36"/>
        <v>0.11474458869587993</v>
      </c>
      <c r="AA40" s="111">
        <f t="shared" si="37"/>
        <v>0</v>
      </c>
      <c r="AB40" s="208">
        <v>0</v>
      </c>
      <c r="AE40" s="208"/>
      <c r="AF40" s="208">
        <v>1599753</v>
      </c>
      <c r="AG40" s="208">
        <v>1056776</v>
      </c>
      <c r="AH40" s="208"/>
      <c r="AI40" s="115">
        <f t="shared" si="53"/>
        <v>2656529</v>
      </c>
      <c r="AJ40" s="110">
        <f t="shared" si="54"/>
        <v>19.691703853053237</v>
      </c>
      <c r="AK40" s="208">
        <v>174301</v>
      </c>
      <c r="AL40" s="208">
        <v>7467</v>
      </c>
      <c r="AM40" s="208">
        <v>23418</v>
      </c>
      <c r="AN40" s="208"/>
      <c r="AO40" s="115">
        <f t="shared" si="38"/>
        <v>23418</v>
      </c>
      <c r="AP40" s="208">
        <v>1803704</v>
      </c>
      <c r="AQ40" s="112">
        <f t="shared" si="55"/>
        <v>13.370079907491142</v>
      </c>
      <c r="AR40" s="208"/>
      <c r="AS40" s="222">
        <v>0</v>
      </c>
      <c r="AT40" s="208">
        <v>0</v>
      </c>
      <c r="AU40" s="222">
        <v>0</v>
      </c>
      <c r="AV40" s="222">
        <v>0</v>
      </c>
      <c r="AW40" s="208"/>
      <c r="AX40" s="222">
        <v>0</v>
      </c>
      <c r="AY40" s="115">
        <f t="shared" si="39"/>
        <v>0</v>
      </c>
      <c r="AZ40" s="206">
        <v>185095</v>
      </c>
      <c r="BA40" s="109">
        <f t="shared" si="56"/>
        <v>1.3720294130728063</v>
      </c>
      <c r="BB40" s="223">
        <v>4985</v>
      </c>
      <c r="BC40" s="223">
        <v>4985</v>
      </c>
      <c r="BD40" s="223">
        <v>11680</v>
      </c>
      <c r="BE40" s="223">
        <v>2067</v>
      </c>
      <c r="BF40" s="223">
        <v>108593</v>
      </c>
      <c r="BG40" s="223">
        <v>0</v>
      </c>
      <c r="BH40" s="223">
        <v>89</v>
      </c>
      <c r="BI40" s="206">
        <v>0</v>
      </c>
      <c r="BJ40" s="116">
        <f t="shared" si="40"/>
        <v>89</v>
      </c>
      <c r="BK40" s="223">
        <v>332191</v>
      </c>
      <c r="BL40" s="109">
        <f t="shared" si="57"/>
        <v>2.4623886261545076</v>
      </c>
      <c r="BM40" s="223">
        <v>156</v>
      </c>
      <c r="BN40" s="206">
        <v>10592</v>
      </c>
      <c r="BO40" s="109">
        <f t="shared" si="58"/>
        <v>7.8513928216684209E-2</v>
      </c>
      <c r="BP40" s="206">
        <v>108613</v>
      </c>
      <c r="BQ40" s="206">
        <v>0</v>
      </c>
      <c r="BR40" s="230">
        <f t="shared" si="41"/>
        <v>177387</v>
      </c>
      <c r="BS40" s="230">
        <v>86389</v>
      </c>
      <c r="BT40" s="223">
        <v>263776</v>
      </c>
      <c r="BU40" s="109">
        <f t="shared" si="59"/>
        <v>1.9552577350154923</v>
      </c>
      <c r="BV40" s="108">
        <f t="shared" si="70"/>
        <v>8243</v>
      </c>
      <c r="BW40" s="109">
        <f t="shared" si="60"/>
        <v>26.981996726677579</v>
      </c>
      <c r="BX40" s="109">
        <f t="shared" si="61"/>
        <v>1.7884694922264335</v>
      </c>
      <c r="BY40" s="109">
        <f t="shared" si="69"/>
        <v>0.79404920663112488</v>
      </c>
      <c r="BZ40" s="206">
        <v>664</v>
      </c>
      <c r="CA40" s="206">
        <v>30</v>
      </c>
      <c r="CB40" s="206">
        <v>330</v>
      </c>
      <c r="CC40" s="113">
        <f t="shared" si="44"/>
        <v>1024</v>
      </c>
      <c r="CD40" s="206">
        <v>20410</v>
      </c>
      <c r="CE40" s="206">
        <v>232</v>
      </c>
      <c r="CF40" s="206">
        <v>1403</v>
      </c>
      <c r="CG40" s="116">
        <f t="shared" si="45"/>
        <v>22045</v>
      </c>
      <c r="CH40" s="109">
        <f t="shared" si="62"/>
        <v>0.16341007812847463</v>
      </c>
      <c r="CI40" s="206">
        <v>147487</v>
      </c>
      <c r="CJ40" s="109">
        <f t="shared" si="63"/>
        <v>1.0932575274635672</v>
      </c>
      <c r="CK40" s="223">
        <v>52235</v>
      </c>
      <c r="CL40" s="209" t="s">
        <v>7</v>
      </c>
      <c r="CM40" s="209" t="s">
        <v>7</v>
      </c>
      <c r="CN40" s="209" t="s">
        <v>7</v>
      </c>
      <c r="CO40" s="210">
        <v>5</v>
      </c>
      <c r="CP40" s="108">
        <f>C40/CO40</f>
        <v>26981.200000000001</v>
      </c>
      <c r="CQ40" s="210">
        <v>1</v>
      </c>
      <c r="CR40" s="210">
        <v>26</v>
      </c>
      <c r="CS40" s="180">
        <f t="shared" si="46"/>
        <v>32</v>
      </c>
      <c r="CT40" s="108">
        <f t="shared" si="71"/>
        <v>4215.8125</v>
      </c>
      <c r="CU40" s="206">
        <v>329</v>
      </c>
      <c r="CV40" s="208">
        <v>74559</v>
      </c>
      <c r="CW40" s="210">
        <v>40</v>
      </c>
      <c r="CX40" s="209" t="s">
        <v>7</v>
      </c>
      <c r="CY40" s="209" t="s">
        <v>7</v>
      </c>
      <c r="CZ40" s="206">
        <v>11720</v>
      </c>
      <c r="DA40" s="206">
        <v>9959</v>
      </c>
      <c r="DB40" s="206">
        <v>105</v>
      </c>
      <c r="DC40" s="206">
        <v>18801</v>
      </c>
      <c r="DD40" s="206" t="s">
        <v>1115</v>
      </c>
      <c r="DE40" s="206">
        <v>53947</v>
      </c>
      <c r="DF40" s="206">
        <v>12462</v>
      </c>
      <c r="DG40" s="206">
        <v>52</v>
      </c>
      <c r="DH40" s="210">
        <f t="shared" si="64"/>
        <v>9.2375431782129785E-2</v>
      </c>
      <c r="DI40" s="206">
        <v>54</v>
      </c>
      <c r="DJ40" s="206">
        <v>54</v>
      </c>
      <c r="DL40" s="347">
        <v>9776</v>
      </c>
      <c r="DM40" s="205"/>
      <c r="DN40" s="209" t="s">
        <v>1070</v>
      </c>
      <c r="DO40" s="209" t="s">
        <v>125</v>
      </c>
      <c r="DP40" s="209"/>
      <c r="DQ40" s="207"/>
      <c r="DR40" s="218" t="s">
        <v>994</v>
      </c>
      <c r="DS40" s="205" t="s">
        <v>994</v>
      </c>
      <c r="DT40" s="229">
        <v>43282</v>
      </c>
      <c r="DU40" s="229">
        <v>43646</v>
      </c>
      <c r="DV40" s="218" t="s">
        <v>994</v>
      </c>
      <c r="DW40" s="109">
        <f t="shared" si="65"/>
        <v>0.80510132981483407</v>
      </c>
      <c r="DX40" s="109">
        <f t="shared" si="66"/>
        <v>0</v>
      </c>
      <c r="DY40" s="109">
        <f t="shared" si="67"/>
        <v>1.3148933331356649</v>
      </c>
      <c r="DZ40" s="109">
        <f t="shared" si="68"/>
        <v>0.64036440187982746</v>
      </c>
      <c r="EA40" s="110">
        <f t="shared" si="72"/>
        <v>0.43153146853146851</v>
      </c>
      <c r="EB40" s="200">
        <f t="shared" si="47"/>
        <v>0.44737177186910371</v>
      </c>
    </row>
    <row r="41" spans="1:132" ht="33" thickBot="1">
      <c r="A41" s="218" t="s">
        <v>1137</v>
      </c>
      <c r="B41" s="342" t="s">
        <v>1211</v>
      </c>
      <c r="C41" s="347">
        <v>5239</v>
      </c>
      <c r="D41" s="207">
        <v>0</v>
      </c>
      <c r="E41" s="207">
        <v>0</v>
      </c>
      <c r="F41" s="206">
        <v>6000</v>
      </c>
      <c r="H41" s="108">
        <f t="shared" si="0"/>
        <v>6000</v>
      </c>
      <c r="I41" s="109">
        <v>1.1492100000000001</v>
      </c>
      <c r="J41" s="208">
        <v>147400</v>
      </c>
      <c r="K41" s="208">
        <v>36232</v>
      </c>
      <c r="L41" s="115">
        <f t="shared" si="33"/>
        <v>183632</v>
      </c>
      <c r="M41" s="110">
        <f t="shared" si="50"/>
        <v>35.050963924413054</v>
      </c>
      <c r="N41" s="208">
        <v>19349</v>
      </c>
      <c r="O41" s="208">
        <v>3000</v>
      </c>
      <c r="P41" s="222">
        <v>15206</v>
      </c>
      <c r="Q41" s="115">
        <v>37555</v>
      </c>
      <c r="R41" s="110">
        <f t="shared" si="51"/>
        <v>7.1683527390723416</v>
      </c>
      <c r="S41" s="222">
        <v>19324</v>
      </c>
      <c r="T41" s="208">
        <v>240511</v>
      </c>
      <c r="U41" s="208">
        <v>0</v>
      </c>
      <c r="V41" s="208">
        <v>240511</v>
      </c>
      <c r="W41" s="110">
        <f t="shared" si="52"/>
        <v>45.907806833365143</v>
      </c>
      <c r="X41" s="111">
        <f t="shared" si="34"/>
        <v>0.76350769819259823</v>
      </c>
      <c r="Y41" s="111">
        <f t="shared" si="35"/>
        <v>0.15614670430874264</v>
      </c>
      <c r="Z41" s="111">
        <f t="shared" si="36"/>
        <v>8.0345597498659105E-2</v>
      </c>
      <c r="AA41" s="111">
        <f t="shared" si="37"/>
        <v>0</v>
      </c>
      <c r="AB41" s="208">
        <v>0</v>
      </c>
      <c r="AE41" s="208"/>
      <c r="AF41" s="208">
        <v>240511</v>
      </c>
      <c r="AG41" s="208">
        <v>15000</v>
      </c>
      <c r="AH41" s="208"/>
      <c r="AI41" s="115">
        <f t="shared" si="53"/>
        <v>255511</v>
      </c>
      <c r="AJ41" s="110">
        <f t="shared" si="54"/>
        <v>48.770948654323341</v>
      </c>
      <c r="AK41" s="208">
        <v>3565</v>
      </c>
      <c r="AL41" s="208">
        <v>0</v>
      </c>
      <c r="AM41" s="208">
        <v>456</v>
      </c>
      <c r="AN41" s="208"/>
      <c r="AO41" s="115">
        <f t="shared" si="38"/>
        <v>456</v>
      </c>
      <c r="AP41" s="208">
        <v>240511</v>
      </c>
      <c r="AQ41" s="112">
        <f t="shared" si="55"/>
        <v>45.907806833365143</v>
      </c>
      <c r="AR41" s="208"/>
      <c r="AS41" s="222">
        <v>0</v>
      </c>
      <c r="AT41" s="208">
        <v>0</v>
      </c>
      <c r="AU41" s="222">
        <v>0</v>
      </c>
      <c r="AV41" s="222">
        <v>0</v>
      </c>
      <c r="AW41" s="208"/>
      <c r="AX41" s="222">
        <v>0</v>
      </c>
      <c r="AY41" s="115">
        <f t="shared" si="39"/>
        <v>0</v>
      </c>
      <c r="AZ41" s="206">
        <v>17169</v>
      </c>
      <c r="BA41" s="109">
        <f t="shared" si="56"/>
        <v>3.2771521282687535</v>
      </c>
      <c r="BB41" s="223">
        <v>607</v>
      </c>
      <c r="BC41" s="223">
        <v>607</v>
      </c>
      <c r="BD41" s="223">
        <v>1950</v>
      </c>
      <c r="BE41" s="223">
        <v>2067</v>
      </c>
      <c r="BF41" s="223">
        <v>107580</v>
      </c>
      <c r="BG41" s="223">
        <v>-1</v>
      </c>
      <c r="BH41" s="223">
        <v>89</v>
      </c>
      <c r="BI41" s="206">
        <v>0</v>
      </c>
      <c r="BJ41" s="116">
        <f t="shared" si="40"/>
        <v>88</v>
      </c>
      <c r="BK41" s="223">
        <v>146417</v>
      </c>
      <c r="BL41" s="109">
        <f t="shared" si="57"/>
        <v>27.947509066615766</v>
      </c>
      <c r="BM41" s="223">
        <v>21</v>
      </c>
      <c r="BN41" s="206">
        <v>2430</v>
      </c>
      <c r="BO41" s="109">
        <f t="shared" si="58"/>
        <v>0.46382897499522807</v>
      </c>
      <c r="BP41" s="206">
        <v>10926</v>
      </c>
      <c r="BQ41" s="206">
        <v>0</v>
      </c>
      <c r="BR41" s="230">
        <f t="shared" si="41"/>
        <v>29601</v>
      </c>
      <c r="BS41" s="230">
        <v>3448</v>
      </c>
      <c r="BT41" s="223">
        <v>33049</v>
      </c>
      <c r="BU41" s="109">
        <f t="shared" si="59"/>
        <v>6.3082649360564993</v>
      </c>
      <c r="BV41" s="108">
        <f t="shared" si="70"/>
        <v>6609.8</v>
      </c>
      <c r="BW41" s="109">
        <f t="shared" si="60"/>
        <v>16.5245</v>
      </c>
      <c r="BX41" s="109">
        <f t="shared" si="61"/>
        <v>0.98789382435583184</v>
      </c>
      <c r="BY41" s="109">
        <f t="shared" si="69"/>
        <v>0.22571832505788261</v>
      </c>
      <c r="BZ41" s="206">
        <v>108</v>
      </c>
      <c r="CA41" s="206">
        <v>2</v>
      </c>
      <c r="CB41" s="206">
        <v>58</v>
      </c>
      <c r="CC41" s="113">
        <f t="shared" si="44"/>
        <v>168</v>
      </c>
      <c r="CD41" s="206">
        <v>2111</v>
      </c>
      <c r="CE41" s="206">
        <v>9</v>
      </c>
      <c r="CF41" s="206">
        <v>1175</v>
      </c>
      <c r="CG41" s="116">
        <f t="shared" si="45"/>
        <v>3295</v>
      </c>
      <c r="CH41" s="109">
        <f t="shared" si="62"/>
        <v>0.62893682000381756</v>
      </c>
      <c r="CI41" s="206">
        <v>33454</v>
      </c>
      <c r="CJ41" s="109">
        <f t="shared" si="63"/>
        <v>6.3855697652223711</v>
      </c>
      <c r="CK41" s="223">
        <v>3433</v>
      </c>
      <c r="CL41" s="209" t="s">
        <v>7</v>
      </c>
      <c r="CM41" s="209" t="s">
        <v>7</v>
      </c>
      <c r="CN41" s="209" t="s">
        <v>7</v>
      </c>
      <c r="CO41" s="210">
        <v>1</v>
      </c>
      <c r="CP41" s="210">
        <v>0</v>
      </c>
      <c r="CQ41" s="210">
        <v>0</v>
      </c>
      <c r="CR41" s="210">
        <v>4</v>
      </c>
      <c r="CS41" s="180">
        <f t="shared" si="46"/>
        <v>5</v>
      </c>
      <c r="CT41" s="108">
        <f t="shared" si="71"/>
        <v>1047.8</v>
      </c>
      <c r="CU41" s="206">
        <v>100</v>
      </c>
      <c r="CV41" s="208">
        <v>47804</v>
      </c>
      <c r="CW41" s="210">
        <v>40</v>
      </c>
      <c r="CX41" s="209" t="s">
        <v>7</v>
      </c>
      <c r="CY41" s="209" t="s">
        <v>7</v>
      </c>
      <c r="CZ41" s="206">
        <v>2566</v>
      </c>
      <c r="DA41" s="206">
        <v>1140</v>
      </c>
      <c r="DB41" s="206">
        <v>18</v>
      </c>
      <c r="DC41" s="206">
        <v>4056</v>
      </c>
      <c r="DD41" s="206">
        <v>4926</v>
      </c>
      <c r="DE41" s="206" t="s">
        <v>1115</v>
      </c>
      <c r="DF41" s="206">
        <v>2477</v>
      </c>
      <c r="DG41" s="206">
        <v>52</v>
      </c>
      <c r="DH41" s="210">
        <f t="shared" si="64"/>
        <v>0.47280015270089709</v>
      </c>
      <c r="DI41" s="206">
        <v>40</v>
      </c>
      <c r="DJ41" s="206">
        <v>40</v>
      </c>
      <c r="DL41" s="347">
        <v>2000</v>
      </c>
      <c r="DM41" s="205"/>
      <c r="DN41" s="209" t="s">
        <v>1071</v>
      </c>
      <c r="DO41" s="209" t="s">
        <v>1031</v>
      </c>
      <c r="DP41" s="209"/>
      <c r="DQ41" s="207"/>
      <c r="DR41" s="218" t="s">
        <v>1137</v>
      </c>
      <c r="DS41" s="205" t="s">
        <v>964</v>
      </c>
      <c r="DT41" s="229">
        <v>43282</v>
      </c>
      <c r="DU41" s="229">
        <v>43646</v>
      </c>
      <c r="DV41" s="218" t="s">
        <v>1137</v>
      </c>
      <c r="DW41" s="109">
        <f t="shared" si="65"/>
        <v>2.0855125023859515</v>
      </c>
      <c r="DX41" s="109">
        <f t="shared" si="66"/>
        <v>0</v>
      </c>
      <c r="DY41" s="109">
        <f t="shared" si="67"/>
        <v>5.6501240694789079</v>
      </c>
      <c r="DZ41" s="109">
        <f t="shared" si="68"/>
        <v>0.65814086657759119</v>
      </c>
      <c r="EA41" s="110">
        <f t="shared" si="72"/>
        <v>0.47743479655538285</v>
      </c>
      <c r="EB41" s="200">
        <f t="shared" si="47"/>
        <v>0.87006960556844548</v>
      </c>
    </row>
    <row r="42" spans="1:132" ht="17" thickBot="1">
      <c r="A42" s="218" t="s">
        <v>995</v>
      </c>
      <c r="B42" s="342" t="s">
        <v>1212</v>
      </c>
      <c r="C42" s="347">
        <v>63092</v>
      </c>
      <c r="D42" s="207">
        <v>3</v>
      </c>
      <c r="E42" s="207">
        <v>0</v>
      </c>
      <c r="F42" s="206">
        <v>34328</v>
      </c>
      <c r="H42" s="108">
        <f t="shared" si="0"/>
        <v>34328</v>
      </c>
      <c r="I42" s="109">
        <v>0.54523999999999995</v>
      </c>
      <c r="J42" s="208">
        <v>701079</v>
      </c>
      <c r="K42" s="208">
        <v>375809</v>
      </c>
      <c r="L42" s="115">
        <f t="shared" si="33"/>
        <v>1076888</v>
      </c>
      <c r="M42" s="110">
        <f t="shared" si="50"/>
        <v>17.06853483801433</v>
      </c>
      <c r="N42" s="208">
        <v>59745</v>
      </c>
      <c r="O42" s="208">
        <v>30004</v>
      </c>
      <c r="P42" s="222">
        <v>36989</v>
      </c>
      <c r="Q42" s="115">
        <v>126738</v>
      </c>
      <c r="R42" s="110">
        <f t="shared" si="51"/>
        <v>2.0087808279972106</v>
      </c>
      <c r="S42" s="222">
        <v>164701</v>
      </c>
      <c r="T42" s="208">
        <v>1368327</v>
      </c>
      <c r="U42" s="208">
        <v>0</v>
      </c>
      <c r="V42" s="208">
        <v>1368327</v>
      </c>
      <c r="W42" s="110">
        <f t="shared" si="52"/>
        <v>21.687805109998099</v>
      </c>
      <c r="X42" s="111">
        <f t="shared" si="34"/>
        <v>0.7870107072359166</v>
      </c>
      <c r="Y42" s="111">
        <f t="shared" si="35"/>
        <v>9.2622596791556405E-2</v>
      </c>
      <c r="Z42" s="111">
        <f t="shared" si="36"/>
        <v>0.12036669597252704</v>
      </c>
      <c r="AA42" s="111">
        <f t="shared" si="37"/>
        <v>0</v>
      </c>
      <c r="AB42" s="208">
        <v>16657</v>
      </c>
      <c r="AE42" s="208"/>
      <c r="AF42" s="208">
        <v>1368327</v>
      </c>
      <c r="AG42" s="208">
        <v>1486140</v>
      </c>
      <c r="AH42" s="208"/>
      <c r="AI42" s="115">
        <f t="shared" si="53"/>
        <v>2854467</v>
      </c>
      <c r="AJ42" s="110">
        <f t="shared" si="54"/>
        <v>45.242930957966145</v>
      </c>
      <c r="AK42" s="208">
        <v>106293</v>
      </c>
      <c r="AL42" s="208">
        <v>2500</v>
      </c>
      <c r="AM42" s="208">
        <v>0</v>
      </c>
      <c r="AN42" s="208"/>
      <c r="AO42" s="115">
        <f t="shared" si="38"/>
        <v>0</v>
      </c>
      <c r="AP42" s="208">
        <v>1601523</v>
      </c>
      <c r="AQ42" s="112">
        <f t="shared" si="55"/>
        <v>25.383931401762506</v>
      </c>
      <c r="AR42" s="208"/>
      <c r="AS42" s="222">
        <v>0</v>
      </c>
      <c r="AT42" s="208">
        <v>0</v>
      </c>
      <c r="AU42" s="222">
        <v>0</v>
      </c>
      <c r="AV42" s="222">
        <v>0</v>
      </c>
      <c r="AW42" s="208"/>
      <c r="AX42" s="222">
        <v>35981</v>
      </c>
      <c r="AY42" s="115">
        <f t="shared" si="39"/>
        <v>35981</v>
      </c>
      <c r="AZ42" s="206">
        <v>116803</v>
      </c>
      <c r="BA42" s="109">
        <f t="shared" si="56"/>
        <v>1.8513123692385722</v>
      </c>
      <c r="BB42" s="223">
        <v>6309</v>
      </c>
      <c r="BC42" s="223">
        <v>6309</v>
      </c>
      <c r="BD42" s="223">
        <v>8095</v>
      </c>
      <c r="BE42" s="223">
        <v>2179</v>
      </c>
      <c r="BF42" s="223">
        <v>149214</v>
      </c>
      <c r="BG42" s="223">
        <v>10</v>
      </c>
      <c r="BH42" s="223">
        <v>89</v>
      </c>
      <c r="BI42" s="206">
        <v>0</v>
      </c>
      <c r="BJ42" s="116">
        <f t="shared" si="40"/>
        <v>99</v>
      </c>
      <c r="BK42" s="223">
        <v>319448</v>
      </c>
      <c r="BL42" s="109">
        <f t="shared" si="57"/>
        <v>5.0632092816838901</v>
      </c>
      <c r="BM42" s="223">
        <v>121</v>
      </c>
      <c r="BN42" s="206">
        <v>20760</v>
      </c>
      <c r="BO42" s="109">
        <f t="shared" si="58"/>
        <v>0.32904330184492486</v>
      </c>
      <c r="BP42" s="206">
        <v>53998</v>
      </c>
      <c r="BQ42" s="206">
        <v>0</v>
      </c>
      <c r="BR42" s="230">
        <f t="shared" si="41"/>
        <v>187393</v>
      </c>
      <c r="BS42" s="230">
        <v>92985</v>
      </c>
      <c r="BT42" s="223">
        <v>280378</v>
      </c>
      <c r="BU42" s="109">
        <f t="shared" si="59"/>
        <v>4.4439548595701517</v>
      </c>
      <c r="BV42" s="108">
        <f t="shared" si="70"/>
        <v>21567.538461538461</v>
      </c>
      <c r="BW42" s="109">
        <f t="shared" si="60"/>
        <v>53.405333333333331</v>
      </c>
      <c r="BX42" s="109">
        <f t="shared" si="61"/>
        <v>1.7029658469032622</v>
      </c>
      <c r="BY42" s="109">
        <f t="shared" si="69"/>
        <v>0.87769527434825079</v>
      </c>
      <c r="BZ42" s="206">
        <v>314</v>
      </c>
      <c r="CA42" s="206">
        <v>26</v>
      </c>
      <c r="CB42" s="206">
        <v>263</v>
      </c>
      <c r="CC42" s="113">
        <f t="shared" si="44"/>
        <v>603</v>
      </c>
      <c r="CD42" s="206">
        <v>6670</v>
      </c>
      <c r="CE42" s="206">
        <v>276</v>
      </c>
      <c r="CF42" s="206">
        <v>3546</v>
      </c>
      <c r="CG42" s="116">
        <f t="shared" si="45"/>
        <v>10492</v>
      </c>
      <c r="CH42" s="109">
        <f t="shared" si="62"/>
        <v>0.16629683636594181</v>
      </c>
      <c r="CI42" s="206">
        <v>164641</v>
      </c>
      <c r="CJ42" s="109">
        <f t="shared" si="63"/>
        <v>2.6095384517846956</v>
      </c>
      <c r="CK42" s="223">
        <v>16572</v>
      </c>
      <c r="CL42" s="209" t="s">
        <v>7</v>
      </c>
      <c r="CM42" s="209" t="s">
        <v>7</v>
      </c>
      <c r="CN42" s="209" t="s">
        <v>7</v>
      </c>
      <c r="CO42" s="210">
        <v>4</v>
      </c>
      <c r="CP42" s="108">
        <f>C42/CO42</f>
        <v>15773</v>
      </c>
      <c r="CQ42" s="210">
        <v>1</v>
      </c>
      <c r="CR42" s="210">
        <v>8</v>
      </c>
      <c r="CS42" s="180">
        <f t="shared" si="46"/>
        <v>13</v>
      </c>
      <c r="CT42" s="108">
        <f t="shared" si="71"/>
        <v>4853.2307692307695</v>
      </c>
      <c r="CU42" s="206">
        <v>1606</v>
      </c>
      <c r="CV42" s="208">
        <v>65650</v>
      </c>
      <c r="CW42" s="210">
        <v>40</v>
      </c>
      <c r="CX42" s="209" t="s">
        <v>7</v>
      </c>
      <c r="CY42" s="209" t="s">
        <v>7</v>
      </c>
      <c r="CZ42" s="206">
        <v>12792</v>
      </c>
      <c r="DA42" s="206">
        <v>14197</v>
      </c>
      <c r="DB42" s="206">
        <v>46</v>
      </c>
      <c r="DC42" s="206">
        <v>11371</v>
      </c>
      <c r="DD42" s="206">
        <v>25238</v>
      </c>
      <c r="DE42" s="206">
        <v>102228</v>
      </c>
      <c r="DF42" s="206">
        <v>7150</v>
      </c>
      <c r="DG42" s="206">
        <v>52</v>
      </c>
      <c r="DH42" s="210">
        <f t="shared" si="64"/>
        <v>0.11332657072212007</v>
      </c>
      <c r="DI42" s="206">
        <v>47</v>
      </c>
      <c r="DJ42" s="206">
        <v>47</v>
      </c>
      <c r="DL42" s="347">
        <v>5250</v>
      </c>
      <c r="DM42" s="205"/>
      <c r="DN42" s="209" t="s">
        <v>1072</v>
      </c>
      <c r="DO42" s="209" t="s">
        <v>125</v>
      </c>
      <c r="DP42" s="209"/>
      <c r="DQ42" s="207"/>
      <c r="DR42" s="218" t="s">
        <v>995</v>
      </c>
      <c r="DS42" s="205" t="s">
        <v>995</v>
      </c>
      <c r="DT42" s="229">
        <v>43282</v>
      </c>
      <c r="DU42" s="229">
        <v>43646</v>
      </c>
      <c r="DV42" s="218" t="s">
        <v>995</v>
      </c>
      <c r="DW42" s="109">
        <f t="shared" si="65"/>
        <v>0.85586128193748812</v>
      </c>
      <c r="DX42" s="109">
        <f t="shared" si="66"/>
        <v>0</v>
      </c>
      <c r="DY42" s="109">
        <f t="shared" si="67"/>
        <v>2.9701546947315034</v>
      </c>
      <c r="DZ42" s="109">
        <f t="shared" si="68"/>
        <v>1.4738001648386483</v>
      </c>
      <c r="EA42" s="110">
        <f t="shared" si="72"/>
        <v>0.24750301378261824</v>
      </c>
      <c r="EB42" s="200">
        <f t="shared" si="47"/>
        <v>0.322675700381782</v>
      </c>
    </row>
    <row r="43" spans="1:132" ht="17" thickBot="1">
      <c r="A43" s="218" t="s">
        <v>996</v>
      </c>
      <c r="B43" s="342" t="s">
        <v>1213</v>
      </c>
      <c r="C43" s="347">
        <v>117425</v>
      </c>
      <c r="D43" s="207">
        <v>5</v>
      </c>
      <c r="E43" s="207">
        <v>0</v>
      </c>
      <c r="F43" s="206">
        <v>61790</v>
      </c>
      <c r="H43" s="108">
        <f t="shared" si="0"/>
        <v>61790</v>
      </c>
      <c r="I43" s="109">
        <v>0.52671999999999997</v>
      </c>
      <c r="J43" s="208">
        <v>1666509</v>
      </c>
      <c r="K43" s="208">
        <v>826137</v>
      </c>
      <c r="L43" s="115">
        <f t="shared" si="33"/>
        <v>2492646</v>
      </c>
      <c r="M43" s="110">
        <f t="shared" si="50"/>
        <v>21.227558015754738</v>
      </c>
      <c r="N43" s="208">
        <v>272689</v>
      </c>
      <c r="O43" s="208">
        <v>137174</v>
      </c>
      <c r="P43" s="222">
        <v>41720</v>
      </c>
      <c r="Q43" s="115">
        <v>451583</v>
      </c>
      <c r="R43" s="110">
        <f t="shared" si="51"/>
        <v>3.8457142857142856</v>
      </c>
      <c r="S43" s="222">
        <v>430168</v>
      </c>
      <c r="T43" s="208">
        <v>3374397</v>
      </c>
      <c r="U43" s="208">
        <v>0</v>
      </c>
      <c r="V43" s="208">
        <v>3374397</v>
      </c>
      <c r="W43" s="110">
        <f t="shared" si="52"/>
        <v>28.736614860549288</v>
      </c>
      <c r="X43" s="111">
        <f t="shared" si="34"/>
        <v>0.73869375772915868</v>
      </c>
      <c r="Y43" s="111">
        <f t="shared" si="35"/>
        <v>0.13382628066584934</v>
      </c>
      <c r="Z43" s="111">
        <f t="shared" si="36"/>
        <v>0.12747996160499195</v>
      </c>
      <c r="AA43" s="111">
        <f t="shared" si="37"/>
        <v>0</v>
      </c>
      <c r="AB43" s="208">
        <v>0</v>
      </c>
      <c r="AE43" s="208"/>
      <c r="AF43" s="208">
        <v>3374397</v>
      </c>
      <c r="AG43" s="208">
        <v>3261328</v>
      </c>
      <c r="AH43" s="208"/>
      <c r="AI43" s="115">
        <f t="shared" si="53"/>
        <v>6635725</v>
      </c>
      <c r="AJ43" s="110">
        <f t="shared" si="54"/>
        <v>56.510325739833938</v>
      </c>
      <c r="AK43" s="208">
        <v>140173</v>
      </c>
      <c r="AL43" s="208">
        <v>26774</v>
      </c>
      <c r="AM43" s="208">
        <v>102043</v>
      </c>
      <c r="AN43" s="208"/>
      <c r="AO43" s="115">
        <f t="shared" si="38"/>
        <v>102043</v>
      </c>
      <c r="AP43" s="208">
        <v>3530318</v>
      </c>
      <c r="AQ43" s="112">
        <f t="shared" si="55"/>
        <v>30.064449648711943</v>
      </c>
      <c r="AR43" s="208"/>
      <c r="AS43" s="222">
        <v>0</v>
      </c>
      <c r="AT43" s="208">
        <v>0</v>
      </c>
      <c r="AU43" s="222">
        <v>0</v>
      </c>
      <c r="AV43" s="222">
        <v>0</v>
      </c>
      <c r="AW43" s="208"/>
      <c r="AX43" s="222">
        <v>0</v>
      </c>
      <c r="AY43" s="115">
        <f t="shared" si="39"/>
        <v>0</v>
      </c>
      <c r="AZ43" s="206">
        <v>255194</v>
      </c>
      <c r="BA43" s="109">
        <f t="shared" si="56"/>
        <v>2.1732510112837984</v>
      </c>
      <c r="BB43" s="223">
        <v>14893</v>
      </c>
      <c r="BC43" s="223">
        <v>14893</v>
      </c>
      <c r="BD43" s="223">
        <v>21116</v>
      </c>
      <c r="BE43" s="223">
        <v>2179</v>
      </c>
      <c r="BF43" s="223">
        <v>144244</v>
      </c>
      <c r="BG43" s="223">
        <v>6</v>
      </c>
      <c r="BH43" s="223">
        <v>89</v>
      </c>
      <c r="BI43" s="206">
        <v>0</v>
      </c>
      <c r="BJ43" s="116">
        <f t="shared" si="40"/>
        <v>95</v>
      </c>
      <c r="BK43" s="223">
        <v>474171</v>
      </c>
      <c r="BL43" s="109">
        <f t="shared" si="57"/>
        <v>4.0380753672556953</v>
      </c>
      <c r="BM43" s="223">
        <v>2</v>
      </c>
      <c r="BN43" s="206">
        <v>68163</v>
      </c>
      <c r="BO43" s="109">
        <f t="shared" si="58"/>
        <v>0.58048115818607626</v>
      </c>
      <c r="BP43" s="206">
        <v>188888</v>
      </c>
      <c r="BQ43" s="206">
        <v>0</v>
      </c>
      <c r="BR43" s="230">
        <f t="shared" si="41"/>
        <v>614004</v>
      </c>
      <c r="BS43" s="230">
        <v>244967</v>
      </c>
      <c r="BT43" s="223">
        <v>858971</v>
      </c>
      <c r="BU43" s="109">
        <f t="shared" si="59"/>
        <v>7.3150606770278905</v>
      </c>
      <c r="BV43" s="108">
        <f t="shared" si="70"/>
        <v>21506.534802203307</v>
      </c>
      <c r="BW43" s="109">
        <f t="shared" si="60"/>
        <v>85.350854531001588</v>
      </c>
      <c r="BX43" s="109">
        <f t="shared" si="61"/>
        <v>2.2407198718651036</v>
      </c>
      <c r="BY43" s="109">
        <f t="shared" si="69"/>
        <v>1.8115215818765804</v>
      </c>
      <c r="BZ43" s="206">
        <v>506</v>
      </c>
      <c r="CA43" s="206">
        <v>58</v>
      </c>
      <c r="CB43" s="206">
        <v>598</v>
      </c>
      <c r="CC43" s="113">
        <f t="shared" si="44"/>
        <v>1162</v>
      </c>
      <c r="CD43" s="206">
        <v>17842</v>
      </c>
      <c r="CE43" s="206">
        <v>866</v>
      </c>
      <c r="CF43" s="206">
        <v>6344</v>
      </c>
      <c r="CG43" s="116">
        <f t="shared" si="45"/>
        <v>25052</v>
      </c>
      <c r="CH43" s="109">
        <f t="shared" si="62"/>
        <v>0.21334468809878646</v>
      </c>
      <c r="CI43" s="206">
        <v>383346</v>
      </c>
      <c r="CJ43" s="109">
        <f t="shared" si="63"/>
        <v>3.2646029380455608</v>
      </c>
      <c r="CK43" s="223">
        <v>100459</v>
      </c>
      <c r="CL43" s="209" t="s">
        <v>7</v>
      </c>
      <c r="CM43" s="209" t="s">
        <v>7</v>
      </c>
      <c r="CN43" s="209" t="s">
        <v>7</v>
      </c>
      <c r="CO43" s="210">
        <v>9.3800000000000008</v>
      </c>
      <c r="CP43" s="108">
        <f>C43/CO43</f>
        <v>12518.656716417909</v>
      </c>
      <c r="CQ43" s="210">
        <v>0</v>
      </c>
      <c r="CR43" s="210">
        <v>30.56</v>
      </c>
      <c r="CS43" s="180">
        <f t="shared" si="46"/>
        <v>39.94</v>
      </c>
      <c r="CT43" s="108">
        <f t="shared" si="71"/>
        <v>2940.0350525788685</v>
      </c>
      <c r="CU43" s="206">
        <v>10798</v>
      </c>
      <c r="CV43" s="208">
        <v>90125</v>
      </c>
      <c r="CW43" s="210">
        <v>40</v>
      </c>
      <c r="CX43" s="209" t="s">
        <v>7</v>
      </c>
      <c r="CY43" s="209" t="s">
        <v>7</v>
      </c>
      <c r="CZ43" s="206">
        <v>23469</v>
      </c>
      <c r="DA43" s="206">
        <v>34829</v>
      </c>
      <c r="DB43" s="206">
        <v>77</v>
      </c>
      <c r="DC43" s="206">
        <v>28528</v>
      </c>
      <c r="DD43" s="206">
        <v>22312</v>
      </c>
      <c r="DE43" s="206">
        <v>200004</v>
      </c>
      <c r="DF43" s="206">
        <v>13528</v>
      </c>
      <c r="DG43" s="206">
        <v>52</v>
      </c>
      <c r="DH43" s="210">
        <f t="shared" si="64"/>
        <v>0.11520545028741751</v>
      </c>
      <c r="DI43" s="206">
        <v>62</v>
      </c>
      <c r="DJ43" s="206">
        <v>62</v>
      </c>
      <c r="DL43" s="347">
        <v>10064</v>
      </c>
      <c r="DM43" s="205"/>
      <c r="DN43" s="209" t="s">
        <v>1073</v>
      </c>
      <c r="DO43" s="211" t="s">
        <v>125</v>
      </c>
      <c r="DP43" s="209"/>
      <c r="DQ43" s="207"/>
      <c r="DR43" s="218" t="s">
        <v>996</v>
      </c>
      <c r="DS43" s="205" t="s">
        <v>996</v>
      </c>
      <c r="DT43" s="229">
        <v>43282</v>
      </c>
      <c r="DU43" s="229">
        <v>43646</v>
      </c>
      <c r="DV43" s="218" t="s">
        <v>996</v>
      </c>
      <c r="DW43" s="109">
        <f t="shared" si="65"/>
        <v>1.6085842026825634</v>
      </c>
      <c r="DX43" s="109">
        <f t="shared" si="66"/>
        <v>0</v>
      </c>
      <c r="DY43" s="109">
        <f t="shared" si="67"/>
        <v>5.2289035554609322</v>
      </c>
      <c r="DZ43" s="109">
        <f t="shared" si="68"/>
        <v>2.0861571215669574</v>
      </c>
      <c r="EA43" s="110">
        <f t="shared" si="72"/>
        <v>0.33963347498791868</v>
      </c>
      <c r="EB43" s="200">
        <f t="shared" si="47"/>
        <v>0.55996930198761463</v>
      </c>
    </row>
    <row r="44" spans="1:132" ht="17" thickBot="1">
      <c r="A44" s="218" t="s">
        <v>1138</v>
      </c>
      <c r="B44" s="342" t="s">
        <v>1214</v>
      </c>
      <c r="C44" s="347">
        <v>41409</v>
      </c>
      <c r="D44" s="207">
        <v>1</v>
      </c>
      <c r="E44" s="207">
        <v>0</v>
      </c>
      <c r="F44" s="206">
        <v>44800</v>
      </c>
      <c r="H44" s="108">
        <f t="shared" si="0"/>
        <v>44800</v>
      </c>
      <c r="I44" s="109">
        <v>1.0945</v>
      </c>
      <c r="J44" s="208">
        <v>1000514</v>
      </c>
      <c r="K44" s="208">
        <v>258537</v>
      </c>
      <c r="L44" s="115">
        <f t="shared" si="33"/>
        <v>1259051</v>
      </c>
      <c r="M44" s="110">
        <f t="shared" si="50"/>
        <v>30.405250066410684</v>
      </c>
      <c r="N44" s="208">
        <v>148901</v>
      </c>
      <c r="O44" s="208">
        <v>39857</v>
      </c>
      <c r="P44" s="222">
        <v>38770</v>
      </c>
      <c r="Q44" s="115">
        <v>227528</v>
      </c>
      <c r="R44" s="110">
        <f t="shared" si="51"/>
        <v>5.4946509212973025</v>
      </c>
      <c r="S44" s="222">
        <v>389972</v>
      </c>
      <c r="T44" s="208">
        <v>1876551</v>
      </c>
      <c r="U44" s="208">
        <v>0</v>
      </c>
      <c r="V44" s="208">
        <v>1876551</v>
      </c>
      <c r="W44" s="110">
        <f t="shared" si="52"/>
        <v>45.317467217271606</v>
      </c>
      <c r="X44" s="111">
        <f t="shared" si="34"/>
        <v>0.67093886603668107</v>
      </c>
      <c r="Y44" s="111">
        <f t="shared" si="35"/>
        <v>0.12124797034559678</v>
      </c>
      <c r="Z44" s="111">
        <f t="shared" si="36"/>
        <v>0.20781316361772209</v>
      </c>
      <c r="AA44" s="111">
        <f t="shared" si="37"/>
        <v>0</v>
      </c>
      <c r="AB44" s="208">
        <v>13085</v>
      </c>
      <c r="AE44" s="208"/>
      <c r="AF44" s="208">
        <v>1876551</v>
      </c>
      <c r="AG44" s="208">
        <v>222455</v>
      </c>
      <c r="AH44" s="208"/>
      <c r="AI44" s="115">
        <f t="shared" si="53"/>
        <v>2099006</v>
      </c>
      <c r="AJ44" s="110">
        <f t="shared" si="54"/>
        <v>50.689608539206453</v>
      </c>
      <c r="AK44" s="208">
        <v>27233</v>
      </c>
      <c r="AL44" s="208">
        <v>3628</v>
      </c>
      <c r="AM44" s="208">
        <v>23765</v>
      </c>
      <c r="AN44" s="208"/>
      <c r="AO44" s="115">
        <f t="shared" si="38"/>
        <v>23765</v>
      </c>
      <c r="AP44" s="208">
        <v>1882322</v>
      </c>
      <c r="AQ44" s="112">
        <f t="shared" si="55"/>
        <v>45.456833055615931</v>
      </c>
      <c r="AR44" s="208"/>
      <c r="AS44" s="222">
        <v>126780</v>
      </c>
      <c r="AT44" s="208">
        <v>0</v>
      </c>
      <c r="AU44" s="222">
        <v>0</v>
      </c>
      <c r="AV44" s="222">
        <v>0</v>
      </c>
      <c r="AW44" s="208"/>
      <c r="AX44" s="222">
        <v>0</v>
      </c>
      <c r="AY44" s="115">
        <f t="shared" si="39"/>
        <v>126780</v>
      </c>
      <c r="AZ44" s="206">
        <v>109363</v>
      </c>
      <c r="BA44" s="109">
        <f t="shared" si="56"/>
        <v>2.641044217440653</v>
      </c>
      <c r="BB44" s="223">
        <v>7556</v>
      </c>
      <c r="BC44" s="223">
        <v>7556</v>
      </c>
      <c r="BD44" s="223">
        <v>13942</v>
      </c>
      <c r="BE44" s="223">
        <v>2179</v>
      </c>
      <c r="BF44" s="223">
        <v>144058</v>
      </c>
      <c r="BG44" s="223">
        <v>6</v>
      </c>
      <c r="BH44" s="223">
        <v>89</v>
      </c>
      <c r="BI44" s="206">
        <v>0</v>
      </c>
      <c r="BJ44" s="116">
        <f t="shared" si="40"/>
        <v>95</v>
      </c>
      <c r="BK44" s="223">
        <v>312140</v>
      </c>
      <c r="BL44" s="109">
        <f t="shared" si="57"/>
        <v>7.5379748363882246</v>
      </c>
      <c r="BM44" s="223">
        <v>185</v>
      </c>
      <c r="BN44" s="206">
        <v>58664</v>
      </c>
      <c r="BO44" s="109">
        <f t="shared" si="58"/>
        <v>1.4166968533410611</v>
      </c>
      <c r="BP44" s="206">
        <v>114075</v>
      </c>
      <c r="BQ44" s="206">
        <v>0</v>
      </c>
      <c r="BR44" s="230">
        <f t="shared" si="41"/>
        <v>254890</v>
      </c>
      <c r="BS44" s="230">
        <v>44651</v>
      </c>
      <c r="BT44" s="223">
        <v>299541</v>
      </c>
      <c r="BU44" s="109">
        <f t="shared" si="59"/>
        <v>7.2337173078316308</v>
      </c>
      <c r="BV44" s="108">
        <f t="shared" si="70"/>
        <v>12029.759036144578</v>
      </c>
      <c r="BW44" s="109">
        <f t="shared" si="60"/>
        <v>60.635829959514169</v>
      </c>
      <c r="BX44" s="109">
        <f t="shared" si="61"/>
        <v>1.5300580780605912</v>
      </c>
      <c r="BY44" s="109">
        <f t="shared" si="69"/>
        <v>0.95963670148010505</v>
      </c>
      <c r="BZ44" s="206">
        <v>362</v>
      </c>
      <c r="CA44" s="206">
        <v>28</v>
      </c>
      <c r="CB44" s="206">
        <v>233</v>
      </c>
      <c r="CC44" s="113">
        <f t="shared" si="44"/>
        <v>623</v>
      </c>
      <c r="CD44" s="206">
        <v>9435</v>
      </c>
      <c r="CE44" s="206">
        <v>329</v>
      </c>
      <c r="CF44" s="206">
        <v>2745</v>
      </c>
      <c r="CG44" s="116">
        <f t="shared" si="45"/>
        <v>12509</v>
      </c>
      <c r="CH44" s="109">
        <f t="shared" si="62"/>
        <v>0.30208408800019321</v>
      </c>
      <c r="CI44" s="206">
        <v>195771</v>
      </c>
      <c r="CJ44" s="109">
        <f t="shared" si="63"/>
        <v>4.7277403463015286</v>
      </c>
      <c r="CK44" s="223">
        <v>32979</v>
      </c>
      <c r="CL44" s="209" t="s">
        <v>7</v>
      </c>
      <c r="CM44" s="209" t="s">
        <v>7</v>
      </c>
      <c r="CN44" s="209" t="s">
        <v>7</v>
      </c>
      <c r="CO44" s="210">
        <v>6.56</v>
      </c>
      <c r="CP44" s="210">
        <v>0</v>
      </c>
      <c r="CQ44" s="210">
        <v>0.94</v>
      </c>
      <c r="CR44" s="210">
        <v>17.399999999999999</v>
      </c>
      <c r="CS44" s="180">
        <f t="shared" si="46"/>
        <v>24.9</v>
      </c>
      <c r="CT44" s="108">
        <f t="shared" si="71"/>
        <v>1663.0120481927711</v>
      </c>
      <c r="CU44" s="206">
        <v>576</v>
      </c>
      <c r="CV44" s="208">
        <v>74940</v>
      </c>
      <c r="CW44" s="210">
        <v>40</v>
      </c>
      <c r="CX44" s="209" t="s">
        <v>7</v>
      </c>
      <c r="CY44" s="209" t="s">
        <v>7</v>
      </c>
      <c r="CZ44" s="206">
        <v>158</v>
      </c>
      <c r="DA44" s="206">
        <v>146</v>
      </c>
      <c r="DB44" s="206">
        <v>56</v>
      </c>
      <c r="DC44" s="206">
        <v>20333</v>
      </c>
      <c r="DD44" s="206">
        <v>34015</v>
      </c>
      <c r="DE44" s="206" t="s">
        <v>1115</v>
      </c>
      <c r="DF44" s="206">
        <v>6656</v>
      </c>
      <c r="DG44" s="206">
        <v>51</v>
      </c>
      <c r="DH44" s="210">
        <f t="shared" si="64"/>
        <v>0.16073800381559564</v>
      </c>
      <c r="DI44" s="206">
        <v>45</v>
      </c>
      <c r="DJ44" s="206">
        <v>45</v>
      </c>
      <c r="DL44" s="347">
        <v>4940</v>
      </c>
      <c r="DM44" s="205"/>
      <c r="DN44" s="209" t="s">
        <v>1074</v>
      </c>
      <c r="DO44" s="209" t="s">
        <v>1031</v>
      </c>
      <c r="DP44" s="209"/>
      <c r="DQ44" s="207"/>
      <c r="DR44" s="218" t="s">
        <v>1138</v>
      </c>
      <c r="DS44" s="205" t="s">
        <v>971</v>
      </c>
      <c r="DT44" s="229">
        <v>43282</v>
      </c>
      <c r="DU44" s="229">
        <v>43646</v>
      </c>
      <c r="DV44" s="218" t="s">
        <v>1138</v>
      </c>
      <c r="DW44" s="109">
        <f t="shared" si="65"/>
        <v>2.7548359052379916</v>
      </c>
      <c r="DX44" s="109">
        <f t="shared" si="66"/>
        <v>0</v>
      </c>
      <c r="DY44" s="109">
        <f t="shared" si="67"/>
        <v>6.1554251491221716</v>
      </c>
      <c r="DZ44" s="109">
        <f t="shared" si="68"/>
        <v>1.0782921587094594</v>
      </c>
      <c r="EA44" s="110">
        <f t="shared" si="72"/>
        <v>0.40356402368788369</v>
      </c>
      <c r="EB44" s="200">
        <f t="shared" si="47"/>
        <v>0.89263398356139845</v>
      </c>
    </row>
    <row r="45" spans="1:132" ht="17" thickBot="1">
      <c r="A45" s="218" t="s">
        <v>1139</v>
      </c>
      <c r="B45" s="342" t="s">
        <v>1215</v>
      </c>
      <c r="C45" s="347">
        <v>113457</v>
      </c>
      <c r="D45" s="207">
        <v>0</v>
      </c>
      <c r="E45" s="207">
        <v>1</v>
      </c>
      <c r="F45" s="206">
        <v>83440</v>
      </c>
      <c r="H45" s="108">
        <f t="shared" si="0"/>
        <v>83440</v>
      </c>
      <c r="I45" s="109">
        <v>0.73836999999999997</v>
      </c>
      <c r="J45" s="208">
        <v>2584433</v>
      </c>
      <c r="K45" s="208">
        <v>1018761</v>
      </c>
      <c r="L45" s="115">
        <f t="shared" si="33"/>
        <v>3603194</v>
      </c>
      <c r="M45" s="110">
        <f t="shared" si="50"/>
        <v>31.758234397172497</v>
      </c>
      <c r="N45" s="208">
        <v>161910</v>
      </c>
      <c r="O45" s="208">
        <v>99352</v>
      </c>
      <c r="P45" s="222">
        <v>75450</v>
      </c>
      <c r="Q45" s="115">
        <v>336712</v>
      </c>
      <c r="R45" s="110">
        <f t="shared" si="51"/>
        <v>2.9677498964365356</v>
      </c>
      <c r="S45" s="222">
        <v>865558</v>
      </c>
      <c r="T45" s="208">
        <v>4805464</v>
      </c>
      <c r="U45" s="208">
        <v>0</v>
      </c>
      <c r="V45" s="208">
        <v>4805464</v>
      </c>
      <c r="W45" s="110">
        <f t="shared" si="52"/>
        <v>42.354936231347558</v>
      </c>
      <c r="X45" s="111">
        <f t="shared" si="34"/>
        <v>0.7498118808090124</v>
      </c>
      <c r="Y45" s="111">
        <f t="shared" si="35"/>
        <v>7.0068571942272381E-2</v>
      </c>
      <c r="Z45" s="111">
        <f t="shared" si="36"/>
        <v>0.18011954724871521</v>
      </c>
      <c r="AA45" s="111">
        <f t="shared" si="37"/>
        <v>0</v>
      </c>
      <c r="AB45" s="208">
        <v>0</v>
      </c>
      <c r="AE45" s="208"/>
      <c r="AF45" s="208">
        <v>4805464</v>
      </c>
      <c r="AG45" s="208">
        <v>359960</v>
      </c>
      <c r="AH45" s="208"/>
      <c r="AI45" s="115">
        <f t="shared" si="53"/>
        <v>5165424</v>
      </c>
      <c r="AJ45" s="110">
        <f t="shared" si="54"/>
        <v>45.527591951135669</v>
      </c>
      <c r="AK45" s="208">
        <v>81538</v>
      </c>
      <c r="AL45" s="208">
        <v>12622</v>
      </c>
      <c r="AM45" s="208">
        <v>0</v>
      </c>
      <c r="AN45" s="208"/>
      <c r="AO45" s="115">
        <f t="shared" si="38"/>
        <v>0</v>
      </c>
      <c r="AP45" s="208">
        <v>4840729</v>
      </c>
      <c r="AQ45" s="112">
        <f t="shared" si="55"/>
        <v>42.665758833743183</v>
      </c>
      <c r="AR45" s="208"/>
      <c r="AS45" s="222">
        <v>119317</v>
      </c>
      <c r="AT45" s="208">
        <v>0</v>
      </c>
      <c r="AU45" s="222">
        <v>50000</v>
      </c>
      <c r="AV45" s="222">
        <v>0</v>
      </c>
      <c r="AW45" s="208"/>
      <c r="AX45" s="222">
        <v>0</v>
      </c>
      <c r="AY45" s="115">
        <f t="shared" si="39"/>
        <v>169317</v>
      </c>
      <c r="AZ45" s="206">
        <v>241512</v>
      </c>
      <c r="BA45" s="109">
        <f t="shared" si="56"/>
        <v>2.1286654856024749</v>
      </c>
      <c r="BB45" s="223">
        <v>6256</v>
      </c>
      <c r="BC45" s="223">
        <v>6256</v>
      </c>
      <c r="BD45" s="223">
        <v>23125</v>
      </c>
      <c r="BE45" s="223">
        <v>48538</v>
      </c>
      <c r="BF45" s="223">
        <v>816392</v>
      </c>
      <c r="BG45" s="223">
        <v>17</v>
      </c>
      <c r="BH45" s="223">
        <v>89</v>
      </c>
      <c r="BI45" s="206">
        <v>0</v>
      </c>
      <c r="BJ45" s="116">
        <f t="shared" si="40"/>
        <v>106</v>
      </c>
      <c r="BK45" s="223">
        <v>1349307</v>
      </c>
      <c r="BL45" s="109">
        <f t="shared" si="57"/>
        <v>11.892672995055396</v>
      </c>
      <c r="BM45" s="223">
        <v>327</v>
      </c>
      <c r="BN45" s="206">
        <v>65471</v>
      </c>
      <c r="BO45" s="109">
        <f t="shared" si="58"/>
        <v>0.5770556245978653</v>
      </c>
      <c r="BP45" s="206">
        <v>117038</v>
      </c>
      <c r="BQ45" s="206">
        <v>0</v>
      </c>
      <c r="BR45" s="230">
        <f t="shared" si="41"/>
        <v>345856</v>
      </c>
      <c r="BS45" s="230">
        <v>459803</v>
      </c>
      <c r="BT45" s="223">
        <v>805659</v>
      </c>
      <c r="BU45" s="109">
        <f t="shared" si="59"/>
        <v>7.101007430127714</v>
      </c>
      <c r="BV45" s="108">
        <f t="shared" si="70"/>
        <v>13316.677685950413</v>
      </c>
      <c r="BW45" s="109">
        <f t="shared" si="60"/>
        <v>279.45161290322579</v>
      </c>
      <c r="BX45" s="109">
        <f t="shared" si="61"/>
        <v>3.9268258207907665</v>
      </c>
      <c r="BY45" s="109">
        <f t="shared" si="69"/>
        <v>0.5970909511326925</v>
      </c>
      <c r="BZ45" s="206">
        <v>1130</v>
      </c>
      <c r="CA45" s="206">
        <v>30</v>
      </c>
      <c r="CB45" s="206">
        <v>1205</v>
      </c>
      <c r="CC45" s="113">
        <f t="shared" si="44"/>
        <v>2365</v>
      </c>
      <c r="CD45" s="206">
        <v>26634</v>
      </c>
      <c r="CE45" s="206">
        <v>304</v>
      </c>
      <c r="CF45" s="206">
        <v>29205</v>
      </c>
      <c r="CG45" s="116">
        <f t="shared" si="45"/>
        <v>56143</v>
      </c>
      <c r="CH45" s="109">
        <f t="shared" si="62"/>
        <v>0.49483945459513295</v>
      </c>
      <c r="CI45" s="206">
        <v>205168</v>
      </c>
      <c r="CJ45" s="109">
        <f t="shared" si="63"/>
        <v>1.8083326722899424</v>
      </c>
      <c r="CK45" s="223">
        <v>171908</v>
      </c>
      <c r="CL45" s="209" t="s">
        <v>7</v>
      </c>
      <c r="CM45" s="209" t="s">
        <v>7</v>
      </c>
      <c r="CN45" s="209" t="s">
        <v>7</v>
      </c>
      <c r="CO45" s="210">
        <v>17.75</v>
      </c>
      <c r="CP45" s="108">
        <f>C45/CO45</f>
        <v>6391.9436619718308</v>
      </c>
      <c r="CQ45" s="210">
        <v>0</v>
      </c>
      <c r="CR45" s="210">
        <v>42.75</v>
      </c>
      <c r="CS45" s="180">
        <f t="shared" si="46"/>
        <v>60.5</v>
      </c>
      <c r="CT45" s="108">
        <f t="shared" si="71"/>
        <v>1875.3223140495868</v>
      </c>
      <c r="CU45" s="206">
        <v>2673</v>
      </c>
      <c r="CV45" s="208">
        <v>118442</v>
      </c>
      <c r="CW45" s="210">
        <v>40</v>
      </c>
      <c r="CX45" s="209" t="s">
        <v>7</v>
      </c>
      <c r="CY45" s="209" t="s">
        <v>7</v>
      </c>
      <c r="CZ45" s="206">
        <v>471</v>
      </c>
      <c r="DA45" s="206">
        <v>1335</v>
      </c>
      <c r="DB45" s="206">
        <v>117</v>
      </c>
      <c r="DC45" s="206">
        <v>28460</v>
      </c>
      <c r="DD45" s="206">
        <v>11238</v>
      </c>
      <c r="DE45" s="206">
        <v>166199</v>
      </c>
      <c r="DF45" s="206">
        <v>3429</v>
      </c>
      <c r="DG45" s="206">
        <v>52</v>
      </c>
      <c r="DH45" s="210">
        <f t="shared" si="64"/>
        <v>3.0222903831407494E-2</v>
      </c>
      <c r="DI45" s="206">
        <v>45</v>
      </c>
      <c r="DJ45" s="206">
        <v>45</v>
      </c>
      <c r="DL45" s="347">
        <v>2883</v>
      </c>
      <c r="DM45" s="205"/>
      <c r="DN45" s="209" t="s">
        <v>1075</v>
      </c>
      <c r="DO45" s="209" t="s">
        <v>1031</v>
      </c>
      <c r="DP45" s="209"/>
      <c r="DQ45" s="207"/>
      <c r="DR45" s="218" t="s">
        <v>1139</v>
      </c>
      <c r="DS45" s="205" t="s">
        <v>992</v>
      </c>
      <c r="DT45" s="229">
        <v>43282</v>
      </c>
      <c r="DU45" s="229">
        <v>43646</v>
      </c>
      <c r="DV45" s="218" t="s">
        <v>1139</v>
      </c>
      <c r="DW45" s="109">
        <f t="shared" si="65"/>
        <v>1.0315626184369409</v>
      </c>
      <c r="DX45" s="109">
        <f t="shared" si="66"/>
        <v>0</v>
      </c>
      <c r="DY45" s="109">
        <f t="shared" si="67"/>
        <v>3.0483443066536222</v>
      </c>
      <c r="DZ45" s="109">
        <f t="shared" si="68"/>
        <v>4.0526631234740913</v>
      </c>
      <c r="EA45" s="110">
        <f t="shared" si="72"/>
        <v>0.34977770288662197</v>
      </c>
      <c r="EB45" s="200">
        <v>0</v>
      </c>
    </row>
    <row r="46" spans="1:132" ht="33" thickBot="1">
      <c r="A46" s="218" t="s">
        <v>1140</v>
      </c>
      <c r="B46" s="342" t="s">
        <v>1216</v>
      </c>
      <c r="C46" s="347">
        <v>23775</v>
      </c>
      <c r="D46" s="207">
        <v>0</v>
      </c>
      <c r="E46" s="207">
        <v>0</v>
      </c>
      <c r="F46" s="206">
        <v>9200</v>
      </c>
      <c r="H46" s="108">
        <f t="shared" si="0"/>
        <v>9200</v>
      </c>
      <c r="I46" s="109">
        <v>0.42064000000000001</v>
      </c>
      <c r="J46" s="208">
        <v>374735</v>
      </c>
      <c r="K46" s="208">
        <v>129869</v>
      </c>
      <c r="L46" s="115">
        <f t="shared" si="33"/>
        <v>504604</v>
      </c>
      <c r="M46" s="110">
        <f t="shared" si="50"/>
        <v>21.224143007360674</v>
      </c>
      <c r="N46" s="208">
        <v>28095</v>
      </c>
      <c r="O46" s="208">
        <v>18674</v>
      </c>
      <c r="P46" s="222">
        <v>3229</v>
      </c>
      <c r="Q46" s="115">
        <v>49998</v>
      </c>
      <c r="R46" s="110">
        <f t="shared" si="51"/>
        <v>2.1029652996845427</v>
      </c>
      <c r="S46" s="222">
        <v>105818</v>
      </c>
      <c r="T46" s="208">
        <v>660420</v>
      </c>
      <c r="U46" s="208">
        <v>0</v>
      </c>
      <c r="V46" s="208">
        <v>660420</v>
      </c>
      <c r="W46" s="110">
        <f t="shared" si="52"/>
        <v>27.777917981072555</v>
      </c>
      <c r="X46" s="111">
        <f t="shared" si="34"/>
        <v>0.76406529178401628</v>
      </c>
      <c r="Y46" s="111">
        <f t="shared" si="35"/>
        <v>7.5706368674479871E-2</v>
      </c>
      <c r="Z46" s="111">
        <f t="shared" si="36"/>
        <v>0.16022833954150389</v>
      </c>
      <c r="AA46" s="111">
        <f t="shared" si="37"/>
        <v>0</v>
      </c>
      <c r="AB46" s="208">
        <v>0</v>
      </c>
      <c r="AE46" s="208"/>
      <c r="AF46" s="208">
        <v>660420</v>
      </c>
      <c r="AG46" s="208">
        <v>0</v>
      </c>
      <c r="AH46" s="208"/>
      <c r="AI46" s="115">
        <f t="shared" si="53"/>
        <v>660420</v>
      </c>
      <c r="AJ46" s="110">
        <f t="shared" si="54"/>
        <v>27.777917981072555</v>
      </c>
      <c r="AK46" s="208">
        <v>14487</v>
      </c>
      <c r="AL46" s="208">
        <v>5832</v>
      </c>
      <c r="AM46" s="208">
        <v>42772</v>
      </c>
      <c r="AN46" s="208"/>
      <c r="AO46" s="115">
        <f t="shared" si="38"/>
        <v>42772</v>
      </c>
      <c r="AP46" s="208">
        <v>699458</v>
      </c>
      <c r="AQ46" s="112">
        <f t="shared" si="55"/>
        <v>29.419894847528916</v>
      </c>
      <c r="AR46" s="208"/>
      <c r="AS46" s="222">
        <v>0</v>
      </c>
      <c r="AT46" s="208">
        <v>0</v>
      </c>
      <c r="AU46" s="222">
        <v>0</v>
      </c>
      <c r="AV46" s="222">
        <v>0</v>
      </c>
      <c r="AW46" s="208"/>
      <c r="AX46" s="222">
        <v>0</v>
      </c>
      <c r="AY46" s="115">
        <f t="shared" si="39"/>
        <v>0</v>
      </c>
      <c r="AZ46" s="206">
        <v>34497</v>
      </c>
      <c r="BA46" s="109">
        <f t="shared" si="56"/>
        <v>1.4509779179810725</v>
      </c>
      <c r="BB46" s="223">
        <v>1523</v>
      </c>
      <c r="BC46" s="223">
        <v>1523</v>
      </c>
      <c r="BD46" s="223">
        <v>256</v>
      </c>
      <c r="BE46" s="223">
        <v>2067</v>
      </c>
      <c r="BF46" s="223">
        <v>113866</v>
      </c>
      <c r="BG46" s="223">
        <v>0</v>
      </c>
      <c r="BH46" s="223">
        <v>89</v>
      </c>
      <c r="BI46" s="206">
        <v>0</v>
      </c>
      <c r="BJ46" s="116">
        <f t="shared" si="40"/>
        <v>89</v>
      </c>
      <c r="BK46" s="223">
        <v>169458</v>
      </c>
      <c r="BL46" s="109">
        <f t="shared" si="57"/>
        <v>7.1275709779179808</v>
      </c>
      <c r="BM46" s="223">
        <v>11</v>
      </c>
      <c r="BN46" s="206">
        <v>11007</v>
      </c>
      <c r="BO46" s="109">
        <f t="shared" si="58"/>
        <v>0.46296529968454259</v>
      </c>
      <c r="BP46" s="206">
        <v>36081</v>
      </c>
      <c r="BQ46" s="206">
        <v>0</v>
      </c>
      <c r="BR46" s="230">
        <f t="shared" si="41"/>
        <v>59083</v>
      </c>
      <c r="BS46" s="230">
        <v>23629</v>
      </c>
      <c r="BT46" s="223">
        <v>82712</v>
      </c>
      <c r="BU46" s="109">
        <f t="shared" si="59"/>
        <v>3.4789484752891693</v>
      </c>
      <c r="BV46" s="108">
        <f t="shared" si="70"/>
        <v>8893.7634408602153</v>
      </c>
      <c r="BW46" s="109">
        <f t="shared" si="60"/>
        <v>45.197814207650275</v>
      </c>
      <c r="BX46" s="109">
        <f t="shared" si="61"/>
        <v>2.948419063914733</v>
      </c>
      <c r="BY46" s="109">
        <f t="shared" si="69"/>
        <v>0.48809734565497054</v>
      </c>
      <c r="BZ46" s="206">
        <v>124</v>
      </c>
      <c r="CA46" s="206">
        <v>16</v>
      </c>
      <c r="CB46" s="206">
        <v>71</v>
      </c>
      <c r="CC46" s="113">
        <f t="shared" si="44"/>
        <v>211</v>
      </c>
      <c r="CD46" s="206">
        <v>4108</v>
      </c>
      <c r="CE46" s="206">
        <v>241</v>
      </c>
      <c r="CF46" s="206">
        <v>1245</v>
      </c>
      <c r="CG46" s="116">
        <f t="shared" si="45"/>
        <v>5594</v>
      </c>
      <c r="CH46" s="109">
        <f t="shared" si="62"/>
        <v>0.23528916929547844</v>
      </c>
      <c r="CI46" s="206">
        <v>28053</v>
      </c>
      <c r="CJ46" s="109">
        <f t="shared" si="63"/>
        <v>1.1799369085173501</v>
      </c>
      <c r="CK46" s="223">
        <v>5321</v>
      </c>
      <c r="CL46" s="209" t="s">
        <v>7</v>
      </c>
      <c r="CM46" s="209" t="s">
        <v>7</v>
      </c>
      <c r="CN46" s="209" t="s">
        <v>7</v>
      </c>
      <c r="CO46" s="210">
        <v>3</v>
      </c>
      <c r="CP46" s="108">
        <f>C46/CO46</f>
        <v>7925</v>
      </c>
      <c r="CQ46" s="210">
        <v>0</v>
      </c>
      <c r="CR46" s="210">
        <v>6.3</v>
      </c>
      <c r="CS46" s="180">
        <f t="shared" si="46"/>
        <v>9.3000000000000007</v>
      </c>
      <c r="CT46" s="108">
        <f t="shared" si="71"/>
        <v>2556.4516129032254</v>
      </c>
      <c r="CU46" s="206">
        <v>124</v>
      </c>
      <c r="CV46" s="208">
        <v>60051</v>
      </c>
      <c r="CW46" s="210">
        <v>40</v>
      </c>
      <c r="CX46" s="209" t="s">
        <v>7</v>
      </c>
      <c r="CY46" s="209" t="s">
        <v>7</v>
      </c>
      <c r="CZ46" s="206">
        <v>261</v>
      </c>
      <c r="DA46" s="206">
        <v>0</v>
      </c>
      <c r="DB46" s="206">
        <v>7</v>
      </c>
      <c r="DC46" s="206">
        <v>3301</v>
      </c>
      <c r="DD46" s="206">
        <v>77311</v>
      </c>
      <c r="DE46" s="206">
        <v>26838</v>
      </c>
      <c r="DF46" s="206">
        <v>2582</v>
      </c>
      <c r="DG46" s="206">
        <v>51</v>
      </c>
      <c r="DH46" s="210">
        <f t="shared" si="64"/>
        <v>0.10860147213459516</v>
      </c>
      <c r="DI46" s="206">
        <v>44</v>
      </c>
      <c r="DJ46" s="206">
        <v>44</v>
      </c>
      <c r="DL46" s="347">
        <v>1830</v>
      </c>
      <c r="DM46" s="205"/>
      <c r="DN46" s="209" t="s">
        <v>1076</v>
      </c>
      <c r="DO46" s="211" t="s">
        <v>1031</v>
      </c>
      <c r="DP46" s="209"/>
      <c r="DQ46" s="207"/>
      <c r="DR46" s="218" t="s">
        <v>1140</v>
      </c>
      <c r="DS46" s="205" t="s">
        <v>997</v>
      </c>
      <c r="DT46" s="229">
        <v>43282</v>
      </c>
      <c r="DU46" s="229">
        <v>43646</v>
      </c>
      <c r="DV46" s="218" t="s">
        <v>1140</v>
      </c>
      <c r="DW46" s="109">
        <f t="shared" si="65"/>
        <v>1.517602523659306</v>
      </c>
      <c r="DX46" s="109">
        <f t="shared" si="66"/>
        <v>0</v>
      </c>
      <c r="DY46" s="109">
        <f t="shared" si="67"/>
        <v>2.4850893796004208</v>
      </c>
      <c r="DZ46" s="109">
        <f t="shared" si="68"/>
        <v>0.99385909568874864</v>
      </c>
      <c r="EA46" s="110">
        <f t="shared" si="72"/>
        <v>0.2952271867512925</v>
      </c>
      <c r="EB46" s="200">
        <f t="shared" si="47"/>
        <v>0.79030005501713996</v>
      </c>
    </row>
    <row r="47" spans="1:132" ht="17" thickBot="1">
      <c r="A47" s="218" t="s">
        <v>998</v>
      </c>
      <c r="B47" s="342" t="s">
        <v>1217</v>
      </c>
      <c r="C47" s="347">
        <v>138477</v>
      </c>
      <c r="D47" s="207">
        <v>2</v>
      </c>
      <c r="E47" s="207">
        <v>0</v>
      </c>
      <c r="F47" s="206">
        <v>64000</v>
      </c>
      <c r="H47" s="108">
        <f t="shared" si="0"/>
        <v>64000</v>
      </c>
      <c r="I47" s="109">
        <v>0.46351999999999999</v>
      </c>
      <c r="J47" s="208">
        <v>1258869</v>
      </c>
      <c r="K47" s="208">
        <v>540377</v>
      </c>
      <c r="L47" s="115">
        <f t="shared" si="33"/>
        <v>1799246</v>
      </c>
      <c r="M47" s="110">
        <f t="shared" si="50"/>
        <v>12.993103547881597</v>
      </c>
      <c r="N47" s="208">
        <v>167724</v>
      </c>
      <c r="O47" s="208">
        <v>137549</v>
      </c>
      <c r="P47" s="222">
        <v>18359</v>
      </c>
      <c r="Q47" s="115">
        <v>323632</v>
      </c>
      <c r="R47" s="110">
        <f t="shared" si="51"/>
        <v>2.337081248149512</v>
      </c>
      <c r="S47" s="222">
        <v>153716</v>
      </c>
      <c r="T47" s="208">
        <v>2276594</v>
      </c>
      <c r="U47" s="208">
        <v>0</v>
      </c>
      <c r="V47" s="208">
        <v>2276594</v>
      </c>
      <c r="W47" s="110">
        <f t="shared" si="52"/>
        <v>16.440231951876484</v>
      </c>
      <c r="X47" s="111">
        <f t="shared" si="34"/>
        <v>0.79032361501435922</v>
      </c>
      <c r="Y47" s="111">
        <f t="shared" si="35"/>
        <v>0.14215622109168347</v>
      </c>
      <c r="Z47" s="111">
        <f t="shared" si="36"/>
        <v>6.7520163893957375E-2</v>
      </c>
      <c r="AA47" s="111">
        <f t="shared" si="37"/>
        <v>0</v>
      </c>
      <c r="AB47" s="208">
        <v>143565</v>
      </c>
      <c r="AE47" s="208"/>
      <c r="AF47" s="208">
        <v>2276594</v>
      </c>
      <c r="AG47" s="208">
        <v>2270786</v>
      </c>
      <c r="AH47" s="208"/>
      <c r="AI47" s="115">
        <f t="shared" si="53"/>
        <v>4547380</v>
      </c>
      <c r="AJ47" s="110">
        <f t="shared" si="54"/>
        <v>32.838521920607754</v>
      </c>
      <c r="AK47" s="208">
        <v>147512</v>
      </c>
      <c r="AL47" s="208">
        <v>16225</v>
      </c>
      <c r="AM47" s="208">
        <v>0</v>
      </c>
      <c r="AN47" s="208"/>
      <c r="AO47" s="115">
        <f t="shared" si="38"/>
        <v>0</v>
      </c>
      <c r="AP47" s="208">
        <v>2434523</v>
      </c>
      <c r="AQ47" s="112">
        <f t="shared" si="55"/>
        <v>17.580702932616969</v>
      </c>
      <c r="AR47" s="208"/>
      <c r="AS47" s="222">
        <v>251973</v>
      </c>
      <c r="AT47" s="208">
        <v>0</v>
      </c>
      <c r="AU47" s="222">
        <v>0</v>
      </c>
      <c r="AV47" s="222">
        <v>0</v>
      </c>
      <c r="AW47" s="208"/>
      <c r="AX47" s="222">
        <v>0</v>
      </c>
      <c r="AY47" s="115">
        <f t="shared" si="39"/>
        <v>251973</v>
      </c>
      <c r="AZ47" s="206">
        <v>189550</v>
      </c>
      <c r="BA47" s="109">
        <f t="shared" si="56"/>
        <v>1.3688193707258245</v>
      </c>
      <c r="BB47" s="223">
        <v>6957</v>
      </c>
      <c r="BC47" s="223">
        <v>6957</v>
      </c>
      <c r="BD47" s="223">
        <v>135</v>
      </c>
      <c r="BE47" s="223">
        <v>2010</v>
      </c>
      <c r="BF47" s="223">
        <v>92030</v>
      </c>
      <c r="BG47" s="223">
        <v>6</v>
      </c>
      <c r="BH47" s="223">
        <v>89</v>
      </c>
      <c r="BI47" s="206">
        <v>0</v>
      </c>
      <c r="BJ47" s="116">
        <f t="shared" si="40"/>
        <v>95</v>
      </c>
      <c r="BK47" s="223">
        <v>311646</v>
      </c>
      <c r="BL47" s="109">
        <f t="shared" si="57"/>
        <v>2.2505253580016897</v>
      </c>
      <c r="BM47" s="223">
        <v>3</v>
      </c>
      <c r="BN47" s="206">
        <v>51211</v>
      </c>
      <c r="BO47" s="109">
        <f t="shared" si="58"/>
        <v>0.3698159261104732</v>
      </c>
      <c r="BP47" s="206">
        <v>159742</v>
      </c>
      <c r="BQ47" s="206">
        <v>0</v>
      </c>
      <c r="BR47" s="230">
        <f t="shared" si="41"/>
        <v>270116</v>
      </c>
      <c r="BS47" s="230">
        <v>121973</v>
      </c>
      <c r="BT47" s="223">
        <v>392089</v>
      </c>
      <c r="BU47" s="109">
        <f t="shared" si="59"/>
        <v>2.8314377116777516</v>
      </c>
      <c r="BV47" s="108">
        <f t="shared" si="70"/>
        <v>12709.529983792543</v>
      </c>
      <c r="BW47" s="109">
        <f t="shared" si="60"/>
        <v>46.117266525523405</v>
      </c>
      <c r="BX47" s="109">
        <f t="shared" si="61"/>
        <v>2.2628134468330687</v>
      </c>
      <c r="BY47" s="109">
        <f t="shared" si="69"/>
        <v>1.2581229985303839</v>
      </c>
      <c r="BZ47" s="206">
        <v>727</v>
      </c>
      <c r="CA47" s="206">
        <v>145</v>
      </c>
      <c r="CB47" s="206">
        <v>422</v>
      </c>
      <c r="CC47" s="113">
        <f t="shared" si="44"/>
        <v>1294</v>
      </c>
      <c r="CD47" s="206">
        <v>14389</v>
      </c>
      <c r="CE47" s="206">
        <v>1959</v>
      </c>
      <c r="CF47" s="206">
        <v>4574</v>
      </c>
      <c r="CG47" s="116">
        <f t="shared" si="45"/>
        <v>20922</v>
      </c>
      <c r="CH47" s="109">
        <f t="shared" si="62"/>
        <v>0.15108646201174203</v>
      </c>
      <c r="CI47" s="206">
        <v>173275</v>
      </c>
      <c r="CJ47" s="109">
        <f t="shared" si="63"/>
        <v>1.2512908280797532</v>
      </c>
      <c r="CK47" s="223">
        <v>69952</v>
      </c>
      <c r="CL47" s="209" t="s">
        <v>7</v>
      </c>
      <c r="CM47" s="209" t="s">
        <v>7</v>
      </c>
      <c r="CN47" s="209" t="s">
        <v>7</v>
      </c>
      <c r="CO47" s="210">
        <v>6</v>
      </c>
      <c r="CP47" s="108">
        <f>C47/CO47</f>
        <v>23079.5</v>
      </c>
      <c r="CQ47" s="210">
        <v>1</v>
      </c>
      <c r="CR47" s="210">
        <v>23.85</v>
      </c>
      <c r="CS47" s="180">
        <f t="shared" si="46"/>
        <v>30.85</v>
      </c>
      <c r="CT47" s="108">
        <f t="shared" si="71"/>
        <v>4488.7196110210698</v>
      </c>
      <c r="CU47" s="206">
        <v>1002</v>
      </c>
      <c r="CV47" s="208">
        <v>103181</v>
      </c>
      <c r="CW47" s="210">
        <v>40</v>
      </c>
      <c r="CX47" s="209" t="s">
        <v>7</v>
      </c>
      <c r="CY47" s="209" t="s">
        <v>7</v>
      </c>
      <c r="CZ47" s="206">
        <v>14290</v>
      </c>
      <c r="DA47" s="206">
        <v>15255</v>
      </c>
      <c r="DB47" s="206">
        <v>61</v>
      </c>
      <c r="DC47" s="206">
        <v>29897</v>
      </c>
      <c r="DD47" s="206">
        <v>34379</v>
      </c>
      <c r="DE47" s="206">
        <v>74056</v>
      </c>
      <c r="DF47" s="206">
        <v>9048</v>
      </c>
      <c r="DG47" s="206">
        <v>52</v>
      </c>
      <c r="DH47" s="210">
        <f t="shared" si="64"/>
        <v>6.5339370436967872E-2</v>
      </c>
      <c r="DI47" s="206">
        <v>55</v>
      </c>
      <c r="DJ47" s="206">
        <v>55</v>
      </c>
      <c r="DL47" s="347">
        <v>8502</v>
      </c>
      <c r="DM47" s="205"/>
      <c r="DN47" s="209" t="s">
        <v>1077</v>
      </c>
      <c r="DO47" s="209" t="s">
        <v>125</v>
      </c>
      <c r="DP47" s="209"/>
      <c r="DQ47" s="207"/>
      <c r="DR47" s="218" t="s">
        <v>998</v>
      </c>
      <c r="DS47" s="205" t="s">
        <v>998</v>
      </c>
      <c r="DT47" s="229">
        <v>43282</v>
      </c>
      <c r="DU47" s="229">
        <v>43646</v>
      </c>
      <c r="DV47" s="218" t="s">
        <v>998</v>
      </c>
      <c r="DW47" s="109">
        <f t="shared" si="65"/>
        <v>1.1535634076417023</v>
      </c>
      <c r="DX47" s="109">
        <f t="shared" si="66"/>
        <v>0</v>
      </c>
      <c r="DY47" s="109">
        <f t="shared" si="67"/>
        <v>1.9506199585490731</v>
      </c>
      <c r="DZ47" s="109">
        <f t="shared" si="68"/>
        <v>0.88081775312867838</v>
      </c>
      <c r="EA47" s="110">
        <f t="shared" si="72"/>
        <v>0.39018466563376741</v>
      </c>
      <c r="EB47" s="200">
        <f t="shared" si="47"/>
        <v>1.1277003927098621</v>
      </c>
    </row>
    <row r="48" spans="1:132" ht="33" thickBot="1">
      <c r="A48" s="218" t="s">
        <v>1141</v>
      </c>
      <c r="B48" s="342" t="s">
        <v>1218</v>
      </c>
      <c r="C48" s="347">
        <v>10965</v>
      </c>
      <c r="D48" s="207">
        <v>0</v>
      </c>
      <c r="E48" s="207">
        <v>0</v>
      </c>
      <c r="F48" s="206">
        <v>13457</v>
      </c>
      <c r="H48" s="108">
        <f t="shared" si="0"/>
        <v>13457</v>
      </c>
      <c r="I48" s="109">
        <v>1.2422200000000001</v>
      </c>
      <c r="J48" s="208">
        <v>297544</v>
      </c>
      <c r="K48" s="208">
        <v>149604</v>
      </c>
      <c r="L48" s="115">
        <f t="shared" si="33"/>
        <v>447148</v>
      </c>
      <c r="M48" s="110">
        <f t="shared" si="50"/>
        <v>40.779571363429092</v>
      </c>
      <c r="N48" s="208">
        <v>60973</v>
      </c>
      <c r="O48" s="208">
        <v>43585</v>
      </c>
      <c r="P48" s="222">
        <v>0</v>
      </c>
      <c r="Q48" s="115">
        <v>104558</v>
      </c>
      <c r="R48" s="110">
        <f t="shared" si="51"/>
        <v>9.5356133150934799</v>
      </c>
      <c r="S48" s="222">
        <v>129500</v>
      </c>
      <c r="T48" s="208">
        <v>681206</v>
      </c>
      <c r="U48" s="208">
        <v>0</v>
      </c>
      <c r="V48" s="208">
        <v>681206</v>
      </c>
      <c r="W48" s="110">
        <f t="shared" si="52"/>
        <v>62.125490196078431</v>
      </c>
      <c r="X48" s="111">
        <f t="shared" si="34"/>
        <v>0.65640643212185446</v>
      </c>
      <c r="Y48" s="111">
        <f t="shared" si="35"/>
        <v>0.15348954648080024</v>
      </c>
      <c r="Z48" s="111">
        <f t="shared" si="36"/>
        <v>0.19010402139734531</v>
      </c>
      <c r="AA48" s="111">
        <f t="shared" si="37"/>
        <v>0</v>
      </c>
      <c r="AB48" s="208">
        <v>0</v>
      </c>
      <c r="AE48" s="208"/>
      <c r="AF48" s="208">
        <v>681206</v>
      </c>
      <c r="AG48" s="208">
        <v>75000</v>
      </c>
      <c r="AH48" s="208"/>
      <c r="AI48" s="115">
        <f t="shared" si="53"/>
        <v>756206</v>
      </c>
      <c r="AJ48" s="110">
        <f t="shared" si="54"/>
        <v>68.965435476516191</v>
      </c>
      <c r="AK48" s="208">
        <v>11073</v>
      </c>
      <c r="AL48" s="208">
        <v>0</v>
      </c>
      <c r="AM48" s="208">
        <v>0</v>
      </c>
      <c r="AN48" s="208"/>
      <c r="AO48" s="115">
        <f t="shared" si="38"/>
        <v>0</v>
      </c>
      <c r="AP48" s="208">
        <v>747837</v>
      </c>
      <c r="AQ48" s="112">
        <f t="shared" si="55"/>
        <v>68.202188782489742</v>
      </c>
      <c r="AR48" s="208"/>
      <c r="AS48" s="222">
        <v>0</v>
      </c>
      <c r="AT48" s="208">
        <v>0</v>
      </c>
      <c r="AU48" s="222">
        <v>0</v>
      </c>
      <c r="AV48" s="222">
        <v>0</v>
      </c>
      <c r="AW48" s="208"/>
      <c r="AX48" s="222">
        <v>0</v>
      </c>
      <c r="AY48" s="115">
        <f t="shared" si="39"/>
        <v>0</v>
      </c>
      <c r="AZ48" s="206">
        <v>39345</v>
      </c>
      <c r="BA48" s="109">
        <f t="shared" si="56"/>
        <v>3.5882352941176472</v>
      </c>
      <c r="BB48" s="223">
        <v>545</v>
      </c>
      <c r="BC48" s="223">
        <v>545</v>
      </c>
      <c r="BD48" s="223">
        <v>2963</v>
      </c>
      <c r="BE48" s="223">
        <v>2067</v>
      </c>
      <c r="BF48" s="223">
        <v>107580</v>
      </c>
      <c r="BG48" s="223">
        <v>2</v>
      </c>
      <c r="BH48" s="223">
        <v>89</v>
      </c>
      <c r="BI48" s="206">
        <v>0</v>
      </c>
      <c r="BJ48" s="116">
        <f t="shared" si="40"/>
        <v>91</v>
      </c>
      <c r="BK48" s="223">
        <v>172832</v>
      </c>
      <c r="BL48" s="109">
        <f t="shared" si="57"/>
        <v>15.762152302781578</v>
      </c>
      <c r="BM48" s="223">
        <v>68</v>
      </c>
      <c r="BN48" s="206" t="s">
        <v>1115</v>
      </c>
      <c r="BO48" s="109">
        <f t="shared" si="58"/>
        <v>-9.1199270405836752E-5</v>
      </c>
      <c r="BP48" s="206">
        <v>21566</v>
      </c>
      <c r="BQ48" s="206">
        <v>0</v>
      </c>
      <c r="BR48" s="230">
        <f t="shared" si="41"/>
        <v>48969</v>
      </c>
      <c r="BS48" s="230">
        <v>15701</v>
      </c>
      <c r="BT48" s="223">
        <v>64670</v>
      </c>
      <c r="BU48" s="109">
        <f t="shared" si="59"/>
        <v>5.8978568171454624</v>
      </c>
      <c r="BV48" s="108">
        <f t="shared" si="70"/>
        <v>8344.5161290322576</v>
      </c>
      <c r="BW48" s="109">
        <f t="shared" si="60"/>
        <v>33.612266112266113</v>
      </c>
      <c r="BX48" s="109">
        <f t="shared" si="61"/>
        <v>1.2359529087990215</v>
      </c>
      <c r="BY48" s="109">
        <f t="shared" si="69"/>
        <v>0.37417839289020549</v>
      </c>
      <c r="BZ48" s="206">
        <v>243</v>
      </c>
      <c r="CA48" s="206">
        <v>25</v>
      </c>
      <c r="CB48" s="206">
        <v>91</v>
      </c>
      <c r="CC48" s="113">
        <f t="shared" si="44"/>
        <v>359</v>
      </c>
      <c r="CD48" s="206">
        <v>5554</v>
      </c>
      <c r="CE48" s="206">
        <v>765</v>
      </c>
      <c r="CF48" s="206">
        <v>1534</v>
      </c>
      <c r="CG48" s="116">
        <f t="shared" si="45"/>
        <v>7853</v>
      </c>
      <c r="CH48" s="109">
        <f t="shared" si="62"/>
        <v>0.71618787049703603</v>
      </c>
      <c r="CI48" s="206">
        <v>52324</v>
      </c>
      <c r="CJ48" s="109">
        <f t="shared" si="63"/>
        <v>4.7719106247150025</v>
      </c>
      <c r="CK48" s="223">
        <v>9546</v>
      </c>
      <c r="CL48" s="209" t="s">
        <v>7</v>
      </c>
      <c r="CM48" s="209" t="s">
        <v>7</v>
      </c>
      <c r="CN48" s="209" t="s">
        <v>7</v>
      </c>
      <c r="CO48" s="210">
        <v>1</v>
      </c>
      <c r="CP48" s="210">
        <v>0</v>
      </c>
      <c r="CQ48" s="210">
        <v>0</v>
      </c>
      <c r="CR48" s="210">
        <v>6.75</v>
      </c>
      <c r="CS48" s="180">
        <f t="shared" si="46"/>
        <v>7.75</v>
      </c>
      <c r="CT48" s="108">
        <f t="shared" si="71"/>
        <v>1414.8387096774193</v>
      </c>
      <c r="CU48" s="206">
        <v>211</v>
      </c>
      <c r="CV48" s="208">
        <v>54371</v>
      </c>
      <c r="CW48" s="210">
        <v>40</v>
      </c>
      <c r="CX48" s="209" t="s">
        <v>7</v>
      </c>
      <c r="CY48" s="209" t="s">
        <v>7</v>
      </c>
      <c r="CZ48" s="206">
        <v>3774</v>
      </c>
      <c r="DA48" s="206">
        <v>3178</v>
      </c>
      <c r="DB48" s="206">
        <v>29</v>
      </c>
      <c r="DC48" s="206">
        <v>13090</v>
      </c>
      <c r="DD48" s="206">
        <v>33580</v>
      </c>
      <c r="DE48" s="206">
        <v>29925</v>
      </c>
      <c r="DF48" s="206">
        <v>2704</v>
      </c>
      <c r="DG48" s="206">
        <v>52</v>
      </c>
      <c r="DH48" s="210">
        <f t="shared" si="64"/>
        <v>0.24660282717738258</v>
      </c>
      <c r="DI48" s="206">
        <v>53</v>
      </c>
      <c r="DJ48" s="206">
        <v>53</v>
      </c>
      <c r="DL48" s="347">
        <v>1924</v>
      </c>
      <c r="DM48" s="205"/>
      <c r="DN48" s="209" t="s">
        <v>1078</v>
      </c>
      <c r="DO48" s="209" t="s">
        <v>1031</v>
      </c>
      <c r="DP48" s="209"/>
      <c r="DQ48" s="207"/>
      <c r="DR48" s="218" t="s">
        <v>1141</v>
      </c>
      <c r="DS48" s="205" t="s">
        <v>975</v>
      </c>
      <c r="DT48" s="229">
        <v>43282</v>
      </c>
      <c r="DU48" s="229">
        <v>43646</v>
      </c>
      <c r="DV48" s="218" t="s">
        <v>1141</v>
      </c>
      <c r="DW48" s="109">
        <f t="shared" si="65"/>
        <v>1.9668034655722755</v>
      </c>
      <c r="DX48" s="109">
        <f t="shared" si="66"/>
        <v>0</v>
      </c>
      <c r="DY48" s="109">
        <f t="shared" si="67"/>
        <v>4.4659370725034195</v>
      </c>
      <c r="DZ48" s="109">
        <f t="shared" si="68"/>
        <v>1.4319197446420429</v>
      </c>
      <c r="EA48" s="110">
        <f t="shared" si="72"/>
        <v>0.86443609555539802</v>
      </c>
      <c r="EB48" s="200">
        <f t="shared" si="47"/>
        <v>2.775937838354245</v>
      </c>
    </row>
    <row r="49" spans="1:132" ht="17" thickBot="1">
      <c r="A49" s="218" t="s">
        <v>999</v>
      </c>
      <c r="B49" s="342" t="s">
        <v>1219</v>
      </c>
      <c r="C49" s="347">
        <v>61141</v>
      </c>
      <c r="D49" s="207">
        <v>1</v>
      </c>
      <c r="E49" s="207">
        <v>0</v>
      </c>
      <c r="F49" s="206">
        <v>19578</v>
      </c>
      <c r="H49" s="108">
        <f t="shared" si="0"/>
        <v>19578</v>
      </c>
      <c r="I49" s="109">
        <v>0.32577</v>
      </c>
      <c r="J49" s="208">
        <v>372821</v>
      </c>
      <c r="K49" s="208">
        <v>107808</v>
      </c>
      <c r="L49" s="115">
        <f t="shared" si="33"/>
        <v>480629</v>
      </c>
      <c r="M49" s="110">
        <f t="shared" si="50"/>
        <v>7.8609934413895752</v>
      </c>
      <c r="N49" s="208">
        <v>51360</v>
      </c>
      <c r="O49" s="208">
        <v>6704</v>
      </c>
      <c r="P49" s="222">
        <v>10484</v>
      </c>
      <c r="Q49" s="115">
        <v>68548</v>
      </c>
      <c r="R49" s="110">
        <f t="shared" si="51"/>
        <v>1.1211462030388772</v>
      </c>
      <c r="S49" s="222">
        <v>85331</v>
      </c>
      <c r="T49" s="208">
        <v>634508</v>
      </c>
      <c r="U49" s="208">
        <v>0</v>
      </c>
      <c r="V49" s="208">
        <v>634508</v>
      </c>
      <c r="W49" s="110">
        <f t="shared" si="52"/>
        <v>10.377782502739569</v>
      </c>
      <c r="X49" s="111">
        <f t="shared" si="34"/>
        <v>0.7574829631777692</v>
      </c>
      <c r="Y49" s="111">
        <f t="shared" si="35"/>
        <v>0.10803331084872059</v>
      </c>
      <c r="Z49" s="111">
        <f t="shared" si="36"/>
        <v>0.13448372597351019</v>
      </c>
      <c r="AA49" s="111">
        <f t="shared" si="37"/>
        <v>0</v>
      </c>
      <c r="AB49" s="208">
        <v>8113</v>
      </c>
      <c r="AE49" s="208"/>
      <c r="AF49" s="208">
        <v>634508</v>
      </c>
      <c r="AG49" s="208">
        <v>503293</v>
      </c>
      <c r="AH49" s="208"/>
      <c r="AI49" s="115">
        <f t="shared" si="53"/>
        <v>1137801</v>
      </c>
      <c r="AJ49" s="110">
        <f t="shared" si="54"/>
        <v>18.609460100423611</v>
      </c>
      <c r="AK49" s="208">
        <v>110507</v>
      </c>
      <c r="AL49" s="208">
        <v>4626</v>
      </c>
      <c r="AM49" s="208">
        <v>16082</v>
      </c>
      <c r="AN49" s="208"/>
      <c r="AO49" s="115">
        <f t="shared" si="38"/>
        <v>16082</v>
      </c>
      <c r="AP49" s="208">
        <v>634508</v>
      </c>
      <c r="AQ49" s="112">
        <f t="shared" si="55"/>
        <v>10.377782502739569</v>
      </c>
      <c r="AR49" s="208"/>
      <c r="AS49" s="222">
        <v>18148</v>
      </c>
      <c r="AT49" s="208">
        <v>0</v>
      </c>
      <c r="AU49" s="222">
        <v>0</v>
      </c>
      <c r="AV49" s="222">
        <v>0</v>
      </c>
      <c r="AW49" s="208"/>
      <c r="AX49" s="222">
        <v>0</v>
      </c>
      <c r="AY49" s="115">
        <f t="shared" si="39"/>
        <v>18148</v>
      </c>
      <c r="AZ49" s="206">
        <v>108008</v>
      </c>
      <c r="BA49" s="109">
        <f t="shared" si="56"/>
        <v>1.7665396378861975</v>
      </c>
      <c r="BB49" s="223">
        <v>3534</v>
      </c>
      <c r="BC49" s="223">
        <v>3534</v>
      </c>
      <c r="BD49" s="223">
        <v>6674</v>
      </c>
      <c r="BE49" s="223">
        <v>2067</v>
      </c>
      <c r="BF49" s="223">
        <v>107580</v>
      </c>
      <c r="BG49" s="223">
        <v>0</v>
      </c>
      <c r="BH49" s="223">
        <v>89</v>
      </c>
      <c r="BI49" s="206">
        <v>0</v>
      </c>
      <c r="BJ49" s="116">
        <f t="shared" si="40"/>
        <v>89</v>
      </c>
      <c r="BK49" s="223">
        <v>245058</v>
      </c>
      <c r="BL49" s="109">
        <f t="shared" si="57"/>
        <v>4.0080796846633193</v>
      </c>
      <c r="BM49" s="223">
        <v>77</v>
      </c>
      <c r="BN49" s="206">
        <v>16264</v>
      </c>
      <c r="BO49" s="109">
        <f t="shared" si="58"/>
        <v>0.26600807968466333</v>
      </c>
      <c r="BP49" s="206">
        <v>29837</v>
      </c>
      <c r="BQ49" s="206">
        <v>0</v>
      </c>
      <c r="BR49" s="230">
        <f t="shared" si="41"/>
        <v>90948</v>
      </c>
      <c r="BS49" s="230">
        <v>25847</v>
      </c>
      <c r="BT49" s="223">
        <v>116795</v>
      </c>
      <c r="BU49" s="109">
        <f t="shared" si="59"/>
        <v>1.9102566199440638</v>
      </c>
      <c r="BV49" s="108">
        <f t="shared" si="70"/>
        <v>14599.375</v>
      </c>
      <c r="BW49" s="109">
        <f t="shared" si="60"/>
        <v>40.695121951219512</v>
      </c>
      <c r="BX49" s="109">
        <f t="shared" si="61"/>
        <v>1.5476505976201202</v>
      </c>
      <c r="BY49" s="109">
        <f t="shared" si="69"/>
        <v>0.47660145761411582</v>
      </c>
      <c r="BZ49" s="206">
        <v>315</v>
      </c>
      <c r="CA49" s="206">
        <v>18</v>
      </c>
      <c r="CB49" s="206">
        <v>49</v>
      </c>
      <c r="CC49" s="113">
        <f t="shared" si="44"/>
        <v>382</v>
      </c>
      <c r="CD49" s="206">
        <v>6163</v>
      </c>
      <c r="CE49" s="206">
        <v>292</v>
      </c>
      <c r="CF49" s="206">
        <v>1614</v>
      </c>
      <c r="CG49" s="116">
        <f t="shared" si="45"/>
        <v>8069</v>
      </c>
      <c r="CH49" s="109">
        <f t="shared" si="62"/>
        <v>0.13197363471320392</v>
      </c>
      <c r="CI49" s="206">
        <v>75466</v>
      </c>
      <c r="CJ49" s="109">
        <f t="shared" si="63"/>
        <v>1.2342944995992868</v>
      </c>
      <c r="CK49" s="223">
        <v>24543</v>
      </c>
      <c r="CL49" s="209" t="s">
        <v>7</v>
      </c>
      <c r="CM49" s="209" t="s">
        <v>7</v>
      </c>
      <c r="CN49" s="209" t="s">
        <v>7</v>
      </c>
      <c r="CO49" s="210">
        <v>3</v>
      </c>
      <c r="CP49" s="210">
        <v>0</v>
      </c>
      <c r="CQ49" s="210">
        <v>0</v>
      </c>
      <c r="CR49" s="210">
        <v>5</v>
      </c>
      <c r="CS49" s="180">
        <f t="shared" si="46"/>
        <v>8</v>
      </c>
      <c r="CT49" s="108">
        <f t="shared" si="71"/>
        <v>7642.625</v>
      </c>
      <c r="CU49" s="206" t="s">
        <v>913</v>
      </c>
      <c r="CV49" s="208">
        <v>68850</v>
      </c>
      <c r="CW49" s="210">
        <v>21</v>
      </c>
      <c r="CX49" s="209" t="s">
        <v>7</v>
      </c>
      <c r="CY49" s="209" t="s">
        <v>7</v>
      </c>
      <c r="CZ49" s="206">
        <v>7302</v>
      </c>
      <c r="DA49" s="206">
        <v>4510</v>
      </c>
      <c r="DB49" s="206">
        <v>26</v>
      </c>
      <c r="DC49" s="206">
        <v>12060</v>
      </c>
      <c r="DD49" s="206">
        <v>9660</v>
      </c>
      <c r="DE49" s="206">
        <v>50983</v>
      </c>
      <c r="DF49" s="206">
        <v>3949</v>
      </c>
      <c r="DG49" s="206">
        <v>49</v>
      </c>
      <c r="DH49" s="210">
        <f t="shared" si="64"/>
        <v>6.4588410395642865E-2</v>
      </c>
      <c r="DI49" s="206">
        <v>42</v>
      </c>
      <c r="DJ49" s="206">
        <v>20</v>
      </c>
      <c r="DL49" s="347">
        <v>2870</v>
      </c>
      <c r="DM49" s="205"/>
      <c r="DN49" s="209" t="s">
        <v>1079</v>
      </c>
      <c r="DO49" s="209" t="s">
        <v>125</v>
      </c>
      <c r="DP49" s="209"/>
      <c r="DQ49" s="207"/>
      <c r="DR49" s="218" t="s">
        <v>999</v>
      </c>
      <c r="DS49" s="205" t="s">
        <v>999</v>
      </c>
      <c r="DT49" s="229">
        <v>43282</v>
      </c>
      <c r="DU49" s="229">
        <v>43646</v>
      </c>
      <c r="DV49" s="218" t="s">
        <v>999</v>
      </c>
      <c r="DW49" s="109">
        <f t="shared" si="65"/>
        <v>0.4880031402822983</v>
      </c>
      <c r="DX49" s="109">
        <f t="shared" si="66"/>
        <v>0</v>
      </c>
      <c r="DY49" s="109">
        <f t="shared" si="67"/>
        <v>1.4875124711731897</v>
      </c>
      <c r="DZ49" s="109">
        <f t="shared" si="68"/>
        <v>0.42274414877087391</v>
      </c>
      <c r="EA49" s="110">
        <f t="shared" si="72"/>
        <v>0.4252183632073519</v>
      </c>
      <c r="EB49" s="200">
        <f t="shared" si="47"/>
        <v>0.25937246102062134</v>
      </c>
    </row>
    <row r="50" spans="1:132" ht="17" thickBot="1">
      <c r="A50" s="218" t="s">
        <v>1000</v>
      </c>
      <c r="B50" s="342" t="s">
        <v>1220</v>
      </c>
      <c r="C50" s="347">
        <v>86909</v>
      </c>
      <c r="D50" s="207">
        <v>2</v>
      </c>
      <c r="E50" s="207">
        <v>0</v>
      </c>
      <c r="F50" s="206">
        <v>24879</v>
      </c>
      <c r="H50" s="108">
        <f t="shared" si="0"/>
        <v>24879</v>
      </c>
      <c r="I50" s="109">
        <v>0.4037</v>
      </c>
      <c r="J50" s="208">
        <v>779003</v>
      </c>
      <c r="K50" s="208">
        <v>282801</v>
      </c>
      <c r="L50" s="115">
        <f t="shared" si="33"/>
        <v>1061804</v>
      </c>
      <c r="M50" s="110">
        <f t="shared" si="50"/>
        <v>12.217422821571988</v>
      </c>
      <c r="N50" s="208">
        <v>182959</v>
      </c>
      <c r="O50" s="208">
        <v>79850</v>
      </c>
      <c r="P50" s="222">
        <v>18996</v>
      </c>
      <c r="Q50" s="115">
        <v>281805</v>
      </c>
      <c r="R50" s="110">
        <f t="shared" si="51"/>
        <v>3.242529542394919</v>
      </c>
      <c r="S50" s="222">
        <v>358502</v>
      </c>
      <c r="T50" s="208">
        <v>1702111</v>
      </c>
      <c r="U50" s="208">
        <v>0</v>
      </c>
      <c r="V50" s="208">
        <v>1702111</v>
      </c>
      <c r="W50" s="110">
        <f t="shared" si="52"/>
        <v>19.584979691401351</v>
      </c>
      <c r="X50" s="111">
        <f t="shared" si="34"/>
        <v>0.62381595559866543</v>
      </c>
      <c r="Y50" s="111">
        <f t="shared" si="35"/>
        <v>0.16556205793864207</v>
      </c>
      <c r="Z50" s="111">
        <f t="shared" si="36"/>
        <v>0.21062198646269251</v>
      </c>
      <c r="AA50" s="111">
        <f t="shared" si="37"/>
        <v>0</v>
      </c>
      <c r="AB50" s="208">
        <v>1276841</v>
      </c>
      <c r="AE50" s="208"/>
      <c r="AF50" s="208">
        <v>1702111</v>
      </c>
      <c r="AG50" s="208">
        <v>1594012</v>
      </c>
      <c r="AH50" s="208"/>
      <c r="AI50" s="115">
        <f t="shared" si="53"/>
        <v>3296123</v>
      </c>
      <c r="AJ50" s="110">
        <f t="shared" si="54"/>
        <v>37.926141136130894</v>
      </c>
      <c r="AK50" s="208">
        <v>120646</v>
      </c>
      <c r="AL50" s="208">
        <v>0</v>
      </c>
      <c r="AM50" s="208">
        <v>0</v>
      </c>
      <c r="AN50" s="208"/>
      <c r="AO50" s="115">
        <f t="shared" si="38"/>
        <v>0</v>
      </c>
      <c r="AP50" s="208">
        <v>1714658</v>
      </c>
      <c r="AQ50" s="112">
        <f t="shared" si="55"/>
        <v>19.729349089277289</v>
      </c>
      <c r="AR50" s="208"/>
      <c r="AS50" s="222">
        <v>0</v>
      </c>
      <c r="AT50" s="208">
        <v>0</v>
      </c>
      <c r="AU50" s="222">
        <v>400000</v>
      </c>
      <c r="AV50" s="222">
        <v>0</v>
      </c>
      <c r="AW50" s="208"/>
      <c r="AX50" s="222">
        <v>0</v>
      </c>
      <c r="AY50" s="115">
        <f t="shared" si="39"/>
        <v>400000</v>
      </c>
      <c r="AZ50" s="206">
        <v>127260</v>
      </c>
      <c r="BA50" s="109">
        <f t="shared" si="56"/>
        <v>1.4642902346132161</v>
      </c>
      <c r="BB50" s="223">
        <v>7047</v>
      </c>
      <c r="BC50" s="223">
        <v>7047</v>
      </c>
      <c r="BD50" s="223">
        <v>11674</v>
      </c>
      <c r="BE50" s="223">
        <v>2179</v>
      </c>
      <c r="BF50" s="223">
        <v>145930</v>
      </c>
      <c r="BG50" s="223">
        <v>6</v>
      </c>
      <c r="BH50" s="223">
        <v>89</v>
      </c>
      <c r="BI50" s="206">
        <v>0</v>
      </c>
      <c r="BJ50" s="116">
        <f t="shared" si="40"/>
        <v>95</v>
      </c>
      <c r="BK50" s="223">
        <v>329365</v>
      </c>
      <c r="BL50" s="109">
        <f t="shared" si="57"/>
        <v>3.7897686085445694</v>
      </c>
      <c r="BM50" s="223">
        <v>87</v>
      </c>
      <c r="BN50" s="206">
        <v>28678</v>
      </c>
      <c r="BO50" s="109">
        <f t="shared" si="58"/>
        <v>0.32997733261227263</v>
      </c>
      <c r="BP50" s="206">
        <v>71077</v>
      </c>
      <c r="BQ50" s="206">
        <v>0</v>
      </c>
      <c r="BR50" s="230">
        <f t="shared" si="41"/>
        <v>163272</v>
      </c>
      <c r="BS50" s="230">
        <v>74702</v>
      </c>
      <c r="BT50" s="223">
        <v>237974</v>
      </c>
      <c r="BU50" s="109">
        <f t="shared" si="59"/>
        <v>2.7381974248927037</v>
      </c>
      <c r="BV50" s="108">
        <f t="shared" si="70"/>
        <v>10126.553191489362</v>
      </c>
      <c r="BW50" s="109">
        <f t="shared" si="60"/>
        <v>43.331026948288418</v>
      </c>
      <c r="BX50" s="109">
        <f t="shared" si="61"/>
        <v>1.8168589337384811</v>
      </c>
      <c r="BY50" s="109">
        <f t="shared" si="69"/>
        <v>0.72252364398160096</v>
      </c>
      <c r="BZ50" s="206">
        <v>499</v>
      </c>
      <c r="CA50" s="206">
        <v>60</v>
      </c>
      <c r="CB50" s="206">
        <v>95</v>
      </c>
      <c r="CC50" s="113">
        <f t="shared" si="44"/>
        <v>654</v>
      </c>
      <c r="CD50" s="206">
        <v>16380</v>
      </c>
      <c r="CE50" s="206">
        <v>783</v>
      </c>
      <c r="CF50" s="206">
        <v>883</v>
      </c>
      <c r="CG50" s="116">
        <f t="shared" si="45"/>
        <v>18046</v>
      </c>
      <c r="CH50" s="109">
        <f t="shared" si="62"/>
        <v>0.20764247661346927</v>
      </c>
      <c r="CI50" s="206">
        <v>130981</v>
      </c>
      <c r="CJ50" s="109">
        <f t="shared" si="63"/>
        <v>1.5071051329551599</v>
      </c>
      <c r="CK50" s="223">
        <v>53837</v>
      </c>
      <c r="CL50" s="209" t="s">
        <v>7</v>
      </c>
      <c r="CM50" s="209" t="s">
        <v>7</v>
      </c>
      <c r="CN50" s="209" t="s">
        <v>7</v>
      </c>
      <c r="CO50" s="210">
        <v>2</v>
      </c>
      <c r="CP50" s="210">
        <v>0</v>
      </c>
      <c r="CQ50" s="210">
        <v>2</v>
      </c>
      <c r="CR50" s="210">
        <v>19.5</v>
      </c>
      <c r="CS50" s="180">
        <f t="shared" si="46"/>
        <v>23.5</v>
      </c>
      <c r="CT50" s="108">
        <f t="shared" si="71"/>
        <v>3698.255319148936</v>
      </c>
      <c r="CU50" s="206">
        <v>558</v>
      </c>
      <c r="CV50" s="208">
        <v>89502</v>
      </c>
      <c r="CW50" s="210">
        <v>40</v>
      </c>
      <c r="CX50" s="209" t="s">
        <v>7</v>
      </c>
      <c r="CY50" s="209" t="s">
        <v>7</v>
      </c>
      <c r="CZ50" s="206">
        <v>5</v>
      </c>
      <c r="DA50" s="206">
        <v>0</v>
      </c>
      <c r="DB50" s="206">
        <v>51</v>
      </c>
      <c r="DC50" s="206">
        <v>21759</v>
      </c>
      <c r="DD50" s="206">
        <v>10308</v>
      </c>
      <c r="DE50" s="206">
        <v>47728</v>
      </c>
      <c r="DF50" s="206">
        <v>7735</v>
      </c>
      <c r="DG50" s="206">
        <v>51</v>
      </c>
      <c r="DH50" s="210">
        <f t="shared" si="64"/>
        <v>8.9001139122530465E-2</v>
      </c>
      <c r="DI50" s="206">
        <v>50</v>
      </c>
      <c r="DJ50" s="206">
        <v>50</v>
      </c>
      <c r="DK50" s="108">
        <v>3533</v>
      </c>
      <c r="DL50" s="347">
        <v>5492</v>
      </c>
      <c r="DM50" s="205"/>
      <c r="DN50" s="209" t="s">
        <v>1080</v>
      </c>
      <c r="DO50" s="209" t="s">
        <v>125</v>
      </c>
      <c r="DP50" s="209"/>
      <c r="DQ50" s="207"/>
      <c r="DR50" s="218" t="s">
        <v>1000</v>
      </c>
      <c r="DS50" s="205" t="s">
        <v>1000</v>
      </c>
      <c r="DT50" s="229">
        <v>43282</v>
      </c>
      <c r="DU50" s="229">
        <v>43646</v>
      </c>
      <c r="DV50" s="218" t="s">
        <v>1000</v>
      </c>
      <c r="DW50" s="109">
        <f t="shared" si="65"/>
        <v>0.8178324454314283</v>
      </c>
      <c r="DX50" s="109">
        <f t="shared" si="66"/>
        <v>0</v>
      </c>
      <c r="DY50" s="109">
        <f t="shared" si="67"/>
        <v>1.8786546847852352</v>
      </c>
      <c r="DZ50" s="109">
        <f t="shared" si="68"/>
        <v>0.85954274010746878</v>
      </c>
      <c r="EA50" s="110">
        <f t="shared" si="72"/>
        <v>0.78071167361499305</v>
      </c>
      <c r="EB50" s="200">
        <f t="shared" si="47"/>
        <v>1.068913817568472</v>
      </c>
    </row>
    <row r="51" spans="1:132" ht="17" thickBot="1">
      <c r="A51" s="218" t="s">
        <v>1001</v>
      </c>
      <c r="B51" s="342" t="s">
        <v>1221</v>
      </c>
      <c r="C51" s="347">
        <v>22381</v>
      </c>
      <c r="D51" s="207">
        <v>2</v>
      </c>
      <c r="E51" s="207">
        <v>0</v>
      </c>
      <c r="F51" s="206">
        <v>21561</v>
      </c>
      <c r="H51" s="108">
        <f t="shared" si="0"/>
        <v>21561</v>
      </c>
      <c r="I51" s="109">
        <v>0.95728999999999997</v>
      </c>
      <c r="J51" s="208">
        <v>256049</v>
      </c>
      <c r="K51" s="208">
        <v>85676</v>
      </c>
      <c r="L51" s="115">
        <f t="shared" si="33"/>
        <v>341725</v>
      </c>
      <c r="M51" s="110">
        <f t="shared" si="50"/>
        <v>15.268531343550332</v>
      </c>
      <c r="N51" s="208">
        <v>27618</v>
      </c>
      <c r="O51" s="208">
        <v>9690</v>
      </c>
      <c r="P51" s="222">
        <v>8231</v>
      </c>
      <c r="Q51" s="115">
        <v>45539</v>
      </c>
      <c r="R51" s="110">
        <f t="shared" si="51"/>
        <v>2.0347169474107503</v>
      </c>
      <c r="S51" s="222">
        <v>74103</v>
      </c>
      <c r="T51" s="208">
        <v>461367</v>
      </c>
      <c r="U51" s="208">
        <v>0</v>
      </c>
      <c r="V51" s="208">
        <v>461367</v>
      </c>
      <c r="W51" s="110">
        <f t="shared" si="52"/>
        <v>20.614226352709888</v>
      </c>
      <c r="X51" s="111">
        <f t="shared" si="34"/>
        <v>0.74067932903740408</v>
      </c>
      <c r="Y51" s="111">
        <f t="shared" si="35"/>
        <v>9.8704502055847076E-2</v>
      </c>
      <c r="Z51" s="111">
        <f t="shared" si="36"/>
        <v>0.16061616890674885</v>
      </c>
      <c r="AA51" s="111">
        <f t="shared" si="37"/>
        <v>0</v>
      </c>
      <c r="AB51" s="208">
        <v>0</v>
      </c>
      <c r="AE51" s="208"/>
      <c r="AF51" s="208">
        <v>461367</v>
      </c>
      <c r="AG51" s="208">
        <v>338368</v>
      </c>
      <c r="AH51" s="208"/>
      <c r="AI51" s="115">
        <f t="shared" si="53"/>
        <v>799735</v>
      </c>
      <c r="AJ51" s="110">
        <f t="shared" si="54"/>
        <v>35.732764398373618</v>
      </c>
      <c r="AK51" s="208">
        <v>81784</v>
      </c>
      <c r="AL51" s="208">
        <v>14941</v>
      </c>
      <c r="AM51" s="208">
        <v>20274</v>
      </c>
      <c r="AN51" s="208"/>
      <c r="AO51" s="115">
        <f t="shared" si="38"/>
        <v>20274</v>
      </c>
      <c r="AP51" s="208">
        <v>461367</v>
      </c>
      <c r="AQ51" s="112">
        <f t="shared" si="55"/>
        <v>20.614226352709888</v>
      </c>
      <c r="AR51" s="208"/>
      <c r="AS51" s="222">
        <v>13235</v>
      </c>
      <c r="AT51" s="208">
        <v>0</v>
      </c>
      <c r="AU51" s="222">
        <v>0</v>
      </c>
      <c r="AV51" s="222">
        <v>0</v>
      </c>
      <c r="AW51" s="208"/>
      <c r="AX51" s="222">
        <v>0</v>
      </c>
      <c r="AY51" s="115">
        <f t="shared" si="39"/>
        <v>13235</v>
      </c>
      <c r="AZ51" s="206">
        <v>47687</v>
      </c>
      <c r="BA51" s="109">
        <f t="shared" si="56"/>
        <v>2.1306912112952952</v>
      </c>
      <c r="BB51" s="223">
        <v>3238</v>
      </c>
      <c r="BC51" s="223">
        <v>3238</v>
      </c>
      <c r="BD51" s="223">
        <v>6475</v>
      </c>
      <c r="BE51" s="223">
        <v>2067</v>
      </c>
      <c r="BF51" s="223">
        <v>107580</v>
      </c>
      <c r="BG51" s="223">
        <v>1</v>
      </c>
      <c r="BH51" s="223">
        <v>89</v>
      </c>
      <c r="BI51" s="206">
        <v>0</v>
      </c>
      <c r="BJ51" s="116">
        <f t="shared" si="40"/>
        <v>90</v>
      </c>
      <c r="BK51" s="223">
        <v>184362</v>
      </c>
      <c r="BL51" s="109">
        <f t="shared" si="57"/>
        <v>8.2374335373754519</v>
      </c>
      <c r="BM51" s="223">
        <v>25</v>
      </c>
      <c r="BN51" s="206">
        <v>4156</v>
      </c>
      <c r="BO51" s="109">
        <f t="shared" si="58"/>
        <v>0.18569322192931503</v>
      </c>
      <c r="BP51" s="206">
        <v>33317</v>
      </c>
      <c r="BQ51" s="206">
        <v>0</v>
      </c>
      <c r="BR51" s="230">
        <f t="shared" si="41"/>
        <v>80875</v>
      </c>
      <c r="BS51" s="230">
        <v>28499</v>
      </c>
      <c r="BT51" s="223">
        <v>109374</v>
      </c>
      <c r="BU51" s="109">
        <f t="shared" si="59"/>
        <v>4.8869130065680713</v>
      </c>
      <c r="BV51" s="108">
        <f t="shared" si="70"/>
        <v>10015.934065934067</v>
      </c>
      <c r="BW51" s="109">
        <f t="shared" si="60"/>
        <v>16.972998137802605</v>
      </c>
      <c r="BX51" s="109">
        <f t="shared" si="61"/>
        <v>1.1982252410166521</v>
      </c>
      <c r="BY51" s="109">
        <f t="shared" si="69"/>
        <v>0.59325674488235103</v>
      </c>
      <c r="BZ51" s="206">
        <v>337</v>
      </c>
      <c r="CA51" s="206">
        <v>20</v>
      </c>
      <c r="CB51" s="206">
        <v>162</v>
      </c>
      <c r="CC51" s="113">
        <f t="shared" si="44"/>
        <v>519</v>
      </c>
      <c r="CD51" s="206">
        <v>6995</v>
      </c>
      <c r="CE51" s="206">
        <v>463</v>
      </c>
      <c r="CF51" s="206">
        <v>2122</v>
      </c>
      <c r="CG51" s="116">
        <f t="shared" si="45"/>
        <v>9580</v>
      </c>
      <c r="CH51" s="109">
        <f t="shared" si="62"/>
        <v>0.42804164246459048</v>
      </c>
      <c r="CI51" s="206">
        <v>91280</v>
      </c>
      <c r="CJ51" s="109">
        <f t="shared" si="63"/>
        <v>4.0784594075331757</v>
      </c>
      <c r="CK51" s="223">
        <v>11296</v>
      </c>
      <c r="CL51" s="209" t="s">
        <v>7</v>
      </c>
      <c r="CM51" s="209" t="s">
        <v>7</v>
      </c>
      <c r="CN51" s="209" t="s">
        <v>7</v>
      </c>
      <c r="CO51" s="210">
        <v>1</v>
      </c>
      <c r="CP51" s="210">
        <v>0</v>
      </c>
      <c r="CQ51" s="210">
        <v>0</v>
      </c>
      <c r="CR51" s="210">
        <v>9.92</v>
      </c>
      <c r="CS51" s="180">
        <f t="shared" si="46"/>
        <v>10.92</v>
      </c>
      <c r="CT51" s="108">
        <f t="shared" si="71"/>
        <v>2049.5421245421244</v>
      </c>
      <c r="CU51" s="206">
        <v>2629</v>
      </c>
      <c r="CV51" s="208">
        <v>53500</v>
      </c>
      <c r="CW51" s="210">
        <v>40</v>
      </c>
      <c r="CX51" s="209" t="s">
        <v>7</v>
      </c>
      <c r="CY51" s="209" t="s">
        <v>7</v>
      </c>
      <c r="CZ51" s="206">
        <v>7140</v>
      </c>
      <c r="DA51" s="206">
        <v>4423</v>
      </c>
      <c r="DB51" s="206">
        <v>55</v>
      </c>
      <c r="DC51" s="206">
        <v>6981</v>
      </c>
      <c r="DD51" s="206">
        <v>47736</v>
      </c>
      <c r="DE51" s="206">
        <v>20782</v>
      </c>
      <c r="DF51" s="206">
        <v>7272</v>
      </c>
      <c r="DG51" s="206">
        <v>52</v>
      </c>
      <c r="DH51" s="210">
        <f t="shared" si="64"/>
        <v>0.32491845762030291</v>
      </c>
      <c r="DI51" s="206">
        <v>39</v>
      </c>
      <c r="DJ51" s="206">
        <v>39</v>
      </c>
      <c r="DL51" s="347">
        <v>6444</v>
      </c>
      <c r="DM51" s="205"/>
      <c r="DN51" s="209" t="s">
        <v>1081</v>
      </c>
      <c r="DO51" s="209" t="s">
        <v>125</v>
      </c>
      <c r="DP51" s="209"/>
      <c r="DQ51" s="207"/>
      <c r="DR51" s="218" t="s">
        <v>1001</v>
      </c>
      <c r="DS51" s="205" t="s">
        <v>1001</v>
      </c>
      <c r="DT51" s="229">
        <v>43282</v>
      </c>
      <c r="DU51" s="229">
        <v>43646</v>
      </c>
      <c r="DV51" s="218" t="s">
        <v>1001</v>
      </c>
      <c r="DW51" s="109">
        <f t="shared" si="65"/>
        <v>1.4886287475984095</v>
      </c>
      <c r="DX51" s="109">
        <f t="shared" si="66"/>
        <v>0</v>
      </c>
      <c r="DY51" s="109">
        <f t="shared" si="67"/>
        <v>3.6135561413699118</v>
      </c>
      <c r="DZ51" s="109">
        <f t="shared" si="68"/>
        <v>1.273356865198159</v>
      </c>
      <c r="EA51" s="110">
        <f t="shared" si="72"/>
        <v>0.24185582177385456</v>
      </c>
      <c r="EB51" s="200">
        <f t="shared" si="47"/>
        <v>0.34001193024316645</v>
      </c>
    </row>
    <row r="52" spans="1:132" ht="17" thickBot="1">
      <c r="A52" s="218" t="s">
        <v>1142</v>
      </c>
      <c r="B52" s="342" t="s">
        <v>1222</v>
      </c>
      <c r="C52" s="347">
        <v>46427</v>
      </c>
      <c r="D52" s="207">
        <v>1</v>
      </c>
      <c r="E52" s="207">
        <v>0</v>
      </c>
      <c r="F52" s="206">
        <v>22290</v>
      </c>
      <c r="H52" s="108">
        <f t="shared" si="0"/>
        <v>22290</v>
      </c>
      <c r="I52" s="109">
        <v>0.48082000000000003</v>
      </c>
      <c r="J52" s="208">
        <v>385726</v>
      </c>
      <c r="K52" s="208">
        <v>152326</v>
      </c>
      <c r="L52" s="115">
        <f t="shared" si="33"/>
        <v>538052</v>
      </c>
      <c r="M52" s="110">
        <f t="shared" si="50"/>
        <v>11.589204557692723</v>
      </c>
      <c r="N52" s="208">
        <v>55534</v>
      </c>
      <c r="O52" s="208">
        <v>9800</v>
      </c>
      <c r="P52" s="222">
        <v>5300</v>
      </c>
      <c r="Q52" s="115">
        <v>70634</v>
      </c>
      <c r="R52" s="110">
        <f t="shared" si="51"/>
        <v>1.5213991858185969</v>
      </c>
      <c r="S52" s="222">
        <v>193864</v>
      </c>
      <c r="T52" s="208">
        <v>802550</v>
      </c>
      <c r="U52" s="208">
        <v>0</v>
      </c>
      <c r="V52" s="208">
        <v>802550</v>
      </c>
      <c r="W52" s="110">
        <f t="shared" si="52"/>
        <v>17.286277381695996</v>
      </c>
      <c r="X52" s="111">
        <f t="shared" si="34"/>
        <v>0.67042801071584324</v>
      </c>
      <c r="Y52" s="111">
        <f t="shared" si="35"/>
        <v>8.8011961871534483E-2</v>
      </c>
      <c r="Z52" s="111">
        <f t="shared" si="36"/>
        <v>0.24156002741262228</v>
      </c>
      <c r="AA52" s="111">
        <f t="shared" si="37"/>
        <v>0</v>
      </c>
      <c r="AB52" s="208">
        <v>48948</v>
      </c>
      <c r="AE52" s="208"/>
      <c r="AF52" s="208">
        <v>802550</v>
      </c>
      <c r="AG52" s="208">
        <v>724298</v>
      </c>
      <c r="AH52" s="208"/>
      <c r="AI52" s="115">
        <f t="shared" si="53"/>
        <v>1526848</v>
      </c>
      <c r="AJ52" s="110">
        <f t="shared" si="54"/>
        <v>32.8870700239085</v>
      </c>
      <c r="AK52" s="208">
        <v>105378</v>
      </c>
      <c r="AL52" s="208">
        <v>5919</v>
      </c>
      <c r="AM52" s="208">
        <v>19827</v>
      </c>
      <c r="AN52" s="208"/>
      <c r="AO52" s="115">
        <f t="shared" si="38"/>
        <v>19827</v>
      </c>
      <c r="AP52" s="208">
        <v>855422</v>
      </c>
      <c r="AQ52" s="112">
        <f t="shared" si="55"/>
        <v>18.425097464837272</v>
      </c>
      <c r="AR52" s="208"/>
      <c r="AS52" s="222">
        <v>0</v>
      </c>
      <c r="AT52" s="208">
        <v>0</v>
      </c>
      <c r="AU52" s="222">
        <v>0</v>
      </c>
      <c r="AV52" s="222">
        <v>0</v>
      </c>
      <c r="AW52" s="208"/>
      <c r="AX52" s="222">
        <v>0</v>
      </c>
      <c r="AY52" s="115">
        <f t="shared" si="39"/>
        <v>0</v>
      </c>
      <c r="AZ52" s="206">
        <v>78283</v>
      </c>
      <c r="BA52" s="109">
        <f t="shared" si="56"/>
        <v>1.686152454390764</v>
      </c>
      <c r="BB52" s="223">
        <v>4966</v>
      </c>
      <c r="BC52" s="223">
        <v>4966</v>
      </c>
      <c r="BD52" s="223">
        <v>8253</v>
      </c>
      <c r="BE52" s="223">
        <v>2067</v>
      </c>
      <c r="BF52" s="223">
        <v>107580</v>
      </c>
      <c r="BG52" s="223">
        <v>4</v>
      </c>
      <c r="BH52" s="223">
        <v>89</v>
      </c>
      <c r="BI52" s="206">
        <v>0</v>
      </c>
      <c r="BJ52" s="116">
        <f t="shared" si="40"/>
        <v>93</v>
      </c>
      <c r="BK52" s="223">
        <v>218542</v>
      </c>
      <c r="BL52" s="109">
        <f t="shared" si="57"/>
        <v>4.7072177827557242</v>
      </c>
      <c r="BM52" s="223">
        <v>105</v>
      </c>
      <c r="BN52" s="206">
        <v>18167</v>
      </c>
      <c r="BO52" s="109">
        <f t="shared" si="58"/>
        <v>0.39130247485299502</v>
      </c>
      <c r="BP52" s="206">
        <v>33972</v>
      </c>
      <c r="BQ52" s="206">
        <v>0</v>
      </c>
      <c r="BR52" s="230">
        <f t="shared" si="41"/>
        <v>111975</v>
      </c>
      <c r="BS52" s="230">
        <v>30917</v>
      </c>
      <c r="BT52" s="223">
        <v>142892</v>
      </c>
      <c r="BU52" s="109">
        <f t="shared" si="59"/>
        <v>3.0777780171021174</v>
      </c>
      <c r="BV52" s="108">
        <f t="shared" si="70"/>
        <v>9687.5932203389839</v>
      </c>
      <c r="BW52" s="109">
        <f t="shared" si="60"/>
        <v>46.468943089430894</v>
      </c>
      <c r="BX52" s="109">
        <f t="shared" si="61"/>
        <v>1.4257548242900759</v>
      </c>
      <c r="BY52" s="109">
        <f t="shared" si="69"/>
        <v>0.6538422820327443</v>
      </c>
      <c r="BZ52" s="206">
        <v>276</v>
      </c>
      <c r="CA52" s="206">
        <v>128</v>
      </c>
      <c r="CB52" s="206">
        <v>150</v>
      </c>
      <c r="CC52" s="113">
        <f t="shared" si="44"/>
        <v>554</v>
      </c>
      <c r="CD52" s="206">
        <v>7160</v>
      </c>
      <c r="CE52" s="206">
        <v>2249</v>
      </c>
      <c r="CF52" s="206">
        <v>2485</v>
      </c>
      <c r="CG52" s="116">
        <f t="shared" si="45"/>
        <v>11894</v>
      </c>
      <c r="CH52" s="109">
        <f t="shared" si="62"/>
        <v>0.25618713248756114</v>
      </c>
      <c r="CI52" s="206">
        <v>100222</v>
      </c>
      <c r="CJ52" s="109">
        <f t="shared" si="63"/>
        <v>2.1587007560255884</v>
      </c>
      <c r="CK52" s="223">
        <v>18500</v>
      </c>
      <c r="CL52" s="209" t="s">
        <v>7</v>
      </c>
      <c r="CM52" s="209" t="s">
        <v>7</v>
      </c>
      <c r="CN52" s="209" t="s">
        <v>7</v>
      </c>
      <c r="CO52" s="210">
        <v>3</v>
      </c>
      <c r="CP52" s="210">
        <v>0</v>
      </c>
      <c r="CQ52" s="210">
        <v>1</v>
      </c>
      <c r="CR52" s="210">
        <v>10.75</v>
      </c>
      <c r="CS52" s="180">
        <f t="shared" si="46"/>
        <v>14.75</v>
      </c>
      <c r="CT52" s="108">
        <f t="shared" si="71"/>
        <v>3147.593220338983</v>
      </c>
      <c r="CU52" s="206">
        <v>314</v>
      </c>
      <c r="CV52" s="208">
        <v>60384</v>
      </c>
      <c r="CW52" s="210">
        <v>40</v>
      </c>
      <c r="CX52" s="209" t="s">
        <v>7</v>
      </c>
      <c r="CY52" s="209" t="s">
        <v>7</v>
      </c>
      <c r="CZ52" s="206">
        <v>5637</v>
      </c>
      <c r="DA52" s="206">
        <v>6317</v>
      </c>
      <c r="DB52" s="206">
        <v>38</v>
      </c>
      <c r="DC52" s="206">
        <v>9073</v>
      </c>
      <c r="DD52" s="206">
        <v>12805</v>
      </c>
      <c r="DE52" s="206">
        <v>55266</v>
      </c>
      <c r="DF52" s="206">
        <v>4186</v>
      </c>
      <c r="DG52" s="206">
        <v>52</v>
      </c>
      <c r="DH52" s="210">
        <f t="shared" si="64"/>
        <v>9.0163051672518146E-2</v>
      </c>
      <c r="DI52" s="206">
        <v>40</v>
      </c>
      <c r="DJ52" s="206">
        <v>40</v>
      </c>
      <c r="DL52" s="347">
        <v>3075</v>
      </c>
      <c r="DM52" s="205"/>
      <c r="DN52" s="209" t="s">
        <v>1082</v>
      </c>
      <c r="DO52" s="209" t="s">
        <v>125</v>
      </c>
      <c r="DP52" s="209"/>
      <c r="DQ52" s="207"/>
      <c r="DR52" s="218" t="s">
        <v>1142</v>
      </c>
      <c r="DS52" s="205" t="s">
        <v>1002</v>
      </c>
      <c r="DT52" s="229">
        <v>43282</v>
      </c>
      <c r="DU52" s="229">
        <v>43646</v>
      </c>
      <c r="DV52" s="218" t="s">
        <v>1142</v>
      </c>
      <c r="DW52" s="109">
        <f t="shared" si="65"/>
        <v>0.73172938160983914</v>
      </c>
      <c r="DX52" s="109">
        <f t="shared" si="66"/>
        <v>0</v>
      </c>
      <c r="DY52" s="109">
        <f t="shared" si="67"/>
        <v>2.4118508626445818</v>
      </c>
      <c r="DZ52" s="109">
        <f t="shared" si="68"/>
        <v>0.66592715445753548</v>
      </c>
      <c r="EA52" s="110">
        <f t="shared" si="72"/>
        <v>0.38050799262746066</v>
      </c>
      <c r="EB52" s="200">
        <f t="shared" si="47"/>
        <v>0.31697771452598894</v>
      </c>
    </row>
    <row r="53" spans="1:132" ht="17" thickBot="1">
      <c r="A53" s="218" t="s">
        <v>1143</v>
      </c>
      <c r="B53" s="342" t="s">
        <v>1223</v>
      </c>
      <c r="C53" s="347">
        <v>42594</v>
      </c>
      <c r="D53" s="207">
        <v>0</v>
      </c>
      <c r="E53" s="207">
        <v>0</v>
      </c>
      <c r="F53" s="206">
        <v>34000</v>
      </c>
      <c r="H53" s="108">
        <f t="shared" si="0"/>
        <v>34000</v>
      </c>
      <c r="I53" s="109">
        <v>0.82413999999999998</v>
      </c>
      <c r="J53" s="208">
        <v>1252289</v>
      </c>
      <c r="K53" s="208">
        <v>467011</v>
      </c>
      <c r="L53" s="115">
        <f t="shared" si="33"/>
        <v>1719300</v>
      </c>
      <c r="M53" s="110">
        <f t="shared" si="50"/>
        <v>40.364840118326526</v>
      </c>
      <c r="N53" s="208">
        <v>169012</v>
      </c>
      <c r="O53" s="208">
        <v>133177</v>
      </c>
      <c r="P53" s="222">
        <v>41423</v>
      </c>
      <c r="Q53" s="115">
        <v>343612</v>
      </c>
      <c r="R53" s="110">
        <f t="shared" si="51"/>
        <v>8.0671456073625389</v>
      </c>
      <c r="S53" s="222">
        <v>370332</v>
      </c>
      <c r="T53" s="208">
        <v>2433244</v>
      </c>
      <c r="U53" s="208">
        <v>0</v>
      </c>
      <c r="V53" s="208">
        <v>2433244</v>
      </c>
      <c r="W53" s="110">
        <f t="shared" si="52"/>
        <v>57.126449734704416</v>
      </c>
      <c r="X53" s="111">
        <f t="shared" si="34"/>
        <v>0.70658758431131441</v>
      </c>
      <c r="Y53" s="111">
        <f t="shared" si="35"/>
        <v>0.14121559531226627</v>
      </c>
      <c r="Z53" s="111">
        <f t="shared" si="36"/>
        <v>0.1521968203764193</v>
      </c>
      <c r="AA53" s="111">
        <f t="shared" si="37"/>
        <v>0</v>
      </c>
      <c r="AB53" s="208">
        <v>407380</v>
      </c>
      <c r="AE53" s="208"/>
      <c r="AF53" s="208">
        <v>2433244</v>
      </c>
      <c r="AG53" s="208">
        <v>1357209</v>
      </c>
      <c r="AH53" s="208"/>
      <c r="AI53" s="115">
        <f t="shared" si="53"/>
        <v>3790453</v>
      </c>
      <c r="AJ53" s="110">
        <f t="shared" si="54"/>
        <v>88.990303798657081</v>
      </c>
      <c r="AK53" s="208">
        <v>25365</v>
      </c>
      <c r="AL53" s="208">
        <v>2239</v>
      </c>
      <c r="AM53" s="208">
        <v>70506</v>
      </c>
      <c r="AN53" s="208"/>
      <c r="AO53" s="115">
        <f t="shared" si="38"/>
        <v>70506</v>
      </c>
      <c r="AP53" s="208">
        <v>2983737</v>
      </c>
      <c r="AQ53" s="112">
        <f t="shared" si="55"/>
        <v>70.050640935343012</v>
      </c>
      <c r="AR53" s="208"/>
      <c r="AS53" s="222">
        <v>558409</v>
      </c>
      <c r="AT53" s="208">
        <v>0</v>
      </c>
      <c r="AU53" s="222">
        <v>0</v>
      </c>
      <c r="AV53" s="222">
        <v>0</v>
      </c>
      <c r="AW53" s="208"/>
      <c r="AX53" s="222">
        <v>0</v>
      </c>
      <c r="AY53" s="115">
        <f t="shared" si="39"/>
        <v>558409</v>
      </c>
      <c r="AZ53" s="206">
        <v>103920</v>
      </c>
      <c r="BA53" s="109">
        <f t="shared" si="56"/>
        <v>2.439780250739541</v>
      </c>
      <c r="BB53" s="223">
        <v>5606</v>
      </c>
      <c r="BC53" s="223">
        <v>5606</v>
      </c>
      <c r="BD53" s="223">
        <v>10191</v>
      </c>
      <c r="BE53" s="223">
        <v>2292</v>
      </c>
      <c r="BF53" s="223">
        <v>147600</v>
      </c>
      <c r="BG53" s="223">
        <v>12</v>
      </c>
      <c r="BH53" s="223">
        <v>89</v>
      </c>
      <c r="BI53" s="206">
        <v>0</v>
      </c>
      <c r="BJ53" s="116">
        <f t="shared" si="40"/>
        <v>101</v>
      </c>
      <c r="BK53" s="223">
        <v>306832</v>
      </c>
      <c r="BL53" s="109">
        <f t="shared" si="57"/>
        <v>7.2036437056862468</v>
      </c>
      <c r="BM53" s="223">
        <v>146</v>
      </c>
      <c r="BN53" s="206">
        <v>25841</v>
      </c>
      <c r="BO53" s="109">
        <f t="shared" si="58"/>
        <v>0.60668169225712543</v>
      </c>
      <c r="BP53" s="206">
        <v>219734</v>
      </c>
      <c r="BQ53" s="206">
        <v>0</v>
      </c>
      <c r="BR53" s="230">
        <f t="shared" si="41"/>
        <v>357560</v>
      </c>
      <c r="BS53" s="230">
        <v>178547</v>
      </c>
      <c r="BT53" s="223">
        <v>536107</v>
      </c>
      <c r="BU53" s="109">
        <f t="shared" si="59"/>
        <v>12.586444100107997</v>
      </c>
      <c r="BV53" s="108">
        <f t="shared" si="70"/>
        <v>15639.060676779463</v>
      </c>
      <c r="BW53" s="109">
        <f t="shared" si="60"/>
        <v>221.62339809838775</v>
      </c>
      <c r="BX53" s="109">
        <f t="shared" si="61"/>
        <v>3.6831919205798496</v>
      </c>
      <c r="BY53" s="109">
        <f t="shared" si="69"/>
        <v>1.7472330135057621</v>
      </c>
      <c r="BZ53" s="206">
        <v>516</v>
      </c>
      <c r="CA53" s="206">
        <v>47</v>
      </c>
      <c r="CB53" s="206">
        <v>293</v>
      </c>
      <c r="CC53" s="113">
        <f t="shared" si="44"/>
        <v>856</v>
      </c>
      <c r="CD53" s="206">
        <v>28890</v>
      </c>
      <c r="CE53" s="206">
        <v>550</v>
      </c>
      <c r="CF53" s="206">
        <v>3541</v>
      </c>
      <c r="CG53" s="116">
        <f t="shared" si="45"/>
        <v>32981</v>
      </c>
      <c r="CH53" s="109">
        <f t="shared" si="62"/>
        <v>0.77431093581255572</v>
      </c>
      <c r="CI53" s="206">
        <v>145555</v>
      </c>
      <c r="CJ53" s="109">
        <f t="shared" si="63"/>
        <v>3.4172653425365076</v>
      </c>
      <c r="CK53" s="223">
        <v>55089</v>
      </c>
      <c r="CL53" s="209" t="s">
        <v>7</v>
      </c>
      <c r="CM53" s="209" t="s">
        <v>7</v>
      </c>
      <c r="CN53" s="209" t="s">
        <v>7</v>
      </c>
      <c r="CO53" s="210">
        <v>8</v>
      </c>
      <c r="CP53" s="210">
        <v>0</v>
      </c>
      <c r="CQ53" s="210">
        <v>0</v>
      </c>
      <c r="CR53" s="210">
        <v>26.28</v>
      </c>
      <c r="CS53" s="180">
        <f t="shared" si="46"/>
        <v>34.28</v>
      </c>
      <c r="CT53" s="108">
        <f t="shared" si="71"/>
        <v>1242.5320886814468</v>
      </c>
      <c r="CU53" s="206">
        <v>698</v>
      </c>
      <c r="CV53" s="208">
        <v>97534</v>
      </c>
      <c r="CW53" s="210">
        <v>30</v>
      </c>
      <c r="CX53" s="209" t="s">
        <v>7</v>
      </c>
      <c r="CY53" s="209" t="s">
        <v>7</v>
      </c>
      <c r="CZ53" s="206">
        <v>244</v>
      </c>
      <c r="DA53" s="206">
        <v>290</v>
      </c>
      <c r="DB53" s="206">
        <v>46</v>
      </c>
      <c r="DC53" s="206">
        <v>14926</v>
      </c>
      <c r="DD53" s="206">
        <v>28210</v>
      </c>
      <c r="DE53" s="206">
        <v>87568</v>
      </c>
      <c r="DF53" s="206">
        <v>3055</v>
      </c>
      <c r="DG53" s="206">
        <v>50</v>
      </c>
      <c r="DH53" s="210">
        <f t="shared" si="64"/>
        <v>7.1723716955439734E-2</v>
      </c>
      <c r="DI53" s="206">
        <v>24</v>
      </c>
      <c r="DJ53" s="206">
        <v>24</v>
      </c>
      <c r="DL53" s="347">
        <v>2419</v>
      </c>
      <c r="DM53" s="205"/>
      <c r="DN53" s="209" t="s">
        <v>1083</v>
      </c>
      <c r="DO53" s="209" t="s">
        <v>1031</v>
      </c>
      <c r="DP53" s="209"/>
      <c r="DQ53" s="207"/>
      <c r="DR53" s="218" t="s">
        <v>1143</v>
      </c>
      <c r="DS53" s="205" t="s">
        <v>998</v>
      </c>
      <c r="DT53" s="229">
        <v>43282</v>
      </c>
      <c r="DU53" s="229">
        <v>43646</v>
      </c>
      <c r="DV53" s="218" t="s">
        <v>1143</v>
      </c>
      <c r="DW53" s="109">
        <f t="shared" si="65"/>
        <v>5.1588017091609144</v>
      </c>
      <c r="DX53" s="109">
        <f t="shared" si="66"/>
        <v>0</v>
      </c>
      <c r="DY53" s="109">
        <f t="shared" si="67"/>
        <v>8.3946095694229239</v>
      </c>
      <c r="DZ53" s="109">
        <f t="shared" si="68"/>
        <v>4.1918345306850728</v>
      </c>
      <c r="EA53" s="110">
        <f t="shared" si="72"/>
        <v>0.29276590437454747</v>
      </c>
      <c r="EB53" s="200">
        <f t="shared" si="47"/>
        <v>0.7458932381949851</v>
      </c>
    </row>
    <row r="54" spans="1:132" ht="17" thickBot="1">
      <c r="A54" s="218" t="s">
        <v>1144</v>
      </c>
      <c r="B54" s="342" t="s">
        <v>1224</v>
      </c>
      <c r="C54" s="347">
        <v>49721</v>
      </c>
      <c r="D54" s="207">
        <v>4</v>
      </c>
      <c r="E54" s="207">
        <v>1</v>
      </c>
      <c r="F54" s="206">
        <v>37868</v>
      </c>
      <c r="H54" s="108">
        <f t="shared" si="0"/>
        <v>37868</v>
      </c>
      <c r="I54" s="109">
        <v>0.76259999999999994</v>
      </c>
      <c r="J54" s="208">
        <v>533388</v>
      </c>
      <c r="K54" s="208">
        <v>251870</v>
      </c>
      <c r="L54" s="115">
        <f t="shared" si="33"/>
        <v>785258</v>
      </c>
      <c r="M54" s="110">
        <f t="shared" si="50"/>
        <v>15.793286538886989</v>
      </c>
      <c r="N54" s="208">
        <v>58550</v>
      </c>
      <c r="O54" s="208">
        <v>20267</v>
      </c>
      <c r="P54" s="222">
        <v>10089</v>
      </c>
      <c r="Q54" s="115">
        <v>88906</v>
      </c>
      <c r="R54" s="110">
        <f t="shared" si="51"/>
        <v>1.7880975845216307</v>
      </c>
      <c r="S54" s="222">
        <v>229890</v>
      </c>
      <c r="T54" s="208">
        <v>1104054</v>
      </c>
      <c r="U54" s="208">
        <v>0</v>
      </c>
      <c r="V54" s="208">
        <v>1104054</v>
      </c>
      <c r="W54" s="110">
        <f t="shared" si="52"/>
        <v>22.20498380965789</v>
      </c>
      <c r="X54" s="111">
        <f t="shared" si="34"/>
        <v>0.71124963090573468</v>
      </c>
      <c r="Y54" s="111">
        <f t="shared" si="35"/>
        <v>8.0526858287728681E-2</v>
      </c>
      <c r="Z54" s="111">
        <f t="shared" si="36"/>
        <v>0.20822351080653664</v>
      </c>
      <c r="AA54" s="111">
        <f t="shared" si="37"/>
        <v>0</v>
      </c>
      <c r="AB54" s="208">
        <v>11581</v>
      </c>
      <c r="AE54" s="208"/>
      <c r="AF54" s="208">
        <v>1104054</v>
      </c>
      <c r="AG54" s="208">
        <v>456263</v>
      </c>
      <c r="AH54" s="208"/>
      <c r="AI54" s="115">
        <f t="shared" si="53"/>
        <v>1560317</v>
      </c>
      <c r="AJ54" s="110">
        <f t="shared" si="54"/>
        <v>31.38144848253253</v>
      </c>
      <c r="AK54" s="208">
        <v>295724</v>
      </c>
      <c r="AL54" s="208">
        <v>19099</v>
      </c>
      <c r="AM54" s="208">
        <v>19403</v>
      </c>
      <c r="AN54" s="208"/>
      <c r="AO54" s="115">
        <f t="shared" si="38"/>
        <v>19403</v>
      </c>
      <c r="AP54" s="208">
        <v>1107065</v>
      </c>
      <c r="AQ54" s="112">
        <f t="shared" si="55"/>
        <v>22.2655417228133</v>
      </c>
      <c r="AR54" s="208"/>
      <c r="AS54" s="222">
        <v>18557</v>
      </c>
      <c r="AT54" s="208">
        <v>0</v>
      </c>
      <c r="AU54" s="222">
        <v>0</v>
      </c>
      <c r="AV54" s="222">
        <v>0</v>
      </c>
      <c r="AW54" s="208"/>
      <c r="AX54" s="222">
        <v>0</v>
      </c>
      <c r="AY54" s="115">
        <f t="shared" si="39"/>
        <v>18557</v>
      </c>
      <c r="AZ54" s="206">
        <v>120819</v>
      </c>
      <c r="BA54" s="109">
        <f t="shared" si="56"/>
        <v>2.4299390599545463</v>
      </c>
      <c r="BB54" s="223">
        <v>7196</v>
      </c>
      <c r="BC54" s="223">
        <v>7196</v>
      </c>
      <c r="BD54" s="223">
        <v>10471</v>
      </c>
      <c r="BE54" s="223">
        <v>1752</v>
      </c>
      <c r="BF54" s="223">
        <v>72700</v>
      </c>
      <c r="BG54" s="223">
        <v>4</v>
      </c>
      <c r="BH54" s="223">
        <v>89</v>
      </c>
      <c r="BI54" s="206">
        <v>0</v>
      </c>
      <c r="BJ54" s="116">
        <f t="shared" si="40"/>
        <v>93</v>
      </c>
      <c r="BK54" s="223">
        <v>225530</v>
      </c>
      <c r="BL54" s="109">
        <f t="shared" si="57"/>
        <v>4.5359103799199536</v>
      </c>
      <c r="BM54" s="223">
        <v>219</v>
      </c>
      <c r="BN54" s="206">
        <v>96889</v>
      </c>
      <c r="BO54" s="109">
        <f t="shared" si="58"/>
        <v>1.9486534864544156</v>
      </c>
      <c r="BP54" s="206">
        <v>44023</v>
      </c>
      <c r="BQ54" s="206">
        <v>0</v>
      </c>
      <c r="BR54" s="230">
        <f t="shared" si="41"/>
        <v>152383</v>
      </c>
      <c r="BS54" s="230">
        <v>9708</v>
      </c>
      <c r="BT54" s="223">
        <v>162091</v>
      </c>
      <c r="BU54" s="109">
        <f t="shared" si="59"/>
        <v>3.2600108606021601</v>
      </c>
      <c r="BV54" s="108">
        <f t="shared" si="70"/>
        <v>9467.9322429906533</v>
      </c>
      <c r="BW54" s="109">
        <f t="shared" si="60"/>
        <v>18.760532407407407</v>
      </c>
      <c r="BX54" s="109">
        <f t="shared" si="61"/>
        <v>1.024899938666987</v>
      </c>
      <c r="BY54" s="109">
        <f t="shared" si="69"/>
        <v>0.71871147962577042</v>
      </c>
      <c r="BZ54" s="206">
        <v>343</v>
      </c>
      <c r="CA54" s="206">
        <v>56</v>
      </c>
      <c r="CB54" s="206">
        <v>274</v>
      </c>
      <c r="CC54" s="113">
        <f t="shared" si="44"/>
        <v>673</v>
      </c>
      <c r="CD54" s="206">
        <v>6569</v>
      </c>
      <c r="CE54" s="206">
        <v>1084</v>
      </c>
      <c r="CF54" s="206">
        <v>3100</v>
      </c>
      <c r="CG54" s="116">
        <f t="shared" si="45"/>
        <v>10753</v>
      </c>
      <c r="CH54" s="109">
        <f t="shared" si="62"/>
        <v>0.21626676856861285</v>
      </c>
      <c r="CI54" s="206">
        <v>158153</v>
      </c>
      <c r="CJ54" s="109">
        <f t="shared" si="63"/>
        <v>3.1808089137386619</v>
      </c>
      <c r="CK54" s="223">
        <v>10461</v>
      </c>
      <c r="CL54" s="209" t="s">
        <v>7</v>
      </c>
      <c r="CM54" s="209" t="s">
        <v>7</v>
      </c>
      <c r="CN54" s="209" t="s">
        <v>7</v>
      </c>
      <c r="CO54" s="210">
        <v>1.88</v>
      </c>
      <c r="CP54" s="210">
        <v>0</v>
      </c>
      <c r="CQ54" s="210">
        <v>0</v>
      </c>
      <c r="CR54" s="210">
        <v>15.24</v>
      </c>
      <c r="CS54" s="180">
        <f t="shared" si="46"/>
        <v>17.12</v>
      </c>
      <c r="CT54" s="108">
        <f t="shared" si="71"/>
        <v>2904.2640186915887</v>
      </c>
      <c r="CU54" s="206">
        <v>1599</v>
      </c>
      <c r="CV54" s="208">
        <v>44000</v>
      </c>
      <c r="CW54" s="210">
        <v>30</v>
      </c>
      <c r="CX54" s="209" t="s">
        <v>7</v>
      </c>
      <c r="CY54" s="209" t="s">
        <v>7</v>
      </c>
      <c r="CZ54" s="206">
        <v>15</v>
      </c>
      <c r="DA54" s="206">
        <v>7</v>
      </c>
      <c r="DB54" s="206">
        <v>84</v>
      </c>
      <c r="DC54" s="206">
        <v>26462</v>
      </c>
      <c r="DD54" s="206">
        <v>11848</v>
      </c>
      <c r="DE54" s="206">
        <v>196853</v>
      </c>
      <c r="DF54" s="206">
        <v>11986</v>
      </c>
      <c r="DG54" s="206">
        <v>52</v>
      </c>
      <c r="DH54" s="210">
        <f t="shared" si="64"/>
        <v>0.2410651435007341</v>
      </c>
      <c r="DI54" s="206">
        <v>32</v>
      </c>
      <c r="DJ54" s="206">
        <v>32</v>
      </c>
      <c r="DL54" s="347">
        <v>8640</v>
      </c>
      <c r="DM54" s="205"/>
      <c r="DN54" s="209" t="s">
        <v>1084</v>
      </c>
      <c r="DO54" s="209" t="s">
        <v>1030</v>
      </c>
      <c r="DP54" s="209"/>
      <c r="DQ54" s="207"/>
      <c r="DR54" s="218" t="s">
        <v>1144</v>
      </c>
      <c r="DS54" s="205" t="s">
        <v>1003</v>
      </c>
      <c r="DT54" s="229">
        <v>43282</v>
      </c>
      <c r="DU54" s="229">
        <v>43646</v>
      </c>
      <c r="DV54" s="218" t="s">
        <v>1144</v>
      </c>
      <c r="DW54" s="109">
        <f t="shared" si="65"/>
        <v>0.88540053498521754</v>
      </c>
      <c r="DX54" s="109">
        <f t="shared" si="66"/>
        <v>0</v>
      </c>
      <c r="DY54" s="109">
        <f t="shared" si="67"/>
        <v>3.0647613684358723</v>
      </c>
      <c r="DZ54" s="109">
        <f t="shared" si="68"/>
        <v>0.1952494921662879</v>
      </c>
      <c r="EA54" s="110">
        <f t="shared" si="72"/>
        <v>0.29810698247507711</v>
      </c>
      <c r="EB54" s="200">
        <v>0</v>
      </c>
    </row>
    <row r="55" spans="1:132" ht="17" thickBot="1">
      <c r="A55" s="218" t="s">
        <v>1145</v>
      </c>
      <c r="B55" s="342" t="s">
        <v>1225</v>
      </c>
      <c r="C55" s="347">
        <v>88028</v>
      </c>
      <c r="D55" s="207">
        <v>7</v>
      </c>
      <c r="E55" s="207">
        <v>0</v>
      </c>
      <c r="F55" s="206">
        <v>60942</v>
      </c>
      <c r="H55" s="108">
        <f t="shared" si="0"/>
        <v>60942</v>
      </c>
      <c r="I55" s="109">
        <v>0.68757999999999997</v>
      </c>
      <c r="J55" s="208">
        <v>935204</v>
      </c>
      <c r="K55" s="208">
        <v>266756</v>
      </c>
      <c r="L55" s="115">
        <f t="shared" si="33"/>
        <v>1201960</v>
      </c>
      <c r="M55" s="110">
        <f t="shared" si="50"/>
        <v>13.654291816240287</v>
      </c>
      <c r="N55" s="208">
        <v>114854</v>
      </c>
      <c r="O55" s="208">
        <v>44084</v>
      </c>
      <c r="P55" s="222">
        <v>9993</v>
      </c>
      <c r="Q55" s="115">
        <v>168931</v>
      </c>
      <c r="R55" s="110">
        <f t="shared" si="51"/>
        <v>1.9190598445949016</v>
      </c>
      <c r="S55" s="222">
        <v>454606</v>
      </c>
      <c r="T55" s="208">
        <v>1825497</v>
      </c>
      <c r="U55" s="208">
        <v>0</v>
      </c>
      <c r="V55" s="208">
        <v>1825497</v>
      </c>
      <c r="W55" s="110">
        <f t="shared" si="52"/>
        <v>20.737685736356614</v>
      </c>
      <c r="X55" s="111">
        <f t="shared" si="34"/>
        <v>0.65842891004477133</v>
      </c>
      <c r="Y55" s="111">
        <f t="shared" si="35"/>
        <v>9.2539730276193277E-2</v>
      </c>
      <c r="Z55" s="111">
        <f t="shared" si="36"/>
        <v>0.24903135967903536</v>
      </c>
      <c r="AA55" s="111">
        <f t="shared" si="37"/>
        <v>0</v>
      </c>
      <c r="AB55" s="208">
        <v>55269</v>
      </c>
      <c r="AE55" s="208"/>
      <c r="AF55" s="208">
        <v>1825497</v>
      </c>
      <c r="AG55" s="208">
        <v>978220</v>
      </c>
      <c r="AH55" s="208"/>
      <c r="AI55" s="115">
        <f t="shared" si="53"/>
        <v>2803717</v>
      </c>
      <c r="AJ55" s="110">
        <f t="shared" si="54"/>
        <v>31.850286272549642</v>
      </c>
      <c r="AK55" s="208">
        <v>332291</v>
      </c>
      <c r="AL55" s="208">
        <v>38194</v>
      </c>
      <c r="AM55" s="208">
        <v>579454</v>
      </c>
      <c r="AN55" s="208"/>
      <c r="AO55" s="115">
        <f t="shared" si="38"/>
        <v>579454</v>
      </c>
      <c r="AP55" s="208">
        <v>2133659</v>
      </c>
      <c r="AQ55" s="112">
        <f t="shared" si="55"/>
        <v>24.238412777752533</v>
      </c>
      <c r="AR55" s="208"/>
      <c r="AS55" s="222">
        <v>0</v>
      </c>
      <c r="AT55" s="208">
        <v>0</v>
      </c>
      <c r="AU55" s="222">
        <v>0</v>
      </c>
      <c r="AV55" s="222">
        <v>0</v>
      </c>
      <c r="AW55" s="208"/>
      <c r="AX55" s="222">
        <v>0</v>
      </c>
      <c r="AY55" s="115">
        <f t="shared" si="39"/>
        <v>0</v>
      </c>
      <c r="AZ55" s="206">
        <v>106344</v>
      </c>
      <c r="BA55" s="109">
        <f t="shared" si="56"/>
        <v>1.2080701594947063</v>
      </c>
      <c r="BB55" s="223">
        <v>3668</v>
      </c>
      <c r="BC55" s="223">
        <v>3668</v>
      </c>
      <c r="BD55" s="223">
        <v>8216</v>
      </c>
      <c r="BE55" s="223">
        <v>2067</v>
      </c>
      <c r="BF55" s="223">
        <v>107919</v>
      </c>
      <c r="BG55" s="223">
        <v>3</v>
      </c>
      <c r="BH55" s="223">
        <v>89</v>
      </c>
      <c r="BI55" s="206">
        <v>0</v>
      </c>
      <c r="BJ55" s="116">
        <f t="shared" si="40"/>
        <v>92</v>
      </c>
      <c r="BK55" s="223">
        <v>247468</v>
      </c>
      <c r="BL55" s="109">
        <f t="shared" si="57"/>
        <v>2.811241877584405</v>
      </c>
      <c r="BM55" s="223">
        <v>316</v>
      </c>
      <c r="BN55" s="206">
        <v>70067</v>
      </c>
      <c r="BO55" s="109">
        <f t="shared" si="58"/>
        <v>0.79596264824828467</v>
      </c>
      <c r="BP55" s="206">
        <v>56760</v>
      </c>
      <c r="BQ55" s="206">
        <v>0</v>
      </c>
      <c r="BR55" s="230">
        <f t="shared" si="41"/>
        <v>123869</v>
      </c>
      <c r="BS55" s="230">
        <v>38706</v>
      </c>
      <c r="BT55" s="223">
        <v>162575</v>
      </c>
      <c r="BU55" s="109">
        <f t="shared" si="59"/>
        <v>1.8468555459626483</v>
      </c>
      <c r="BV55" s="108">
        <f t="shared" si="70"/>
        <v>5172.60579064588</v>
      </c>
      <c r="BW55" s="109">
        <f t="shared" si="60"/>
        <v>11.505661712668083</v>
      </c>
      <c r="BX55" s="109">
        <f t="shared" si="61"/>
        <v>0.72200362389639916</v>
      </c>
      <c r="BY55" s="109">
        <f t="shared" si="69"/>
        <v>0.65695362632744436</v>
      </c>
      <c r="BZ55" s="206">
        <v>993</v>
      </c>
      <c r="CA55" s="206">
        <v>180</v>
      </c>
      <c r="CB55" s="206">
        <v>341</v>
      </c>
      <c r="CC55" s="113">
        <f t="shared" si="44"/>
        <v>1514</v>
      </c>
      <c r="CD55" s="206">
        <v>22778</v>
      </c>
      <c r="CE55" s="206">
        <v>4319</v>
      </c>
      <c r="CF55" s="206">
        <v>4760</v>
      </c>
      <c r="CG55" s="116">
        <f t="shared" si="45"/>
        <v>31857</v>
      </c>
      <c r="CH55" s="109">
        <f t="shared" si="62"/>
        <v>0.36189621484073248</v>
      </c>
      <c r="CI55" s="206">
        <v>225172</v>
      </c>
      <c r="CJ55" s="109">
        <f t="shared" si="63"/>
        <v>2.5579588312809562</v>
      </c>
      <c r="CK55" s="223">
        <v>46578</v>
      </c>
      <c r="CL55" s="209" t="s">
        <v>7</v>
      </c>
      <c r="CM55" s="209" t="s">
        <v>7</v>
      </c>
      <c r="CN55" s="209" t="s">
        <v>7</v>
      </c>
      <c r="CO55" s="210">
        <v>6.73</v>
      </c>
      <c r="CP55" s="108">
        <f>C55/CO55</f>
        <v>13079.940564635957</v>
      </c>
      <c r="CQ55" s="210">
        <v>0</v>
      </c>
      <c r="CR55" s="210">
        <v>24.7</v>
      </c>
      <c r="CS55" s="180">
        <f t="shared" si="46"/>
        <v>31.43</v>
      </c>
      <c r="CT55" s="108">
        <f t="shared" si="71"/>
        <v>2800.7636016544702</v>
      </c>
      <c r="CU55" s="206">
        <v>962</v>
      </c>
      <c r="CV55" s="208">
        <v>96000</v>
      </c>
      <c r="CW55" s="210">
        <v>40</v>
      </c>
      <c r="CX55" s="209" t="s">
        <v>7</v>
      </c>
      <c r="CY55" s="209" t="s">
        <v>7</v>
      </c>
      <c r="CZ55" s="206">
        <v>14069</v>
      </c>
      <c r="DA55" s="206">
        <v>5231</v>
      </c>
      <c r="DB55" s="206">
        <v>140</v>
      </c>
      <c r="DC55" s="206">
        <v>52396</v>
      </c>
      <c r="DD55" s="206">
        <v>151577</v>
      </c>
      <c r="DE55" s="206">
        <v>125605</v>
      </c>
      <c r="DF55" s="206">
        <v>17368</v>
      </c>
      <c r="DG55" s="206">
        <v>52</v>
      </c>
      <c r="DH55" s="210">
        <f t="shared" si="64"/>
        <v>0.19730085881764892</v>
      </c>
      <c r="DI55" s="206">
        <v>54</v>
      </c>
      <c r="DJ55" s="206">
        <v>54</v>
      </c>
      <c r="DL55" s="347">
        <v>14130</v>
      </c>
      <c r="DM55" s="205"/>
      <c r="DN55" s="209" t="s">
        <v>1085</v>
      </c>
      <c r="DO55" s="209" t="s">
        <v>1030</v>
      </c>
      <c r="DP55" s="209"/>
      <c r="DQ55" s="207"/>
      <c r="DR55" s="218" t="s">
        <v>1145</v>
      </c>
      <c r="DS55" s="205" t="s">
        <v>1004</v>
      </c>
      <c r="DT55" s="229">
        <v>43282</v>
      </c>
      <c r="DU55" s="229">
        <v>43646</v>
      </c>
      <c r="DV55" s="218" t="s">
        <v>1145</v>
      </c>
      <c r="DW55" s="109">
        <f t="shared" si="65"/>
        <v>0.64479483800608894</v>
      </c>
      <c r="DX55" s="109">
        <f t="shared" si="66"/>
        <v>0</v>
      </c>
      <c r="DY55" s="109">
        <f t="shared" si="67"/>
        <v>1.4071545417367202</v>
      </c>
      <c r="DZ55" s="109">
        <f t="shared" si="68"/>
        <v>0.43970100422592812</v>
      </c>
      <c r="EA55" s="110">
        <f t="shared" si="72"/>
        <v>0.63585581495773102</v>
      </c>
      <c r="EB55" s="200">
        <f t="shared" si="47"/>
        <v>1.1389448664289774</v>
      </c>
    </row>
    <row r="56" spans="1:132" ht="17" thickBot="1">
      <c r="A56" s="218" t="s">
        <v>1005</v>
      </c>
      <c r="B56" s="342" t="s">
        <v>1226</v>
      </c>
      <c r="C56" s="347">
        <v>233062</v>
      </c>
      <c r="D56" s="207">
        <v>3</v>
      </c>
      <c r="E56" s="207">
        <v>0</v>
      </c>
      <c r="F56" s="206">
        <v>142228</v>
      </c>
      <c r="H56" s="108">
        <f t="shared" si="0"/>
        <v>142228</v>
      </c>
      <c r="I56" s="109">
        <v>0.60887000000000002</v>
      </c>
      <c r="J56" s="208">
        <v>2529872</v>
      </c>
      <c r="K56" s="208">
        <v>862489</v>
      </c>
      <c r="L56" s="115">
        <f t="shared" si="33"/>
        <v>3392361</v>
      </c>
      <c r="M56" s="110">
        <f t="shared" si="50"/>
        <v>14.555616102153076</v>
      </c>
      <c r="N56" s="208">
        <v>371824</v>
      </c>
      <c r="O56" s="208">
        <v>177763</v>
      </c>
      <c r="P56" s="222">
        <v>54516.63</v>
      </c>
      <c r="Q56" s="115">
        <v>604103.63</v>
      </c>
      <c r="R56" s="110">
        <f t="shared" si="51"/>
        <v>2.5920297174142504</v>
      </c>
      <c r="S56" s="222">
        <v>324430.89</v>
      </c>
      <c r="T56" s="208">
        <v>4320895.5199999996</v>
      </c>
      <c r="U56" s="208">
        <v>0</v>
      </c>
      <c r="V56" s="208">
        <v>4320895.5199999996</v>
      </c>
      <c r="W56" s="110">
        <f t="shared" si="52"/>
        <v>18.539682659549818</v>
      </c>
      <c r="X56" s="111">
        <f t="shared" si="34"/>
        <v>0.7851060004339101</v>
      </c>
      <c r="Y56" s="111">
        <f t="shared" si="35"/>
        <v>0.13980982118262375</v>
      </c>
      <c r="Z56" s="111">
        <f t="shared" si="36"/>
        <v>7.5084178383466219E-2</v>
      </c>
      <c r="AA56" s="111">
        <f t="shared" si="37"/>
        <v>0</v>
      </c>
      <c r="AB56" s="208">
        <v>545200</v>
      </c>
      <c r="AE56" s="208"/>
      <c r="AF56" s="208">
        <v>4320895.5199999996</v>
      </c>
      <c r="AG56" s="208">
        <v>3967063</v>
      </c>
      <c r="AH56" s="208"/>
      <c r="AI56" s="115">
        <f t="shared" si="53"/>
        <v>8287958.5199999996</v>
      </c>
      <c r="AJ56" s="110">
        <f t="shared" si="54"/>
        <v>35.561174794689826</v>
      </c>
      <c r="AK56" s="208">
        <v>217818</v>
      </c>
      <c r="AL56" s="208">
        <v>24531</v>
      </c>
      <c r="AM56" s="208">
        <v>200200</v>
      </c>
      <c r="AN56" s="208"/>
      <c r="AO56" s="115">
        <f t="shared" si="38"/>
        <v>200200</v>
      </c>
      <c r="AP56" s="208">
        <v>4409612</v>
      </c>
      <c r="AQ56" s="112">
        <f t="shared" si="55"/>
        <v>18.920338793968988</v>
      </c>
      <c r="AR56" s="208"/>
      <c r="AS56" s="222">
        <v>0</v>
      </c>
      <c r="AT56" s="208">
        <v>0</v>
      </c>
      <c r="AU56" s="222">
        <v>0</v>
      </c>
      <c r="AV56" s="222">
        <v>0</v>
      </c>
      <c r="AW56" s="208"/>
      <c r="AX56" s="222">
        <v>0</v>
      </c>
      <c r="AY56" s="115">
        <f t="shared" si="39"/>
        <v>0</v>
      </c>
      <c r="AZ56" s="206">
        <v>353551</v>
      </c>
      <c r="BA56" s="109">
        <f t="shared" si="56"/>
        <v>1.516982605486952</v>
      </c>
      <c r="BB56" s="223">
        <v>14460</v>
      </c>
      <c r="BC56" s="223">
        <v>14460</v>
      </c>
      <c r="BD56" s="223">
        <v>20496</v>
      </c>
      <c r="BE56" s="223">
        <v>2179</v>
      </c>
      <c r="BF56" s="223">
        <v>165018</v>
      </c>
      <c r="BG56" s="223">
        <v>43</v>
      </c>
      <c r="BH56" s="223">
        <v>89</v>
      </c>
      <c r="BI56" s="206">
        <v>0</v>
      </c>
      <c r="BJ56" s="116">
        <f t="shared" si="40"/>
        <v>132</v>
      </c>
      <c r="BK56" s="223">
        <v>591386</v>
      </c>
      <c r="BL56" s="109">
        <f t="shared" si="57"/>
        <v>2.5374621345393074</v>
      </c>
      <c r="BM56" s="223">
        <v>388</v>
      </c>
      <c r="BN56" s="206">
        <v>225004</v>
      </c>
      <c r="BO56" s="109">
        <f t="shared" si="58"/>
        <v>0.96542550909200131</v>
      </c>
      <c r="BP56" s="206">
        <v>292854</v>
      </c>
      <c r="BQ56" s="206">
        <v>0</v>
      </c>
      <c r="BR56" s="230">
        <f t="shared" si="41"/>
        <v>820134</v>
      </c>
      <c r="BS56" s="230">
        <v>843474</v>
      </c>
      <c r="BT56" s="223">
        <v>1663608</v>
      </c>
      <c r="BU56" s="109">
        <f t="shared" si="59"/>
        <v>7.1380491028138433</v>
      </c>
      <c r="BV56" s="108">
        <f t="shared" si="70"/>
        <v>34160.328542094452</v>
      </c>
      <c r="BW56" s="109">
        <f t="shared" si="60"/>
        <v>198.04857142857142</v>
      </c>
      <c r="BX56" s="109">
        <f t="shared" si="61"/>
        <v>3.589175568006524</v>
      </c>
      <c r="BY56" s="109">
        <f t="shared" si="69"/>
        <v>2.8130662545274996</v>
      </c>
      <c r="BZ56" s="206">
        <v>1207</v>
      </c>
      <c r="CA56" s="206">
        <v>134</v>
      </c>
      <c r="CB56" s="206">
        <v>597</v>
      </c>
      <c r="CC56" s="113">
        <f t="shared" si="44"/>
        <v>1938</v>
      </c>
      <c r="CD56" s="206">
        <v>34331</v>
      </c>
      <c r="CE56" s="206">
        <v>2127</v>
      </c>
      <c r="CF56" s="206">
        <v>5358</v>
      </c>
      <c r="CG56" s="116">
        <f t="shared" si="45"/>
        <v>41816</v>
      </c>
      <c r="CH56" s="109">
        <f t="shared" si="62"/>
        <v>0.17942006847963202</v>
      </c>
      <c r="CI56" s="206">
        <v>463507</v>
      </c>
      <c r="CJ56" s="109">
        <f t="shared" si="63"/>
        <v>1.9887712282568586</v>
      </c>
      <c r="CK56" s="223">
        <v>137611</v>
      </c>
      <c r="CL56" s="209" t="s">
        <v>7</v>
      </c>
      <c r="CM56" s="209" t="s">
        <v>7</v>
      </c>
      <c r="CN56" s="209" t="s">
        <v>7</v>
      </c>
      <c r="CO56" s="210">
        <v>19</v>
      </c>
      <c r="CP56" s="210">
        <v>0</v>
      </c>
      <c r="CQ56" s="210">
        <v>0</v>
      </c>
      <c r="CR56" s="210">
        <v>29.7</v>
      </c>
      <c r="CS56" s="180">
        <f t="shared" si="46"/>
        <v>48.7</v>
      </c>
      <c r="CT56" s="108">
        <f t="shared" si="71"/>
        <v>4785.6673511293629</v>
      </c>
      <c r="CU56" s="206">
        <v>7156.67</v>
      </c>
      <c r="CV56" s="208">
        <v>129455</v>
      </c>
      <c r="CW56" s="210">
        <v>35</v>
      </c>
      <c r="CX56" s="209" t="s">
        <v>7</v>
      </c>
      <c r="CY56" s="209" t="s">
        <v>7</v>
      </c>
      <c r="CZ56" s="206">
        <v>427</v>
      </c>
      <c r="DA56" s="206">
        <v>852</v>
      </c>
      <c r="DB56" s="206">
        <v>137</v>
      </c>
      <c r="DC56" s="206">
        <v>54340</v>
      </c>
      <c r="DD56" s="206" t="s">
        <v>1115</v>
      </c>
      <c r="DE56" s="206">
        <v>399147</v>
      </c>
      <c r="DF56" s="206">
        <v>11759</v>
      </c>
      <c r="DG56" s="206">
        <v>30</v>
      </c>
      <c r="DH56" s="210">
        <f t="shared" si="64"/>
        <v>5.0454385528314355E-2</v>
      </c>
      <c r="DI56" s="206">
        <v>35</v>
      </c>
      <c r="DJ56" s="206">
        <v>35</v>
      </c>
      <c r="DL56" s="347">
        <v>8400</v>
      </c>
      <c r="DM56" s="205"/>
      <c r="DN56" s="209" t="s">
        <v>1086</v>
      </c>
      <c r="DO56" s="209" t="s">
        <v>125</v>
      </c>
      <c r="DP56" s="209"/>
      <c r="DQ56" s="207"/>
      <c r="DR56" s="218" t="s">
        <v>1005</v>
      </c>
      <c r="DS56" s="205" t="s">
        <v>1005</v>
      </c>
      <c r="DT56" s="229">
        <v>43282</v>
      </c>
      <c r="DU56" s="229">
        <v>43646</v>
      </c>
      <c r="DV56" s="218" t="s">
        <v>1005</v>
      </c>
      <c r="DW56" s="109">
        <f t="shared" si="65"/>
        <v>1.2565497592915189</v>
      </c>
      <c r="DX56" s="109">
        <f t="shared" si="66"/>
        <v>0</v>
      </c>
      <c r="DY56" s="109">
        <f t="shared" si="67"/>
        <v>3.518952038513357</v>
      </c>
      <c r="DZ56" s="109">
        <f t="shared" si="68"/>
        <v>3.6190970643004867</v>
      </c>
      <c r="EA56" s="110">
        <f t="shared" si="72"/>
        <v>0.33407727666425874</v>
      </c>
      <c r="EB56" s="200">
        <f t="shared" si="47"/>
        <v>0.2107510130721279</v>
      </c>
    </row>
    <row r="57" spans="1:132" ht="17" thickBot="1">
      <c r="A57" s="218" t="s">
        <v>1264</v>
      </c>
      <c r="B57" s="342" t="s">
        <v>1227</v>
      </c>
      <c r="C57" s="347">
        <v>169770</v>
      </c>
      <c r="D57" s="207">
        <v>13</v>
      </c>
      <c r="E57" s="207">
        <v>1</v>
      </c>
      <c r="F57" s="206">
        <v>98120</v>
      </c>
      <c r="H57" s="108">
        <f t="shared" si="0"/>
        <v>98120</v>
      </c>
      <c r="I57" s="109">
        <v>0.61075000000000002</v>
      </c>
      <c r="J57" s="208">
        <v>1320844</v>
      </c>
      <c r="K57" s="208">
        <v>454512</v>
      </c>
      <c r="L57" s="115">
        <f t="shared" si="33"/>
        <v>1775356</v>
      </c>
      <c r="M57" s="110">
        <f t="shared" si="50"/>
        <v>10.457418860811686</v>
      </c>
      <c r="N57" s="208">
        <v>99263</v>
      </c>
      <c r="O57" s="208">
        <v>38024</v>
      </c>
      <c r="P57" s="222">
        <v>8953</v>
      </c>
      <c r="Q57" s="115">
        <v>146240</v>
      </c>
      <c r="R57" s="110">
        <f t="shared" si="51"/>
        <v>0.86140071861930845</v>
      </c>
      <c r="S57" s="222">
        <v>505993</v>
      </c>
      <c r="T57" s="208">
        <v>2427589</v>
      </c>
      <c r="U57" s="208">
        <v>19008</v>
      </c>
      <c r="V57" s="208">
        <v>2427589</v>
      </c>
      <c r="W57" s="110">
        <f t="shared" si="52"/>
        <v>14.299281380691523</v>
      </c>
      <c r="X57" s="111">
        <f t="shared" si="34"/>
        <v>0.73132478356097341</v>
      </c>
      <c r="Y57" s="111">
        <f t="shared" si="35"/>
        <v>6.0240839779715595E-2</v>
      </c>
      <c r="Z57" s="111">
        <f t="shared" si="36"/>
        <v>0.20843437665931094</v>
      </c>
      <c r="AA57" s="111">
        <f t="shared" si="37"/>
        <v>7.8299909910615022E-3</v>
      </c>
      <c r="AB57" s="208">
        <v>0</v>
      </c>
      <c r="AE57" s="208"/>
      <c r="AF57" s="208">
        <v>2427589</v>
      </c>
      <c r="AG57" s="208">
        <v>1639491</v>
      </c>
      <c r="AH57" s="208"/>
      <c r="AI57" s="115">
        <f t="shared" si="53"/>
        <v>4067080</v>
      </c>
      <c r="AJ57" s="110">
        <f t="shared" si="54"/>
        <v>23.956411615715378</v>
      </c>
      <c r="AK57" s="208">
        <v>454548</v>
      </c>
      <c r="AL57" s="208">
        <v>4000</v>
      </c>
      <c r="AM57" s="208">
        <v>133559</v>
      </c>
      <c r="AN57" s="208"/>
      <c r="AO57" s="115">
        <f t="shared" si="38"/>
        <v>133559</v>
      </c>
      <c r="AP57" s="208">
        <v>2534448</v>
      </c>
      <c r="AQ57" s="112">
        <f t="shared" si="55"/>
        <v>14.928715320728044</v>
      </c>
      <c r="AR57" s="208"/>
      <c r="AS57" s="222">
        <v>0</v>
      </c>
      <c r="AT57" s="208">
        <v>0</v>
      </c>
      <c r="AU57" s="222">
        <v>0</v>
      </c>
      <c r="AV57" s="222">
        <v>0</v>
      </c>
      <c r="AW57" s="208"/>
      <c r="AX57" s="222">
        <v>0</v>
      </c>
      <c r="AY57" s="115">
        <f t="shared" si="39"/>
        <v>0</v>
      </c>
      <c r="AZ57" s="206">
        <v>332109</v>
      </c>
      <c r="BA57" s="109">
        <f t="shared" si="56"/>
        <v>1.9562290157271602</v>
      </c>
      <c r="BB57" s="223">
        <v>6601</v>
      </c>
      <c r="BC57" s="223">
        <v>6601</v>
      </c>
      <c r="BD57" s="223">
        <v>15248</v>
      </c>
      <c r="BE57" s="223">
        <v>1760</v>
      </c>
      <c r="BF57" s="223">
        <v>73451</v>
      </c>
      <c r="BG57" s="223">
        <v>1</v>
      </c>
      <c r="BH57" s="223">
        <v>89</v>
      </c>
      <c r="BI57" s="206">
        <v>0</v>
      </c>
      <c r="BJ57" s="116">
        <f t="shared" si="40"/>
        <v>90</v>
      </c>
      <c r="BK57" s="223">
        <v>442369</v>
      </c>
      <c r="BL57" s="109">
        <f t="shared" si="57"/>
        <v>2.6056959415680039</v>
      </c>
      <c r="BM57" s="223">
        <v>0</v>
      </c>
      <c r="BN57" s="206">
        <v>129530</v>
      </c>
      <c r="BO57" s="109">
        <f t="shared" si="58"/>
        <v>0.76297343464687517</v>
      </c>
      <c r="BP57" s="206">
        <v>139514</v>
      </c>
      <c r="BQ57" s="206">
        <v>0</v>
      </c>
      <c r="BR57" s="230">
        <f t="shared" si="41"/>
        <v>338250</v>
      </c>
      <c r="BS57" s="230">
        <v>53559</v>
      </c>
      <c r="BT57" s="223">
        <v>391809</v>
      </c>
      <c r="BU57" s="109">
        <f t="shared" si="59"/>
        <v>2.3078812511044355</v>
      </c>
      <c r="BV57" s="108">
        <f t="shared" si="70"/>
        <v>8130.5042539946053</v>
      </c>
      <c r="BW57" s="109">
        <f t="shared" si="60"/>
        <v>15.29966027568433</v>
      </c>
      <c r="BX57" s="109">
        <f t="shared" si="61"/>
        <v>1.6023073022312373</v>
      </c>
      <c r="BY57" s="109">
        <f t="shared" si="69"/>
        <v>0.88570627688649073</v>
      </c>
      <c r="BZ57" s="206">
        <v>1975</v>
      </c>
      <c r="CA57" s="206">
        <v>305</v>
      </c>
      <c r="CB57" s="206">
        <v>1371</v>
      </c>
      <c r="CC57" s="113">
        <f t="shared" si="44"/>
        <v>3651</v>
      </c>
      <c r="CD57" s="206">
        <v>91359</v>
      </c>
      <c r="CE57" s="206">
        <v>12376</v>
      </c>
      <c r="CF57" s="206">
        <v>37136</v>
      </c>
      <c r="CG57" s="116">
        <f t="shared" si="45"/>
        <v>140871</v>
      </c>
      <c r="CH57" s="109">
        <f t="shared" si="62"/>
        <v>0.82977557872415619</v>
      </c>
      <c r="CI57" s="206">
        <v>244528</v>
      </c>
      <c r="CJ57" s="109">
        <f t="shared" si="63"/>
        <v>1.4403487070742769</v>
      </c>
      <c r="CK57" s="223">
        <v>67633</v>
      </c>
      <c r="CL57" s="209" t="s">
        <v>7</v>
      </c>
      <c r="CM57" s="209" t="s">
        <v>7</v>
      </c>
      <c r="CN57" s="209" t="s">
        <v>7</v>
      </c>
      <c r="CO57" s="210">
        <v>2</v>
      </c>
      <c r="CP57" s="210">
        <v>0</v>
      </c>
      <c r="CQ57" s="210">
        <v>0</v>
      </c>
      <c r="CR57" s="210">
        <v>46.19</v>
      </c>
      <c r="CS57" s="180">
        <f t="shared" si="46"/>
        <v>48.19</v>
      </c>
      <c r="CT57" s="108">
        <f t="shared" si="71"/>
        <v>3522.9300684789378</v>
      </c>
      <c r="CU57" s="206">
        <v>4751</v>
      </c>
      <c r="CV57" s="208">
        <v>67121</v>
      </c>
      <c r="CW57" s="210">
        <v>40</v>
      </c>
      <c r="CX57" s="209" t="s">
        <v>7</v>
      </c>
      <c r="CY57" s="209" t="s">
        <v>7</v>
      </c>
      <c r="CZ57" s="206">
        <v>18271</v>
      </c>
      <c r="DA57" s="206">
        <v>22602</v>
      </c>
      <c r="DB57" s="206">
        <v>158</v>
      </c>
      <c r="DC57" s="206">
        <v>55105</v>
      </c>
      <c r="DD57" s="206">
        <v>120740</v>
      </c>
      <c r="DE57" s="206">
        <v>89374</v>
      </c>
      <c r="DF57" s="206">
        <v>33258</v>
      </c>
      <c r="DG57" s="206">
        <v>52</v>
      </c>
      <c r="DH57" s="210">
        <f t="shared" si="64"/>
        <v>0.19590033574836543</v>
      </c>
      <c r="DI57" s="206">
        <v>46</v>
      </c>
      <c r="DJ57" s="206">
        <v>46</v>
      </c>
      <c r="DL57" s="347">
        <v>25609</v>
      </c>
      <c r="DM57" s="205"/>
      <c r="DN57" s="209" t="s">
        <v>1087</v>
      </c>
      <c r="DO57" s="209" t="s">
        <v>1030</v>
      </c>
      <c r="DP57" s="209"/>
      <c r="DQ57" s="207"/>
      <c r="DR57" s="218" t="s">
        <v>1146</v>
      </c>
      <c r="DS57" s="205" t="s">
        <v>1006</v>
      </c>
      <c r="DT57" s="229">
        <v>43282</v>
      </c>
      <c r="DU57" s="229">
        <v>43646</v>
      </c>
      <c r="DV57" s="218" t="s">
        <v>1146</v>
      </c>
      <c r="DW57" s="109">
        <f t="shared" si="65"/>
        <v>0.82178241149790898</v>
      </c>
      <c r="DX57" s="109">
        <f t="shared" si="66"/>
        <v>0</v>
      </c>
      <c r="DY57" s="109">
        <f t="shared" si="67"/>
        <v>1.9924014843611946</v>
      </c>
      <c r="DZ57" s="109">
        <f t="shared" si="68"/>
        <v>0.31547976674324085</v>
      </c>
      <c r="EA57" s="110">
        <f t="shared" si="72"/>
        <v>0.20776575882653361</v>
      </c>
      <c r="EB57" s="200">
        <f t="shared" si="47"/>
        <v>0.70994604081480239</v>
      </c>
    </row>
    <row r="58" spans="1:132" ht="17" thickBot="1">
      <c r="A58" s="218" t="s">
        <v>1007</v>
      </c>
      <c r="B58" s="342" t="s">
        <v>1228</v>
      </c>
      <c r="C58" s="347">
        <v>207252</v>
      </c>
      <c r="D58" s="207">
        <v>3</v>
      </c>
      <c r="E58" s="207">
        <v>0</v>
      </c>
      <c r="F58" s="206">
        <v>34136</v>
      </c>
      <c r="H58" s="108">
        <f t="shared" si="0"/>
        <v>34136</v>
      </c>
      <c r="I58" s="109">
        <v>0.17172000000000001</v>
      </c>
      <c r="J58" s="208">
        <v>1243504</v>
      </c>
      <c r="K58" s="208">
        <v>409911</v>
      </c>
      <c r="L58" s="115">
        <f t="shared" si="33"/>
        <v>1653415</v>
      </c>
      <c r="M58" s="110">
        <f t="shared" si="50"/>
        <v>7.9777999729797537</v>
      </c>
      <c r="N58" s="208">
        <v>114014</v>
      </c>
      <c r="O58" s="208">
        <v>42027</v>
      </c>
      <c r="P58" s="222">
        <v>32839</v>
      </c>
      <c r="Q58" s="115">
        <v>188880</v>
      </c>
      <c r="R58" s="110">
        <f t="shared" si="51"/>
        <v>0.91135429332406925</v>
      </c>
      <c r="S58" s="222">
        <v>347848</v>
      </c>
      <c r="T58" s="208">
        <v>2190143</v>
      </c>
      <c r="U58" s="208">
        <v>0</v>
      </c>
      <c r="V58" s="208">
        <v>2190143</v>
      </c>
      <c r="W58" s="110">
        <f t="shared" si="52"/>
        <v>10.56753613957887</v>
      </c>
      <c r="X58" s="111">
        <f t="shared" si="34"/>
        <v>0.75493472344043289</v>
      </c>
      <c r="Y58" s="111">
        <f t="shared" si="35"/>
        <v>8.6240944084473026E-2</v>
      </c>
      <c r="Z58" s="111">
        <f t="shared" si="36"/>
        <v>0.15882433247509409</v>
      </c>
      <c r="AA58" s="111">
        <f t="shared" si="37"/>
        <v>0</v>
      </c>
      <c r="AB58" s="208">
        <v>0</v>
      </c>
      <c r="AE58" s="208"/>
      <c r="AF58" s="208">
        <v>2190143</v>
      </c>
      <c r="AG58" s="208">
        <v>1849690</v>
      </c>
      <c r="AH58" s="208"/>
      <c r="AI58" s="115">
        <f t="shared" si="53"/>
        <v>4039833</v>
      </c>
      <c r="AJ58" s="110">
        <f t="shared" si="54"/>
        <v>19.49237160558161</v>
      </c>
      <c r="AK58" s="208">
        <v>222469</v>
      </c>
      <c r="AL58" s="208">
        <v>9490</v>
      </c>
      <c r="AM58" s="208">
        <v>115557</v>
      </c>
      <c r="AN58" s="208"/>
      <c r="AO58" s="115">
        <f t="shared" si="38"/>
        <v>115557</v>
      </c>
      <c r="AP58" s="208">
        <v>2197206</v>
      </c>
      <c r="AQ58" s="112">
        <f t="shared" si="55"/>
        <v>10.601615424700364</v>
      </c>
      <c r="AR58" s="208"/>
      <c r="AS58" s="222">
        <v>0</v>
      </c>
      <c r="AT58" s="208">
        <v>0</v>
      </c>
      <c r="AU58" s="222">
        <v>0</v>
      </c>
      <c r="AV58" s="222">
        <v>0</v>
      </c>
      <c r="AW58" s="208"/>
      <c r="AX58" s="222">
        <v>0</v>
      </c>
      <c r="AY58" s="115">
        <f t="shared" si="39"/>
        <v>0</v>
      </c>
      <c r="AZ58" s="206">
        <v>96019</v>
      </c>
      <c r="BA58" s="109">
        <f t="shared" si="56"/>
        <v>0.46329589099260804</v>
      </c>
      <c r="BB58" s="223">
        <v>8556</v>
      </c>
      <c r="BC58" s="223">
        <v>8556</v>
      </c>
      <c r="BD58" s="223">
        <v>11817</v>
      </c>
      <c r="BE58" s="223">
        <v>2185</v>
      </c>
      <c r="BF58" s="223">
        <v>145458</v>
      </c>
      <c r="BG58" s="223">
        <v>7</v>
      </c>
      <c r="BH58" s="223">
        <v>89</v>
      </c>
      <c r="BI58" s="206">
        <v>0</v>
      </c>
      <c r="BJ58" s="116">
        <f t="shared" si="40"/>
        <v>96</v>
      </c>
      <c r="BK58" s="223">
        <v>301352</v>
      </c>
      <c r="BL58" s="109">
        <f t="shared" si="57"/>
        <v>1.4540366317333488</v>
      </c>
      <c r="BM58" s="223">
        <v>84</v>
      </c>
      <c r="BN58" s="206">
        <v>64649</v>
      </c>
      <c r="BO58" s="109">
        <f t="shared" si="58"/>
        <v>0.31193426360179877</v>
      </c>
      <c r="BP58" s="206">
        <v>231811</v>
      </c>
      <c r="BQ58" s="206">
        <v>0</v>
      </c>
      <c r="BR58" s="230">
        <f t="shared" si="41"/>
        <v>482891</v>
      </c>
      <c r="BS58" s="230">
        <v>269312</v>
      </c>
      <c r="BT58" s="223">
        <v>752203</v>
      </c>
      <c r="BU58" s="109">
        <f t="shared" si="59"/>
        <v>3.629412502653774</v>
      </c>
      <c r="BV58" s="108">
        <f t="shared" si="70"/>
        <v>23506.34375</v>
      </c>
      <c r="BW58" s="109">
        <f t="shared" si="60"/>
        <v>71.768247304646508</v>
      </c>
      <c r="BX58" s="109">
        <f t="shared" si="61"/>
        <v>2.6334689390544477</v>
      </c>
      <c r="BY58" s="109">
        <f t="shared" si="69"/>
        <v>2.4960942684966416</v>
      </c>
      <c r="BZ58" s="206">
        <v>994</v>
      </c>
      <c r="CA58" s="206">
        <v>126</v>
      </c>
      <c r="CB58" s="206">
        <v>418</v>
      </c>
      <c r="CC58" s="113">
        <f t="shared" si="44"/>
        <v>1538</v>
      </c>
      <c r="CD58" s="206">
        <v>24582</v>
      </c>
      <c r="CE58" s="206">
        <v>655</v>
      </c>
      <c r="CF58" s="206">
        <v>10991</v>
      </c>
      <c r="CG58" s="116">
        <f t="shared" si="45"/>
        <v>36228</v>
      </c>
      <c r="CH58" s="109">
        <f t="shared" si="62"/>
        <v>0.17480169069538531</v>
      </c>
      <c r="CI58" s="206">
        <v>285632</v>
      </c>
      <c r="CJ58" s="109">
        <f t="shared" si="63"/>
        <v>1.3781869415011676</v>
      </c>
      <c r="CK58" s="223">
        <v>62803</v>
      </c>
      <c r="CL58" s="209" t="s">
        <v>7</v>
      </c>
      <c r="CM58" s="209" t="s">
        <v>7</v>
      </c>
      <c r="CN58" s="209" t="s">
        <v>7</v>
      </c>
      <c r="CO58" s="210">
        <v>4</v>
      </c>
      <c r="CP58" s="210">
        <v>0</v>
      </c>
      <c r="CQ58" s="210">
        <v>1</v>
      </c>
      <c r="CR58" s="210">
        <v>27</v>
      </c>
      <c r="CS58" s="180">
        <f t="shared" si="46"/>
        <v>32</v>
      </c>
      <c r="CT58" s="108">
        <f t="shared" si="71"/>
        <v>6476.625</v>
      </c>
      <c r="CU58" s="206">
        <v>3219</v>
      </c>
      <c r="CV58" s="208">
        <v>99715</v>
      </c>
      <c r="CW58" s="210">
        <v>40</v>
      </c>
      <c r="CX58" s="209" t="s">
        <v>7</v>
      </c>
      <c r="CY58" s="209" t="s">
        <v>7</v>
      </c>
      <c r="CZ58" s="206">
        <v>167</v>
      </c>
      <c r="DA58" s="206">
        <v>466</v>
      </c>
      <c r="DB58" s="206">
        <v>110</v>
      </c>
      <c r="DC58" s="206">
        <v>45952</v>
      </c>
      <c r="DD58" s="206" t="s">
        <v>1115</v>
      </c>
      <c r="DE58" s="206" t="s">
        <v>1115</v>
      </c>
      <c r="DF58" s="206">
        <v>11125</v>
      </c>
      <c r="DG58" s="206">
        <v>52</v>
      </c>
      <c r="DH58" s="210">
        <f t="shared" si="64"/>
        <v>5.3678613475382629E-2</v>
      </c>
      <c r="DI58" s="206">
        <v>40</v>
      </c>
      <c r="DJ58" s="206">
        <v>40</v>
      </c>
      <c r="DL58" s="347">
        <v>10481</v>
      </c>
      <c r="DM58" s="205"/>
      <c r="DN58" s="209" t="s">
        <v>1088</v>
      </c>
      <c r="DO58" s="209" t="s">
        <v>125</v>
      </c>
      <c r="DP58" s="209"/>
      <c r="DQ58" s="207"/>
      <c r="DR58" s="218" t="s">
        <v>1007</v>
      </c>
      <c r="DS58" s="205" t="s">
        <v>1007</v>
      </c>
      <c r="DT58" s="229">
        <v>43282</v>
      </c>
      <c r="DU58" s="229">
        <v>43646</v>
      </c>
      <c r="DV58" s="218" t="s">
        <v>1007</v>
      </c>
      <c r="DW58" s="109">
        <f t="shared" si="65"/>
        <v>1.1184982533341052</v>
      </c>
      <c r="DX58" s="109">
        <f t="shared" si="66"/>
        <v>0</v>
      </c>
      <c r="DY58" s="109">
        <f t="shared" si="67"/>
        <v>2.3299702777295273</v>
      </c>
      <c r="DZ58" s="109">
        <f t="shared" si="68"/>
        <v>1.2994422249242468</v>
      </c>
      <c r="EA58" s="110">
        <f t="shared" si="72"/>
        <v>0.15952662788127078</v>
      </c>
      <c r="EB58" s="200">
        <f t="shared" si="47"/>
        <v>0.15605320223384031</v>
      </c>
    </row>
    <row r="59" spans="1:132" ht="17" thickBot="1">
      <c r="A59" s="218" t="s">
        <v>972</v>
      </c>
      <c r="B59" s="342" t="s">
        <v>1252</v>
      </c>
      <c r="C59" s="347">
        <v>86257</v>
      </c>
      <c r="D59" s="207">
        <v>2</v>
      </c>
      <c r="E59" s="207">
        <v>0</v>
      </c>
      <c r="F59" s="206">
        <v>31560</v>
      </c>
      <c r="H59" s="108">
        <f t="shared" si="0"/>
        <v>31560</v>
      </c>
      <c r="I59" s="109">
        <v>0.3735</v>
      </c>
      <c r="J59" s="208">
        <v>1508831</v>
      </c>
      <c r="K59" s="208">
        <v>551859</v>
      </c>
      <c r="L59" s="115">
        <f t="shared" si="33"/>
        <v>2060690</v>
      </c>
      <c r="M59" s="110">
        <f t="shared" si="50"/>
        <v>23.8901190628007</v>
      </c>
      <c r="N59" s="208">
        <v>168917</v>
      </c>
      <c r="O59" s="208">
        <v>89000</v>
      </c>
      <c r="P59" s="222">
        <v>41000</v>
      </c>
      <c r="Q59" s="115">
        <v>298917</v>
      </c>
      <c r="R59" s="110">
        <f t="shared" si="51"/>
        <v>3.4654230960965489</v>
      </c>
      <c r="S59" s="222">
        <v>172520</v>
      </c>
      <c r="T59" s="208">
        <v>2532127</v>
      </c>
      <c r="U59" s="208">
        <v>0</v>
      </c>
      <c r="V59" s="208">
        <v>2532127</v>
      </c>
      <c r="W59" s="110">
        <f t="shared" si="52"/>
        <v>29.355611718469227</v>
      </c>
      <c r="X59" s="111">
        <f t="shared" si="34"/>
        <v>0.81381779033989998</v>
      </c>
      <c r="Y59" s="111">
        <f t="shared" si="35"/>
        <v>0.11804976606623602</v>
      </c>
      <c r="Z59" s="111">
        <f t="shared" si="36"/>
        <v>6.8132443593863973E-2</v>
      </c>
      <c r="AA59" s="111">
        <f t="shared" si="37"/>
        <v>0</v>
      </c>
      <c r="AB59" s="208">
        <v>7884</v>
      </c>
      <c r="AE59" s="208"/>
      <c r="AF59" s="208">
        <v>2532127</v>
      </c>
      <c r="AG59" s="208">
        <v>2311001</v>
      </c>
      <c r="AH59" s="208"/>
      <c r="AI59" s="115">
        <f t="shared" si="53"/>
        <v>4843128</v>
      </c>
      <c r="AJ59" s="110">
        <f t="shared" si="54"/>
        <v>56.147651784782681</v>
      </c>
      <c r="AK59" s="208">
        <v>104180</v>
      </c>
      <c r="AL59" s="208">
        <v>31508</v>
      </c>
      <c r="AM59" s="208">
        <v>91862</v>
      </c>
      <c r="AN59" s="208"/>
      <c r="AO59" s="115">
        <f t="shared" si="38"/>
        <v>91862</v>
      </c>
      <c r="AP59" s="208">
        <v>2542551</v>
      </c>
      <c r="AQ59" s="112">
        <f t="shared" si="55"/>
        <v>29.476459881516863</v>
      </c>
      <c r="AR59" s="208"/>
      <c r="AS59" s="222">
        <v>0</v>
      </c>
      <c r="AT59" s="208">
        <v>0</v>
      </c>
      <c r="AU59" s="222">
        <v>0</v>
      </c>
      <c r="AV59" s="222">
        <v>0</v>
      </c>
      <c r="AW59" s="208"/>
      <c r="AX59" s="222">
        <v>6424</v>
      </c>
      <c r="AY59" s="115">
        <f t="shared" si="39"/>
        <v>6424</v>
      </c>
      <c r="AZ59" s="206">
        <v>88480</v>
      </c>
      <c r="BA59" s="109">
        <f t="shared" si="56"/>
        <v>1.0257718214173923</v>
      </c>
      <c r="BB59" s="223">
        <v>3005</v>
      </c>
      <c r="BC59" s="223">
        <v>3005</v>
      </c>
      <c r="BD59" s="223">
        <v>6359</v>
      </c>
      <c r="BE59" s="223">
        <v>1752</v>
      </c>
      <c r="BF59" s="223">
        <v>74066</v>
      </c>
      <c r="BG59" s="223">
        <v>8</v>
      </c>
      <c r="BH59" s="223">
        <v>89</v>
      </c>
      <c r="BI59" s="206">
        <v>0</v>
      </c>
      <c r="BJ59" s="116">
        <f t="shared" si="40"/>
        <v>97</v>
      </c>
      <c r="BK59" s="223">
        <v>187446</v>
      </c>
      <c r="BL59" s="109">
        <f t="shared" si="57"/>
        <v>2.173110588126181</v>
      </c>
      <c r="BM59" s="223">
        <v>111</v>
      </c>
      <c r="BN59" s="206">
        <v>30007</v>
      </c>
      <c r="BO59" s="109">
        <f t="shared" si="58"/>
        <v>0.34787901271780841</v>
      </c>
      <c r="BP59" s="206">
        <v>192300</v>
      </c>
      <c r="BQ59" s="206">
        <v>0</v>
      </c>
      <c r="BR59" s="230">
        <f t="shared" si="41"/>
        <v>300308</v>
      </c>
      <c r="BS59" s="230">
        <v>58780</v>
      </c>
      <c r="BT59" s="223">
        <v>359088</v>
      </c>
      <c r="BU59" s="109">
        <f t="shared" si="59"/>
        <v>4.1630012636655573</v>
      </c>
      <c r="BV59" s="108">
        <f t="shared" si="70"/>
        <v>11352.766361049637</v>
      </c>
      <c r="BW59" s="109">
        <f t="shared" si="60"/>
        <v>73.523341523341529</v>
      </c>
      <c r="BX59" s="109">
        <f t="shared" si="61"/>
        <v>2.3281573163378435</v>
      </c>
      <c r="BY59" s="109">
        <f t="shared" si="69"/>
        <v>1.915687718062802</v>
      </c>
      <c r="BZ59" s="206">
        <v>217</v>
      </c>
      <c r="CA59" s="206">
        <v>26</v>
      </c>
      <c r="CB59" s="206">
        <v>94</v>
      </c>
      <c r="CC59" s="113">
        <f t="shared" si="44"/>
        <v>337</v>
      </c>
      <c r="CD59" s="206">
        <v>6565</v>
      </c>
      <c r="CE59" s="206">
        <v>392</v>
      </c>
      <c r="CF59" s="206">
        <v>1336</v>
      </c>
      <c r="CG59" s="116">
        <f t="shared" si="45"/>
        <v>8293</v>
      </c>
      <c r="CH59" s="109">
        <f t="shared" si="62"/>
        <v>9.6142921733888262E-2</v>
      </c>
      <c r="CI59" s="206">
        <v>154237</v>
      </c>
      <c r="CJ59" s="109">
        <f t="shared" si="63"/>
        <v>1.7881099504967712</v>
      </c>
      <c r="CK59" s="223">
        <v>39451</v>
      </c>
      <c r="CL59" s="209" t="s">
        <v>7</v>
      </c>
      <c r="CM59" s="209" t="s">
        <v>7</v>
      </c>
      <c r="CN59" s="209" t="s">
        <v>7</v>
      </c>
      <c r="CO59" s="210">
        <v>13</v>
      </c>
      <c r="CP59" s="108">
        <f>C59/CO59</f>
        <v>6635.1538461538457</v>
      </c>
      <c r="CQ59" s="210">
        <v>0</v>
      </c>
      <c r="CR59" s="210">
        <v>18.63</v>
      </c>
      <c r="CS59" s="180">
        <f t="shared" si="46"/>
        <v>31.63</v>
      </c>
      <c r="CT59" s="108">
        <f t="shared" si="71"/>
        <v>2727.0629149541573</v>
      </c>
      <c r="CU59" s="206">
        <v>420</v>
      </c>
      <c r="CV59" s="208">
        <v>100500</v>
      </c>
      <c r="CW59" s="210">
        <v>40</v>
      </c>
      <c r="CX59" s="209" t="s">
        <v>7</v>
      </c>
      <c r="CY59" s="209" t="s">
        <v>7</v>
      </c>
      <c r="CZ59" s="206">
        <v>138</v>
      </c>
      <c r="DA59" s="206">
        <v>3</v>
      </c>
      <c r="DB59" s="206">
        <v>33</v>
      </c>
      <c r="DC59" s="206">
        <v>17872</v>
      </c>
      <c r="DD59" s="206">
        <v>48324</v>
      </c>
      <c r="DE59" s="206">
        <v>71048</v>
      </c>
      <c r="DF59" s="206">
        <v>6916</v>
      </c>
      <c r="DG59" s="206">
        <v>52</v>
      </c>
      <c r="DH59" s="210">
        <f t="shared" si="64"/>
        <v>8.017899996522021E-2</v>
      </c>
      <c r="DI59" s="206">
        <v>67</v>
      </c>
      <c r="DJ59" s="206">
        <v>67</v>
      </c>
      <c r="DK59" s="108">
        <v>2504</v>
      </c>
      <c r="DL59" s="347">
        <v>4884</v>
      </c>
      <c r="DM59" s="205"/>
      <c r="DN59" s="209" t="s">
        <v>1089</v>
      </c>
      <c r="DO59" s="209" t="s">
        <v>125</v>
      </c>
      <c r="DP59" s="209"/>
      <c r="DQ59" s="207"/>
      <c r="DR59" s="218" t="s">
        <v>972</v>
      </c>
      <c r="DS59" s="205" t="s">
        <v>972</v>
      </c>
      <c r="DT59" s="229">
        <v>43282</v>
      </c>
      <c r="DU59" s="229">
        <v>43646</v>
      </c>
      <c r="DV59" s="218" t="s">
        <v>972</v>
      </c>
      <c r="DW59" s="109">
        <f t="shared" si="65"/>
        <v>2.2293842818553857</v>
      </c>
      <c r="DX59" s="109">
        <f t="shared" si="66"/>
        <v>0</v>
      </c>
      <c r="DY59" s="109">
        <f t="shared" si="67"/>
        <v>3.4815493235331627</v>
      </c>
      <c r="DZ59" s="109">
        <f t="shared" si="68"/>
        <v>0.68145194013239507</v>
      </c>
      <c r="EA59" s="110">
        <f t="shared" si="72"/>
        <v>0.34290348512407431</v>
      </c>
      <c r="EB59" s="200">
        <f t="shared" si="47"/>
        <v>1.5141204491323579</v>
      </c>
    </row>
    <row r="60" spans="1:132" ht="17" thickBot="1">
      <c r="A60" s="218" t="s">
        <v>1008</v>
      </c>
      <c r="B60" s="342" t="s">
        <v>1229</v>
      </c>
      <c r="C60" s="347">
        <v>63153</v>
      </c>
      <c r="D60" s="207">
        <v>1</v>
      </c>
      <c r="E60" s="207">
        <v>0</v>
      </c>
      <c r="F60" s="206">
        <v>21000</v>
      </c>
      <c r="H60" s="108">
        <f t="shared" si="0"/>
        <v>21000</v>
      </c>
      <c r="I60" s="109">
        <v>0.33676</v>
      </c>
      <c r="J60" s="208">
        <v>524615</v>
      </c>
      <c r="K60" s="208">
        <v>152988</v>
      </c>
      <c r="L60" s="115">
        <f t="shared" si="33"/>
        <v>677603</v>
      </c>
      <c r="M60" s="110">
        <f t="shared" si="50"/>
        <v>10.729545706458918</v>
      </c>
      <c r="N60" s="208">
        <v>67012</v>
      </c>
      <c r="O60" s="208">
        <v>13903</v>
      </c>
      <c r="P60" s="222">
        <v>5905</v>
      </c>
      <c r="Q60" s="115">
        <v>86820</v>
      </c>
      <c r="R60" s="110">
        <f t="shared" si="51"/>
        <v>1.3747565436321314</v>
      </c>
      <c r="S60" s="222">
        <v>82271</v>
      </c>
      <c r="T60" s="208">
        <v>846694</v>
      </c>
      <c r="U60" s="208">
        <v>0</v>
      </c>
      <c r="V60" s="208">
        <v>846694</v>
      </c>
      <c r="W60" s="110">
        <f t="shared" si="52"/>
        <v>13.407027377955124</v>
      </c>
      <c r="X60" s="111">
        <f t="shared" si="34"/>
        <v>0.80029266771702645</v>
      </c>
      <c r="Y60" s="111">
        <f t="shared" si="35"/>
        <v>0.10253999674026272</v>
      </c>
      <c r="Z60" s="111">
        <f t="shared" si="36"/>
        <v>9.7167335542710828E-2</v>
      </c>
      <c r="AA60" s="111">
        <f t="shared" si="37"/>
        <v>0</v>
      </c>
      <c r="AB60" s="208">
        <v>0</v>
      </c>
      <c r="AE60" s="208"/>
      <c r="AF60" s="208">
        <v>846694</v>
      </c>
      <c r="AG60" s="208">
        <v>708561</v>
      </c>
      <c r="AH60" s="208"/>
      <c r="AI60" s="115">
        <f t="shared" si="53"/>
        <v>1555255</v>
      </c>
      <c r="AJ60" s="110">
        <f t="shared" si="54"/>
        <v>24.626779408737512</v>
      </c>
      <c r="AK60" s="208">
        <v>107796</v>
      </c>
      <c r="AL60" s="208">
        <v>7938</v>
      </c>
      <c r="AM60" s="208">
        <v>0</v>
      </c>
      <c r="AN60" s="208"/>
      <c r="AO60" s="115">
        <f t="shared" si="38"/>
        <v>0</v>
      </c>
      <c r="AP60" s="208">
        <v>824295</v>
      </c>
      <c r="AQ60" s="112">
        <f t="shared" si="55"/>
        <v>13.052349057051922</v>
      </c>
      <c r="AR60" s="208"/>
      <c r="AS60" s="222">
        <v>0</v>
      </c>
      <c r="AT60" s="208">
        <v>0</v>
      </c>
      <c r="AU60" s="222">
        <v>0</v>
      </c>
      <c r="AV60" s="222">
        <v>0</v>
      </c>
      <c r="AW60" s="208"/>
      <c r="AX60" s="222">
        <v>0</v>
      </c>
      <c r="AY60" s="115">
        <f t="shared" si="39"/>
        <v>0</v>
      </c>
      <c r="AZ60" s="206">
        <v>104427</v>
      </c>
      <c r="BA60" s="109">
        <f t="shared" si="56"/>
        <v>1.6535556505629185</v>
      </c>
      <c r="BB60" s="223">
        <v>2705</v>
      </c>
      <c r="BC60" s="223">
        <v>2705</v>
      </c>
      <c r="BD60" s="223">
        <v>1973</v>
      </c>
      <c r="BE60" s="223">
        <v>2067</v>
      </c>
      <c r="BF60" s="223">
        <v>107636</v>
      </c>
      <c r="BG60" s="223">
        <v>2</v>
      </c>
      <c r="BH60" s="223">
        <v>89</v>
      </c>
      <c r="BI60" s="206">
        <v>0</v>
      </c>
      <c r="BJ60" s="116">
        <f t="shared" si="40"/>
        <v>91</v>
      </c>
      <c r="BK60" s="223">
        <v>237296</v>
      </c>
      <c r="BL60" s="109">
        <f t="shared" si="57"/>
        <v>3.7574778712016847</v>
      </c>
      <c r="BM60" s="223">
        <v>112</v>
      </c>
      <c r="BN60" s="206">
        <v>18811</v>
      </c>
      <c r="BO60" s="109">
        <f t="shared" si="58"/>
        <v>0.29786391778696181</v>
      </c>
      <c r="BP60" s="206">
        <v>64633</v>
      </c>
      <c r="BQ60" s="206">
        <v>0</v>
      </c>
      <c r="BR60" s="230">
        <f t="shared" si="41"/>
        <v>151279</v>
      </c>
      <c r="BS60" s="230">
        <v>170433</v>
      </c>
      <c r="BT60" s="223">
        <v>321712</v>
      </c>
      <c r="BU60" s="109">
        <f t="shared" si="59"/>
        <v>5.0941681313635137</v>
      </c>
      <c r="BV60" s="108">
        <f t="shared" si="70"/>
        <v>23830.518518518518</v>
      </c>
      <c r="BW60" s="109">
        <f t="shared" si="60"/>
        <v>72.068100358422939</v>
      </c>
      <c r="BX60" s="109">
        <f t="shared" si="61"/>
        <v>3.4963375138565871</v>
      </c>
      <c r="BY60" s="109">
        <f t="shared" si="69"/>
        <v>1.3557413525723148</v>
      </c>
      <c r="BZ60" s="206">
        <v>356</v>
      </c>
      <c r="CA60" s="206">
        <v>0</v>
      </c>
      <c r="CB60" s="206">
        <v>4</v>
      </c>
      <c r="CC60" s="113">
        <f t="shared" si="44"/>
        <v>360</v>
      </c>
      <c r="CD60" s="206">
        <v>6985</v>
      </c>
      <c r="CE60" s="206">
        <v>0</v>
      </c>
      <c r="CF60" s="206">
        <v>41</v>
      </c>
      <c r="CG60" s="116">
        <f t="shared" si="45"/>
        <v>7026</v>
      </c>
      <c r="CH60" s="109">
        <f t="shared" si="62"/>
        <v>0.11125362215571707</v>
      </c>
      <c r="CI60" s="206">
        <v>92014</v>
      </c>
      <c r="CJ60" s="109">
        <f t="shared" si="63"/>
        <v>1.4570012509302803</v>
      </c>
      <c r="CK60" s="223">
        <v>25414</v>
      </c>
      <c r="CL60" s="209" t="s">
        <v>7</v>
      </c>
      <c r="CM60" s="209" t="s">
        <v>7</v>
      </c>
      <c r="CN60" s="209" t="s">
        <v>7</v>
      </c>
      <c r="CO60" s="210">
        <v>2</v>
      </c>
      <c r="CP60" s="108">
        <f>C60/CO60</f>
        <v>31576.5</v>
      </c>
      <c r="CQ60" s="210">
        <v>0</v>
      </c>
      <c r="CR60" s="210">
        <v>11.5</v>
      </c>
      <c r="CS60" s="180">
        <f t="shared" si="46"/>
        <v>13.5</v>
      </c>
      <c r="CT60" s="108">
        <f t="shared" si="71"/>
        <v>4678</v>
      </c>
      <c r="CU60" s="206">
        <v>1224</v>
      </c>
      <c r="CV60" s="208">
        <v>90499</v>
      </c>
      <c r="CW60" s="210">
        <v>40</v>
      </c>
      <c r="CX60" s="209" t="s">
        <v>7</v>
      </c>
      <c r="CY60" s="209" t="s">
        <v>7</v>
      </c>
      <c r="CZ60" s="206">
        <v>80</v>
      </c>
      <c r="DA60" s="206">
        <v>6</v>
      </c>
      <c r="DB60" s="206">
        <v>27</v>
      </c>
      <c r="DC60" s="206">
        <v>6921</v>
      </c>
      <c r="DD60" s="206">
        <v>40731</v>
      </c>
      <c r="DE60" s="206">
        <v>42534</v>
      </c>
      <c r="DF60" s="206">
        <v>4556</v>
      </c>
      <c r="DG60" s="206">
        <v>52</v>
      </c>
      <c r="DH60" s="210">
        <f t="shared" si="64"/>
        <v>7.2142257691637762E-2</v>
      </c>
      <c r="DI60" s="206">
        <v>53</v>
      </c>
      <c r="DJ60" s="206">
        <v>53</v>
      </c>
      <c r="DK60" s="108">
        <v>1872</v>
      </c>
      <c r="DL60" s="347">
        <v>4464</v>
      </c>
      <c r="DM60" s="205"/>
      <c r="DN60" s="209" t="s">
        <v>1090</v>
      </c>
      <c r="DO60" s="209" t="s">
        <v>125</v>
      </c>
      <c r="DP60" s="209"/>
      <c r="DQ60" s="207"/>
      <c r="DR60" s="218" t="s">
        <v>1008</v>
      </c>
      <c r="DS60" s="205" t="s">
        <v>1008</v>
      </c>
      <c r="DT60" s="229">
        <v>43282</v>
      </c>
      <c r="DU60" s="229">
        <v>43646</v>
      </c>
      <c r="DV60" s="218" t="s">
        <v>1008</v>
      </c>
      <c r="DW60" s="109">
        <f t="shared" si="65"/>
        <v>1.0234351495574241</v>
      </c>
      <c r="DX60" s="109">
        <f t="shared" si="66"/>
        <v>0</v>
      </c>
      <c r="DY60" s="109">
        <f t="shared" si="67"/>
        <v>2.395436479660507</v>
      </c>
      <c r="DZ60" s="109">
        <f t="shared" si="68"/>
        <v>2.6987316517030071</v>
      </c>
      <c r="EA60" s="110">
        <f t="shared" si="72"/>
        <v>0.31036718663159063</v>
      </c>
      <c r="EB60" s="200">
        <f t="shared" si="47"/>
        <v>8.1574577693287104E-2</v>
      </c>
    </row>
    <row r="61" spans="1:132" ht="17" thickBot="1">
      <c r="A61" s="218" t="s">
        <v>1147</v>
      </c>
      <c r="B61" s="342" t="s">
        <v>1253</v>
      </c>
      <c r="C61" s="347">
        <v>45392</v>
      </c>
      <c r="D61" s="207">
        <v>0</v>
      </c>
      <c r="E61" s="207">
        <v>0</v>
      </c>
      <c r="F61" s="206">
        <v>38000</v>
      </c>
      <c r="H61" s="108">
        <f t="shared" si="0"/>
        <v>38000</v>
      </c>
      <c r="I61" s="109">
        <v>0.84150999999999998</v>
      </c>
      <c r="J61" s="208">
        <v>410306</v>
      </c>
      <c r="K61" s="208">
        <v>180536</v>
      </c>
      <c r="L61" s="115">
        <f t="shared" si="33"/>
        <v>590842</v>
      </c>
      <c r="M61" s="110">
        <f t="shared" si="50"/>
        <v>13.016434614028904</v>
      </c>
      <c r="N61" s="208">
        <v>28388</v>
      </c>
      <c r="O61" s="208">
        <v>11000</v>
      </c>
      <c r="P61" s="222">
        <v>2000</v>
      </c>
      <c r="Q61" s="115">
        <v>41388</v>
      </c>
      <c r="R61" s="110">
        <f t="shared" si="51"/>
        <v>0.91179062389848431</v>
      </c>
      <c r="S61" s="222">
        <v>275794</v>
      </c>
      <c r="T61" s="208">
        <v>908024</v>
      </c>
      <c r="U61" s="208">
        <v>6777</v>
      </c>
      <c r="V61" s="208">
        <v>908024</v>
      </c>
      <c r="W61" s="110">
        <f t="shared" si="52"/>
        <v>20.004053577722946</v>
      </c>
      <c r="X61" s="111">
        <f t="shared" si="34"/>
        <v>0.65068984960749932</v>
      </c>
      <c r="Y61" s="111">
        <f t="shared" si="35"/>
        <v>4.5580293031902239E-2</v>
      </c>
      <c r="Z61" s="111">
        <f t="shared" si="36"/>
        <v>0.30372985736059838</v>
      </c>
      <c r="AA61" s="111">
        <f t="shared" si="37"/>
        <v>7.4634591156180893E-3</v>
      </c>
      <c r="AB61" s="208">
        <v>15000</v>
      </c>
      <c r="AE61" s="208"/>
      <c r="AF61" s="208">
        <v>908024</v>
      </c>
      <c r="AG61" s="208">
        <v>684500</v>
      </c>
      <c r="AH61" s="208"/>
      <c r="AI61" s="115">
        <f t="shared" si="53"/>
        <v>1592524</v>
      </c>
      <c r="AJ61" s="110">
        <f t="shared" si="54"/>
        <v>35.083803313359184</v>
      </c>
      <c r="AK61" s="208">
        <v>137842</v>
      </c>
      <c r="AL61" s="208">
        <v>0</v>
      </c>
      <c r="AM61" s="208">
        <v>64770</v>
      </c>
      <c r="AN61" s="208"/>
      <c r="AO61" s="115">
        <f t="shared" si="38"/>
        <v>64770</v>
      </c>
      <c r="AP61" s="208">
        <v>1007912</v>
      </c>
      <c r="AQ61" s="112">
        <f t="shared" si="55"/>
        <v>22.204617553753966</v>
      </c>
      <c r="AR61" s="208"/>
      <c r="AS61" s="222">
        <v>0</v>
      </c>
      <c r="AT61" s="208">
        <v>0</v>
      </c>
      <c r="AU61" s="222">
        <v>0</v>
      </c>
      <c r="AV61" s="222">
        <v>0</v>
      </c>
      <c r="AW61" s="208"/>
      <c r="AX61" s="222">
        <v>0</v>
      </c>
      <c r="AY61" s="115">
        <f t="shared" si="39"/>
        <v>0</v>
      </c>
      <c r="AZ61" s="206">
        <v>68112</v>
      </c>
      <c r="BA61" s="109">
        <f t="shared" si="56"/>
        <v>1.50052872752908</v>
      </c>
      <c r="BB61" s="223">
        <v>2093</v>
      </c>
      <c r="BC61" s="223">
        <v>2093</v>
      </c>
      <c r="BD61" s="223">
        <v>1525</v>
      </c>
      <c r="BE61" s="223">
        <v>2067</v>
      </c>
      <c r="BF61" s="223">
        <v>107778</v>
      </c>
      <c r="BG61" s="223">
        <v>3</v>
      </c>
      <c r="BH61" s="223">
        <v>89</v>
      </c>
      <c r="BI61" s="206">
        <v>0</v>
      </c>
      <c r="BJ61" s="116">
        <f t="shared" si="40"/>
        <v>92</v>
      </c>
      <c r="BK61" s="223">
        <v>209203</v>
      </c>
      <c r="BL61" s="109">
        <f t="shared" si="57"/>
        <v>4.6088077194219244</v>
      </c>
      <c r="BM61" s="223">
        <v>37</v>
      </c>
      <c r="BN61" s="206">
        <v>11250</v>
      </c>
      <c r="BO61" s="109">
        <f t="shared" si="58"/>
        <v>0.24784102925625662</v>
      </c>
      <c r="BP61" s="206">
        <v>22918</v>
      </c>
      <c r="BQ61" s="206">
        <v>0</v>
      </c>
      <c r="BR61" s="230">
        <f t="shared" si="41"/>
        <v>45994</v>
      </c>
      <c r="BS61" s="230">
        <v>10977</v>
      </c>
      <c r="BT61" s="223">
        <v>56971</v>
      </c>
      <c r="BU61" s="109">
        <f t="shared" si="59"/>
        <v>1.2550890024673951</v>
      </c>
      <c r="BV61" s="108">
        <f t="shared" si="70"/>
        <v>3798.0666666666666</v>
      </c>
      <c r="BW61" s="109">
        <f t="shared" si="60"/>
        <v>31.650555555555556</v>
      </c>
      <c r="BX61" s="109">
        <f t="shared" si="61"/>
        <v>0.79126388888888888</v>
      </c>
      <c r="BY61" s="109">
        <f t="shared" si="69"/>
        <v>0.27232401064994288</v>
      </c>
      <c r="BZ61" s="206">
        <v>165</v>
      </c>
      <c r="CA61" s="206">
        <v>10</v>
      </c>
      <c r="CB61" s="206">
        <v>33</v>
      </c>
      <c r="CC61" s="113">
        <f t="shared" si="44"/>
        <v>208</v>
      </c>
      <c r="CD61" s="206">
        <v>2648</v>
      </c>
      <c r="CE61" s="206">
        <v>89</v>
      </c>
      <c r="CF61" s="206">
        <v>190</v>
      </c>
      <c r="CG61" s="116">
        <f t="shared" si="45"/>
        <v>2927</v>
      </c>
      <c r="CH61" s="109">
        <f t="shared" si="62"/>
        <v>6.4482728234050046E-2</v>
      </c>
      <c r="CI61" s="206">
        <v>72000</v>
      </c>
      <c r="CJ61" s="109">
        <f t="shared" si="63"/>
        <v>1.5861825872400424</v>
      </c>
      <c r="CK61" s="223">
        <v>18401</v>
      </c>
      <c r="CL61" s="209" t="s">
        <v>7</v>
      </c>
      <c r="CM61" s="209" t="s">
        <v>7</v>
      </c>
      <c r="CN61" s="209" t="s">
        <v>7</v>
      </c>
      <c r="CO61" s="210">
        <v>3</v>
      </c>
      <c r="CP61" s="108">
        <f>C61/CO61</f>
        <v>15130.666666666666</v>
      </c>
      <c r="CQ61" s="210">
        <v>0</v>
      </c>
      <c r="CR61" s="210">
        <v>12</v>
      </c>
      <c r="CS61" s="180">
        <f t="shared" si="46"/>
        <v>15</v>
      </c>
      <c r="CT61" s="108">
        <f t="shared" si="71"/>
        <v>3026.1333333333332</v>
      </c>
      <c r="CU61" s="206">
        <v>0</v>
      </c>
      <c r="CV61" s="208">
        <v>64200</v>
      </c>
      <c r="CW61" s="210">
        <v>40</v>
      </c>
      <c r="CX61" s="209" t="s">
        <v>7</v>
      </c>
      <c r="CY61" s="209" t="s">
        <v>7</v>
      </c>
      <c r="CZ61" s="206">
        <v>4683</v>
      </c>
      <c r="DA61" s="206">
        <v>1778</v>
      </c>
      <c r="DB61" s="206">
        <v>35</v>
      </c>
      <c r="DC61" s="206">
        <v>20843</v>
      </c>
      <c r="DD61" s="206" t="s">
        <v>1115</v>
      </c>
      <c r="DE61" s="206">
        <v>41716</v>
      </c>
      <c r="DF61" s="206">
        <v>2500</v>
      </c>
      <c r="DG61" s="206">
        <v>52</v>
      </c>
      <c r="DH61" s="210">
        <f t="shared" si="64"/>
        <v>5.5075784279168136E-2</v>
      </c>
      <c r="DI61" s="206">
        <v>56</v>
      </c>
      <c r="DJ61" s="206">
        <v>56</v>
      </c>
      <c r="DK61" s="108">
        <v>7096</v>
      </c>
      <c r="DL61" s="347">
        <v>1800</v>
      </c>
      <c r="DM61" s="205"/>
      <c r="DN61" s="209" t="s">
        <v>1091</v>
      </c>
      <c r="DO61" s="209" t="s">
        <v>125</v>
      </c>
      <c r="DP61" s="209"/>
      <c r="DQ61" s="207"/>
      <c r="DR61" s="218" t="s">
        <v>1147</v>
      </c>
      <c r="DS61" s="205" t="s">
        <v>1009</v>
      </c>
      <c r="DT61" s="229">
        <v>43282</v>
      </c>
      <c r="DU61" s="229">
        <v>43646</v>
      </c>
      <c r="DV61" s="218" t="s">
        <v>1147</v>
      </c>
      <c r="DW61" s="109">
        <f t="shared" si="65"/>
        <v>0.50489072964399018</v>
      </c>
      <c r="DX61" s="109">
        <f t="shared" si="66"/>
        <v>0</v>
      </c>
      <c r="DY61" s="109">
        <f t="shared" si="67"/>
        <v>1.0132622488544236</v>
      </c>
      <c r="DZ61" s="109">
        <f t="shared" si="68"/>
        <v>0.24182675361297146</v>
      </c>
      <c r="EA61" s="110">
        <f t="shared" si="72"/>
        <v>0.41194566983979569</v>
      </c>
      <c r="EB61" s="200">
        <f t="shared" si="47"/>
        <v>1.0020952901521363</v>
      </c>
    </row>
    <row r="62" spans="1:132" ht="17" thickBot="1">
      <c r="A62" s="218" t="s">
        <v>1010</v>
      </c>
      <c r="B62" s="342" t="s">
        <v>1230</v>
      </c>
      <c r="C62" s="347">
        <v>40315</v>
      </c>
      <c r="D62" s="207">
        <v>0</v>
      </c>
      <c r="E62" s="207">
        <v>0</v>
      </c>
      <c r="F62" s="206">
        <v>12700</v>
      </c>
      <c r="H62" s="108">
        <f t="shared" si="0"/>
        <v>12700</v>
      </c>
      <c r="I62" s="109">
        <v>0.31739000000000001</v>
      </c>
      <c r="J62" s="208">
        <v>348994</v>
      </c>
      <c r="K62" s="208">
        <v>105441</v>
      </c>
      <c r="L62" s="115">
        <f t="shared" si="33"/>
        <v>454435</v>
      </c>
      <c r="M62" s="110">
        <f t="shared" si="50"/>
        <v>11.272107156145355</v>
      </c>
      <c r="N62" s="208">
        <v>73956</v>
      </c>
      <c r="O62" s="208">
        <v>12500</v>
      </c>
      <c r="P62" s="222">
        <v>4186</v>
      </c>
      <c r="Q62" s="115">
        <v>90642</v>
      </c>
      <c r="R62" s="110">
        <f t="shared" si="51"/>
        <v>2.2483442887262806</v>
      </c>
      <c r="S62" s="222">
        <v>41409</v>
      </c>
      <c r="T62" s="208">
        <v>586486</v>
      </c>
      <c r="U62" s="208">
        <v>0</v>
      </c>
      <c r="V62" s="208">
        <v>586486</v>
      </c>
      <c r="W62" s="110">
        <f t="shared" si="52"/>
        <v>14.547587746496342</v>
      </c>
      <c r="X62" s="111">
        <f t="shared" si="34"/>
        <v>0.77484373028512188</v>
      </c>
      <c r="Y62" s="111">
        <f t="shared" si="35"/>
        <v>0.15455100377502617</v>
      </c>
      <c r="Z62" s="111">
        <f t="shared" si="36"/>
        <v>7.0605265939851933E-2</v>
      </c>
      <c r="AA62" s="111">
        <f t="shared" si="37"/>
        <v>0</v>
      </c>
      <c r="AB62" s="208">
        <v>0</v>
      </c>
      <c r="AE62" s="208"/>
      <c r="AF62" s="208">
        <v>586486</v>
      </c>
      <c r="AG62" s="208">
        <v>488820</v>
      </c>
      <c r="AH62" s="208"/>
      <c r="AI62" s="115">
        <f t="shared" si="53"/>
        <v>1075306</v>
      </c>
      <c r="AJ62" s="110">
        <f t="shared" si="54"/>
        <v>26.672603249410891</v>
      </c>
      <c r="AK62" s="208">
        <v>93646</v>
      </c>
      <c r="AL62" s="208">
        <v>63667</v>
      </c>
      <c r="AM62" s="208">
        <v>10153</v>
      </c>
      <c r="AN62" s="208"/>
      <c r="AO62" s="115">
        <f t="shared" si="38"/>
        <v>10153</v>
      </c>
      <c r="AP62" s="208">
        <v>656286</v>
      </c>
      <c r="AQ62" s="112">
        <f t="shared" si="55"/>
        <v>16.278953243209724</v>
      </c>
      <c r="AR62" s="208"/>
      <c r="AS62" s="222">
        <v>51249</v>
      </c>
      <c r="AT62" s="208">
        <v>0</v>
      </c>
      <c r="AU62" s="222">
        <v>0</v>
      </c>
      <c r="AV62" s="222">
        <v>100000</v>
      </c>
      <c r="AW62" s="208"/>
      <c r="AX62" s="222">
        <v>10764</v>
      </c>
      <c r="AY62" s="115">
        <f t="shared" si="39"/>
        <v>162013</v>
      </c>
      <c r="AZ62" s="206">
        <v>80572</v>
      </c>
      <c r="BA62" s="109">
        <f t="shared" si="56"/>
        <v>1.9985613295299516</v>
      </c>
      <c r="BB62" s="223">
        <v>3426</v>
      </c>
      <c r="BC62" s="223">
        <v>3426</v>
      </c>
      <c r="BD62" s="223">
        <v>2124</v>
      </c>
      <c r="BE62" s="223">
        <v>2067</v>
      </c>
      <c r="BF62" s="223">
        <v>107992</v>
      </c>
      <c r="BG62" s="223">
        <v>7</v>
      </c>
      <c r="BH62" s="223">
        <v>89</v>
      </c>
      <c r="BI62" s="206">
        <v>0</v>
      </c>
      <c r="BJ62" s="116">
        <f t="shared" si="40"/>
        <v>96</v>
      </c>
      <c r="BK62" s="223">
        <v>214519</v>
      </c>
      <c r="BL62" s="109">
        <f t="shared" si="57"/>
        <v>5.3210715614535529</v>
      </c>
      <c r="BM62" s="223">
        <v>92</v>
      </c>
      <c r="BN62" s="206">
        <v>5210</v>
      </c>
      <c r="BO62" s="109">
        <f t="shared" si="58"/>
        <v>0.12923229567158626</v>
      </c>
      <c r="BP62" s="206">
        <v>42434</v>
      </c>
      <c r="BQ62" s="206">
        <v>0</v>
      </c>
      <c r="BR62" s="230">
        <f t="shared" si="41"/>
        <v>116717</v>
      </c>
      <c r="BS62" s="230">
        <v>19757</v>
      </c>
      <c r="BT62" s="223">
        <v>136474</v>
      </c>
      <c r="BU62" s="109">
        <f t="shared" si="59"/>
        <v>3.3851916160238127</v>
      </c>
      <c r="BV62" s="108">
        <f t="shared" si="70"/>
        <v>19496.285714285714</v>
      </c>
      <c r="BW62" s="109">
        <f t="shared" si="60"/>
        <v>55.252631578947366</v>
      </c>
      <c r="BX62" s="109">
        <f t="shared" si="61"/>
        <v>1.9804097980032505</v>
      </c>
      <c r="BY62" s="109">
        <f t="shared" si="69"/>
        <v>0.63618607209617795</v>
      </c>
      <c r="BZ62" s="206">
        <v>100</v>
      </c>
      <c r="CA62" s="206">
        <v>23</v>
      </c>
      <c r="CB62" s="206">
        <v>33</v>
      </c>
      <c r="CC62" s="113">
        <f t="shared" si="44"/>
        <v>156</v>
      </c>
      <c r="CD62" s="206">
        <v>1986</v>
      </c>
      <c r="CE62" s="206">
        <v>267</v>
      </c>
      <c r="CF62" s="206">
        <v>377</v>
      </c>
      <c r="CG62" s="116">
        <f t="shared" si="45"/>
        <v>2630</v>
      </c>
      <c r="CH62" s="109">
        <f t="shared" si="62"/>
        <v>6.5236264417710535E-2</v>
      </c>
      <c r="CI62" s="206">
        <v>68912</v>
      </c>
      <c r="CJ62" s="109">
        <f t="shared" si="63"/>
        <v>1.709338955723676</v>
      </c>
      <c r="CK62" s="223">
        <v>34557</v>
      </c>
      <c r="CL62" s="209" t="s">
        <v>7</v>
      </c>
      <c r="CM62" s="209" t="s">
        <v>7</v>
      </c>
      <c r="CN62" s="209" t="s">
        <v>7</v>
      </c>
      <c r="CO62" s="210">
        <v>4</v>
      </c>
      <c r="CP62" s="108">
        <f>C62/CO62</f>
        <v>10078.75</v>
      </c>
      <c r="CQ62" s="210">
        <v>0</v>
      </c>
      <c r="CR62" s="210">
        <v>3</v>
      </c>
      <c r="CS62" s="180">
        <f t="shared" si="46"/>
        <v>7</v>
      </c>
      <c r="CT62" s="108">
        <f t="shared" si="71"/>
        <v>5759.2857142857147</v>
      </c>
      <c r="CU62" s="206">
        <v>478</v>
      </c>
      <c r="CV62" s="208">
        <v>64894</v>
      </c>
      <c r="CW62" s="210">
        <v>40</v>
      </c>
      <c r="CX62" s="209" t="s">
        <v>7</v>
      </c>
      <c r="CY62" s="209" t="s">
        <v>7</v>
      </c>
      <c r="CZ62" s="206">
        <v>84</v>
      </c>
      <c r="DA62" s="206">
        <v>11</v>
      </c>
      <c r="DB62" s="206">
        <v>12</v>
      </c>
      <c r="DC62" s="206">
        <v>8436</v>
      </c>
      <c r="DD62" s="206" t="s">
        <v>1115</v>
      </c>
      <c r="DE62" s="206" t="s">
        <v>1115</v>
      </c>
      <c r="DF62" s="206">
        <v>3020</v>
      </c>
      <c r="DG62" s="206">
        <v>49</v>
      </c>
      <c r="DH62" s="210">
        <f t="shared" si="64"/>
        <v>7.4910083095621971E-2</v>
      </c>
      <c r="DI62" s="206">
        <v>54</v>
      </c>
      <c r="DJ62" s="206">
        <v>54</v>
      </c>
      <c r="DL62" s="347">
        <v>2470</v>
      </c>
      <c r="DM62" s="205"/>
      <c r="DN62" s="209" t="s">
        <v>1092</v>
      </c>
      <c r="DO62" s="209" t="s">
        <v>125</v>
      </c>
      <c r="DP62" s="209"/>
      <c r="DQ62" s="207"/>
      <c r="DR62" s="218" t="s">
        <v>1010</v>
      </c>
      <c r="DS62" s="205" t="s">
        <v>1010</v>
      </c>
      <c r="DT62" s="229">
        <v>43282</v>
      </c>
      <c r="DU62" s="229">
        <v>43646</v>
      </c>
      <c r="DV62" s="218" t="s">
        <v>1010</v>
      </c>
      <c r="DW62" s="109">
        <f t="shared" si="65"/>
        <v>1.0525610814833188</v>
      </c>
      <c r="DX62" s="109">
        <f t="shared" si="66"/>
        <v>0</v>
      </c>
      <c r="DY62" s="109">
        <f t="shared" si="67"/>
        <v>2.8951258836661293</v>
      </c>
      <c r="DZ62" s="109">
        <f t="shared" si="68"/>
        <v>0.49006573235768325</v>
      </c>
      <c r="EA62" s="110">
        <f t="shared" si="72"/>
        <v>0.46469076537376452</v>
      </c>
      <c r="EB62" s="200">
        <f t="shared" si="47"/>
        <v>0.63268714885863242</v>
      </c>
    </row>
    <row r="63" spans="1:132" ht="33" thickBot="1">
      <c r="A63" s="218" t="s">
        <v>1148</v>
      </c>
      <c r="B63" s="342" t="s">
        <v>1231</v>
      </c>
      <c r="C63" s="347">
        <v>43767</v>
      </c>
      <c r="D63" s="207">
        <v>4</v>
      </c>
      <c r="E63" s="207">
        <v>0</v>
      </c>
      <c r="F63" s="206">
        <v>31639</v>
      </c>
      <c r="H63" s="108">
        <f t="shared" si="0"/>
        <v>31639</v>
      </c>
      <c r="I63" s="109">
        <v>0.92396</v>
      </c>
      <c r="J63" s="208">
        <v>631821</v>
      </c>
      <c r="K63" s="208">
        <v>172886</v>
      </c>
      <c r="L63" s="115">
        <f t="shared" si="33"/>
        <v>804707</v>
      </c>
      <c r="M63" s="110">
        <f t="shared" si="50"/>
        <v>18.38615852126031</v>
      </c>
      <c r="N63" s="208">
        <v>53146</v>
      </c>
      <c r="O63" s="208">
        <v>6000</v>
      </c>
      <c r="P63" s="222">
        <v>5650</v>
      </c>
      <c r="Q63" s="115">
        <v>64796</v>
      </c>
      <c r="R63" s="110">
        <f t="shared" si="51"/>
        <v>1.4804761578358123</v>
      </c>
      <c r="S63" s="222">
        <v>355313</v>
      </c>
      <c r="T63" s="208">
        <v>1224816</v>
      </c>
      <c r="U63" s="208">
        <v>0</v>
      </c>
      <c r="V63" s="208">
        <v>1224816</v>
      </c>
      <c r="W63" s="110">
        <f t="shared" si="52"/>
        <v>27.984920145314963</v>
      </c>
      <c r="X63" s="111">
        <f t="shared" si="34"/>
        <v>0.65700235790518735</v>
      </c>
      <c r="Y63" s="111">
        <f t="shared" si="35"/>
        <v>5.2902640070018679E-2</v>
      </c>
      <c r="Z63" s="111">
        <f t="shared" si="36"/>
        <v>0.29009500202479394</v>
      </c>
      <c r="AA63" s="111">
        <f t="shared" si="37"/>
        <v>0</v>
      </c>
      <c r="AB63" s="208">
        <v>53080</v>
      </c>
      <c r="AE63" s="208"/>
      <c r="AF63" s="208">
        <v>1224816</v>
      </c>
      <c r="AG63" s="208">
        <v>708605</v>
      </c>
      <c r="AH63" s="208"/>
      <c r="AI63" s="115">
        <f t="shared" si="53"/>
        <v>1933421</v>
      </c>
      <c r="AJ63" s="110">
        <f t="shared" si="54"/>
        <v>44.175314734845891</v>
      </c>
      <c r="AK63" s="208">
        <v>352562</v>
      </c>
      <c r="AL63" s="208">
        <v>186244</v>
      </c>
      <c r="AM63" s="208">
        <v>51247</v>
      </c>
      <c r="AN63" s="208"/>
      <c r="AO63" s="115">
        <f t="shared" si="38"/>
        <v>51247</v>
      </c>
      <c r="AP63" s="208">
        <v>1298658</v>
      </c>
      <c r="AQ63" s="112">
        <f t="shared" si="55"/>
        <v>29.672081705394476</v>
      </c>
      <c r="AR63" s="208"/>
      <c r="AS63" s="222">
        <v>0</v>
      </c>
      <c r="AT63" s="208">
        <v>0</v>
      </c>
      <c r="AU63" s="222">
        <v>0</v>
      </c>
      <c r="AV63" s="222">
        <v>0</v>
      </c>
      <c r="AW63" s="208"/>
      <c r="AX63" s="222">
        <v>0</v>
      </c>
      <c r="AY63" s="115">
        <f t="shared" si="39"/>
        <v>0</v>
      </c>
      <c r="AZ63" s="206">
        <v>117928</v>
      </c>
      <c r="BA63" s="109">
        <f t="shared" si="56"/>
        <v>2.6944501565106131</v>
      </c>
      <c r="BB63" s="223">
        <v>5049</v>
      </c>
      <c r="BC63" s="223">
        <v>5049</v>
      </c>
      <c r="BD63" s="223">
        <v>11862</v>
      </c>
      <c r="BE63" s="223">
        <v>2067</v>
      </c>
      <c r="BF63" s="223">
        <v>107580</v>
      </c>
      <c r="BG63" s="223">
        <v>3</v>
      </c>
      <c r="BH63" s="223">
        <v>89</v>
      </c>
      <c r="BI63" s="206">
        <v>0</v>
      </c>
      <c r="BJ63" s="116">
        <f t="shared" si="40"/>
        <v>92</v>
      </c>
      <c r="BK63" s="223">
        <v>262495</v>
      </c>
      <c r="BL63" s="109">
        <f t="shared" si="57"/>
        <v>5.99755523567985</v>
      </c>
      <c r="BM63" s="223">
        <v>150</v>
      </c>
      <c r="BN63" s="206">
        <v>15229</v>
      </c>
      <c r="BO63" s="109">
        <f t="shared" si="58"/>
        <v>0.34795622272488402</v>
      </c>
      <c r="BP63" s="206">
        <v>27333</v>
      </c>
      <c r="BQ63" s="206">
        <v>0</v>
      </c>
      <c r="BR63" s="230">
        <f t="shared" si="41"/>
        <v>83614</v>
      </c>
      <c r="BS63" s="230">
        <v>21397</v>
      </c>
      <c r="BT63" s="223">
        <v>105011</v>
      </c>
      <c r="BU63" s="109">
        <f t="shared" si="59"/>
        <v>2.3993191217127059</v>
      </c>
      <c r="BV63" s="108">
        <f t="shared" si="70"/>
        <v>13126.375</v>
      </c>
      <c r="BW63" s="109">
        <f t="shared" si="60"/>
        <v>14.876186428672616</v>
      </c>
      <c r="BX63" s="109">
        <f t="shared" si="61"/>
        <v>0.7381210110495684</v>
      </c>
      <c r="BY63" s="109">
        <f t="shared" si="69"/>
        <v>0.40004952475285244</v>
      </c>
      <c r="BZ63" s="206">
        <v>531</v>
      </c>
      <c r="CA63" s="206">
        <v>53</v>
      </c>
      <c r="CB63" s="206">
        <v>259</v>
      </c>
      <c r="CC63" s="113">
        <f t="shared" si="44"/>
        <v>843</v>
      </c>
      <c r="CD63" s="206">
        <v>8529</v>
      </c>
      <c r="CE63" s="206">
        <v>235</v>
      </c>
      <c r="CF63" s="206">
        <v>2761</v>
      </c>
      <c r="CG63" s="116">
        <f t="shared" si="45"/>
        <v>11525</v>
      </c>
      <c r="CH63" s="109">
        <f t="shared" si="62"/>
        <v>0.26332625037128432</v>
      </c>
      <c r="CI63" s="206">
        <v>142268</v>
      </c>
      <c r="CJ63" s="109">
        <f t="shared" si="63"/>
        <v>3.2505769186830262</v>
      </c>
      <c r="CK63" s="223">
        <v>20603</v>
      </c>
      <c r="CL63" s="209" t="s">
        <v>7</v>
      </c>
      <c r="CM63" s="209" t="s">
        <v>7</v>
      </c>
      <c r="CN63" s="209" t="s">
        <v>7</v>
      </c>
      <c r="CO63" s="210">
        <v>4</v>
      </c>
      <c r="CP63" s="210">
        <v>0</v>
      </c>
      <c r="CQ63" s="210">
        <v>0</v>
      </c>
      <c r="CR63" s="210">
        <v>4</v>
      </c>
      <c r="CS63" s="180">
        <f t="shared" si="46"/>
        <v>8</v>
      </c>
      <c r="CT63" s="108">
        <f t="shared" si="71"/>
        <v>5470.875</v>
      </c>
      <c r="CU63" s="206">
        <v>225</v>
      </c>
      <c r="CV63" s="208">
        <v>63065</v>
      </c>
      <c r="CW63" s="210">
        <v>40</v>
      </c>
      <c r="CX63" s="209" t="s">
        <v>7</v>
      </c>
      <c r="CY63" s="209" t="s">
        <v>7</v>
      </c>
      <c r="CZ63" s="206">
        <v>32</v>
      </c>
      <c r="DA63" s="206">
        <v>102</v>
      </c>
      <c r="DB63" s="206">
        <v>103</v>
      </c>
      <c r="DC63" s="206">
        <v>19115</v>
      </c>
      <c r="DD63" s="206">
        <v>58550</v>
      </c>
      <c r="DE63" s="206">
        <v>13024</v>
      </c>
      <c r="DF63" s="206">
        <v>9334</v>
      </c>
      <c r="DG63" s="206">
        <v>50</v>
      </c>
      <c r="DH63" s="210">
        <f t="shared" si="64"/>
        <v>0.2132657024698974</v>
      </c>
      <c r="DI63" s="206">
        <v>37</v>
      </c>
      <c r="DJ63" s="206">
        <v>37</v>
      </c>
      <c r="DL63" s="347">
        <v>7059</v>
      </c>
      <c r="DM63" s="205"/>
      <c r="DN63" s="209" t="s">
        <v>1093</v>
      </c>
      <c r="DO63" s="209" t="s">
        <v>1030</v>
      </c>
      <c r="DP63" s="209"/>
      <c r="DQ63" s="207"/>
      <c r="DR63" s="218" t="s">
        <v>1148</v>
      </c>
      <c r="DS63" s="205" t="s">
        <v>1011</v>
      </c>
      <c r="DT63" s="229">
        <v>43282</v>
      </c>
      <c r="DU63" s="229">
        <v>43646</v>
      </c>
      <c r="DV63" s="218" t="s">
        <v>1148</v>
      </c>
      <c r="DW63" s="109">
        <f t="shared" si="65"/>
        <v>0.62451161834258684</v>
      </c>
      <c r="DX63" s="109">
        <f t="shared" si="66"/>
        <v>0</v>
      </c>
      <c r="DY63" s="109">
        <f t="shared" si="67"/>
        <v>1.9104348024767519</v>
      </c>
      <c r="DZ63" s="109">
        <f t="shared" si="68"/>
        <v>0.48888431923595405</v>
      </c>
      <c r="EA63" s="110">
        <f t="shared" si="72"/>
        <v>0.47902151477732613</v>
      </c>
      <c r="EB63" s="200">
        <v>0</v>
      </c>
    </row>
    <row r="64" spans="1:132" ht="17" thickBot="1">
      <c r="A64" s="218" t="s">
        <v>1012</v>
      </c>
      <c r="B64" s="342" t="s">
        <v>1232</v>
      </c>
      <c r="C64" s="347">
        <v>21784</v>
      </c>
      <c r="D64" s="207">
        <v>1</v>
      </c>
      <c r="E64" s="207">
        <v>0</v>
      </c>
      <c r="F64" s="206">
        <v>24370</v>
      </c>
      <c r="H64" s="108">
        <f t="shared" si="0"/>
        <v>24370</v>
      </c>
      <c r="I64" s="109">
        <v>1.1351800000000001</v>
      </c>
      <c r="J64" s="208">
        <v>336795</v>
      </c>
      <c r="K64" s="208">
        <v>98753</v>
      </c>
      <c r="L64" s="115">
        <f t="shared" si="33"/>
        <v>435548</v>
      </c>
      <c r="M64" s="110">
        <f t="shared" si="50"/>
        <v>19.993940506793976</v>
      </c>
      <c r="N64" s="208">
        <v>42921</v>
      </c>
      <c r="O64" s="208">
        <v>8894</v>
      </c>
      <c r="P64" s="222">
        <v>13891</v>
      </c>
      <c r="Q64" s="115">
        <v>65706</v>
      </c>
      <c r="R64" s="110">
        <f t="shared" si="51"/>
        <v>3.0162504590525154</v>
      </c>
      <c r="S64" s="222">
        <v>92275</v>
      </c>
      <c r="T64" s="208">
        <v>593529</v>
      </c>
      <c r="U64" s="208">
        <v>0</v>
      </c>
      <c r="V64" s="208">
        <v>593529</v>
      </c>
      <c r="W64" s="110">
        <f t="shared" si="52"/>
        <v>27.246098053617335</v>
      </c>
      <c r="X64" s="111">
        <f t="shared" si="34"/>
        <v>0.73382766469709149</v>
      </c>
      <c r="Y64" s="111">
        <f t="shared" si="35"/>
        <v>0.11070394201462776</v>
      </c>
      <c r="Z64" s="111">
        <f t="shared" si="36"/>
        <v>0.15546839328828077</v>
      </c>
      <c r="AA64" s="111">
        <f t="shared" si="37"/>
        <v>0</v>
      </c>
      <c r="AB64" s="208">
        <v>8536</v>
      </c>
      <c r="AE64" s="208"/>
      <c r="AF64" s="208">
        <v>593529</v>
      </c>
      <c r="AG64" s="208">
        <v>547716</v>
      </c>
      <c r="AH64" s="208"/>
      <c r="AI64" s="115">
        <f t="shared" si="53"/>
        <v>1141245</v>
      </c>
      <c r="AJ64" s="110">
        <f t="shared" si="54"/>
        <v>52.38913881748072</v>
      </c>
      <c r="AK64" s="208">
        <v>76743</v>
      </c>
      <c r="AL64" s="208">
        <v>10549</v>
      </c>
      <c r="AM64" s="208">
        <v>14054</v>
      </c>
      <c r="AN64" s="208"/>
      <c r="AO64" s="115">
        <f t="shared" si="38"/>
        <v>14054</v>
      </c>
      <c r="AP64" s="208">
        <v>649062</v>
      </c>
      <c r="AQ64" s="112">
        <f t="shared" si="55"/>
        <v>29.795354388542048</v>
      </c>
      <c r="AR64" s="208"/>
      <c r="AS64" s="222">
        <v>0</v>
      </c>
      <c r="AT64" s="208">
        <v>0</v>
      </c>
      <c r="AU64" s="222">
        <v>0</v>
      </c>
      <c r="AV64" s="222">
        <v>0</v>
      </c>
      <c r="AW64" s="208"/>
      <c r="AX64" s="222">
        <v>0</v>
      </c>
      <c r="AY64" s="115">
        <f t="shared" si="39"/>
        <v>0</v>
      </c>
      <c r="AZ64" s="206">
        <v>37878</v>
      </c>
      <c r="BA64" s="109">
        <f t="shared" si="56"/>
        <v>1.73879911861917</v>
      </c>
      <c r="BB64" s="223">
        <v>3264</v>
      </c>
      <c r="BC64" s="223">
        <v>3264</v>
      </c>
      <c r="BD64" s="223">
        <v>7970</v>
      </c>
      <c r="BE64" s="223">
        <v>2179</v>
      </c>
      <c r="BF64" s="223">
        <v>144058</v>
      </c>
      <c r="BG64" s="223">
        <v>1</v>
      </c>
      <c r="BH64" s="223">
        <v>89</v>
      </c>
      <c r="BI64" s="206">
        <v>0</v>
      </c>
      <c r="BJ64" s="116">
        <f t="shared" si="40"/>
        <v>90</v>
      </c>
      <c r="BK64" s="223">
        <v>230902</v>
      </c>
      <c r="BL64" s="109">
        <f t="shared" si="57"/>
        <v>10.59961439588689</v>
      </c>
      <c r="BM64" s="223">
        <v>0</v>
      </c>
      <c r="BN64" s="206">
        <v>9648</v>
      </c>
      <c r="BO64" s="109">
        <f t="shared" si="58"/>
        <v>0.44289386705839145</v>
      </c>
      <c r="BP64" s="206">
        <v>35473</v>
      </c>
      <c r="BQ64" s="206">
        <v>0</v>
      </c>
      <c r="BR64" s="230">
        <f t="shared" si="41"/>
        <v>109399</v>
      </c>
      <c r="BS64" s="230">
        <v>26659</v>
      </c>
      <c r="BT64" s="223">
        <v>136058</v>
      </c>
      <c r="BU64" s="109">
        <f t="shared" si="59"/>
        <v>6.2457767168564082</v>
      </c>
      <c r="BV64" s="108">
        <f t="shared" si="70"/>
        <v>12763.414634146342</v>
      </c>
      <c r="BW64" s="109">
        <f t="shared" si="60"/>
        <v>29.571397522277767</v>
      </c>
      <c r="BX64" s="109">
        <f t="shared" si="61"/>
        <v>1.9078187223063547</v>
      </c>
      <c r="BY64" s="109">
        <f t="shared" si="69"/>
        <v>0.58924565400039841</v>
      </c>
      <c r="BZ64" s="206">
        <v>271</v>
      </c>
      <c r="CA64" s="206">
        <v>87</v>
      </c>
      <c r="CB64" s="206">
        <v>140</v>
      </c>
      <c r="CC64" s="113">
        <f t="shared" si="44"/>
        <v>498</v>
      </c>
      <c r="CD64" s="206">
        <v>6917</v>
      </c>
      <c r="CE64" s="206">
        <v>2110</v>
      </c>
      <c r="CF64" s="206">
        <v>4887</v>
      </c>
      <c r="CG64" s="116">
        <f t="shared" si="45"/>
        <v>13914</v>
      </c>
      <c r="CH64" s="109">
        <f t="shared" si="62"/>
        <v>0.63872567021667281</v>
      </c>
      <c r="CI64" s="206">
        <v>71316</v>
      </c>
      <c r="CJ64" s="109">
        <f t="shared" si="63"/>
        <v>3.2737789203084833</v>
      </c>
      <c r="CK64" s="223">
        <v>9619</v>
      </c>
      <c r="CL64" s="209" t="s">
        <v>7</v>
      </c>
      <c r="CM64" s="209" t="s">
        <v>7</v>
      </c>
      <c r="CN64" s="209" t="s">
        <v>7</v>
      </c>
      <c r="CO64" s="210">
        <v>2.81</v>
      </c>
      <c r="CP64" s="210">
        <v>0</v>
      </c>
      <c r="CQ64" s="210">
        <v>0</v>
      </c>
      <c r="CR64" s="210">
        <v>7.85</v>
      </c>
      <c r="CS64" s="180">
        <f t="shared" si="46"/>
        <v>10.66</v>
      </c>
      <c r="CT64" s="108">
        <f t="shared" si="71"/>
        <v>2043.5272045028141</v>
      </c>
      <c r="CU64" s="206">
        <v>691</v>
      </c>
      <c r="CV64" s="208">
        <v>56292</v>
      </c>
      <c r="CW64" s="210">
        <v>30</v>
      </c>
      <c r="CX64" s="209" t="s">
        <v>7</v>
      </c>
      <c r="CY64" s="209" t="s">
        <v>7</v>
      </c>
      <c r="CZ64" s="206">
        <v>9852</v>
      </c>
      <c r="DA64" s="206">
        <v>11245</v>
      </c>
      <c r="DB64" s="206">
        <v>30</v>
      </c>
      <c r="DC64" s="206">
        <v>9879</v>
      </c>
      <c r="DD64" s="206" t="s">
        <v>1115</v>
      </c>
      <c r="DE64" s="206">
        <v>21902</v>
      </c>
      <c r="DF64" s="206">
        <v>5344</v>
      </c>
      <c r="DG64" s="206">
        <v>52</v>
      </c>
      <c r="DH64" s="210">
        <f t="shared" si="64"/>
        <v>0.2453176643408006</v>
      </c>
      <c r="DI64" s="206">
        <v>30</v>
      </c>
      <c r="DJ64" s="206">
        <v>30</v>
      </c>
      <c r="DL64" s="347">
        <v>4601</v>
      </c>
      <c r="DM64" s="205"/>
      <c r="DN64" s="209" t="s">
        <v>1094</v>
      </c>
      <c r="DO64" s="209" t="s">
        <v>125</v>
      </c>
      <c r="DP64" s="209"/>
      <c r="DQ64" s="207"/>
      <c r="DR64" s="218" t="s">
        <v>1012</v>
      </c>
      <c r="DS64" s="205" t="s">
        <v>1012</v>
      </c>
      <c r="DT64" s="229">
        <v>43282</v>
      </c>
      <c r="DU64" s="229">
        <v>43646</v>
      </c>
      <c r="DV64" s="218" t="s">
        <v>1012</v>
      </c>
      <c r="DW64" s="109">
        <f t="shared" si="65"/>
        <v>1.6283969886154976</v>
      </c>
      <c r="DX64" s="109">
        <f t="shared" si="66"/>
        <v>0</v>
      </c>
      <c r="DY64" s="109">
        <f t="shared" si="67"/>
        <v>5.0219886154976132</v>
      </c>
      <c r="DZ64" s="109">
        <f t="shared" si="68"/>
        <v>1.2237881013587955</v>
      </c>
      <c r="EA64" s="110">
        <f t="shared" si="72"/>
        <v>0.29626843006239989</v>
      </c>
      <c r="EB64" s="200">
        <f t="shared" si="47"/>
        <v>0.33362091601335386</v>
      </c>
    </row>
    <row r="65" spans="1:132" ht="17" thickBot="1">
      <c r="A65" s="218" t="s">
        <v>1013</v>
      </c>
      <c r="B65" s="342" t="s">
        <v>1233</v>
      </c>
      <c r="C65" s="347">
        <v>182241</v>
      </c>
      <c r="D65" s="207">
        <v>5</v>
      </c>
      <c r="E65" s="207">
        <v>0</v>
      </c>
      <c r="F65" s="206">
        <v>53627</v>
      </c>
      <c r="H65" s="108">
        <f t="shared" si="0"/>
        <v>53627</v>
      </c>
      <c r="I65" s="109">
        <v>0.30025000000000002</v>
      </c>
      <c r="J65" s="208">
        <v>588297</v>
      </c>
      <c r="K65" s="208">
        <v>316962</v>
      </c>
      <c r="L65" s="115">
        <f t="shared" si="33"/>
        <v>905259</v>
      </c>
      <c r="M65" s="110">
        <f t="shared" si="50"/>
        <v>4.9673728743806276</v>
      </c>
      <c r="N65" s="208">
        <v>70000</v>
      </c>
      <c r="O65" s="208">
        <v>9373</v>
      </c>
      <c r="P65" s="222">
        <v>17000</v>
      </c>
      <c r="Q65" s="115">
        <v>96373</v>
      </c>
      <c r="R65" s="110">
        <f t="shared" si="51"/>
        <v>0.52882172507833036</v>
      </c>
      <c r="S65" s="222">
        <v>166681</v>
      </c>
      <c r="T65" s="208">
        <v>1168313</v>
      </c>
      <c r="U65" s="208">
        <v>0</v>
      </c>
      <c r="V65" s="208">
        <v>1168313</v>
      </c>
      <c r="W65" s="110">
        <f t="shared" si="52"/>
        <v>6.4108131540103486</v>
      </c>
      <c r="X65" s="111">
        <f t="shared" si="34"/>
        <v>0.7748428717304352</v>
      </c>
      <c r="Y65" s="111">
        <f t="shared" si="35"/>
        <v>8.2489024773327008E-2</v>
      </c>
      <c r="Z65" s="111">
        <f t="shared" si="36"/>
        <v>0.14266810349623774</v>
      </c>
      <c r="AA65" s="111">
        <f t="shared" si="37"/>
        <v>0</v>
      </c>
      <c r="AB65" s="208">
        <v>4000</v>
      </c>
      <c r="AE65" s="208"/>
      <c r="AF65" s="208">
        <v>1168313</v>
      </c>
      <c r="AG65" s="208">
        <v>551000</v>
      </c>
      <c r="AH65" s="208"/>
      <c r="AI65" s="115">
        <f t="shared" si="53"/>
        <v>1719313</v>
      </c>
      <c r="AJ65" s="110">
        <f t="shared" si="54"/>
        <v>9.4342820770298665</v>
      </c>
      <c r="AK65" s="208">
        <v>196375</v>
      </c>
      <c r="AL65" s="208">
        <v>0</v>
      </c>
      <c r="AM65" s="208">
        <v>45000</v>
      </c>
      <c r="AN65" s="208"/>
      <c r="AO65" s="115">
        <f t="shared" si="38"/>
        <v>45000</v>
      </c>
      <c r="AP65" s="208">
        <v>1494770</v>
      </c>
      <c r="AQ65" s="112">
        <f t="shared" si="55"/>
        <v>8.202160874885454</v>
      </c>
      <c r="AR65" s="208"/>
      <c r="AS65" s="222">
        <v>4000</v>
      </c>
      <c r="AT65" s="208">
        <v>0</v>
      </c>
      <c r="AU65" s="222">
        <v>0</v>
      </c>
      <c r="AV65" s="222">
        <v>0</v>
      </c>
      <c r="AW65" s="208"/>
      <c r="AX65" s="222">
        <v>0</v>
      </c>
      <c r="AY65" s="115">
        <f t="shared" si="39"/>
        <v>4000</v>
      </c>
      <c r="AZ65" s="206">
        <v>226008</v>
      </c>
      <c r="BA65" s="109">
        <f t="shared" si="56"/>
        <v>1.2401600079016248</v>
      </c>
      <c r="BB65" s="223">
        <v>7027</v>
      </c>
      <c r="BC65" s="223">
        <v>7027</v>
      </c>
      <c r="BD65" s="223">
        <v>7126</v>
      </c>
      <c r="BE65" s="223">
        <v>1752</v>
      </c>
      <c r="BF65" s="223">
        <v>74796</v>
      </c>
      <c r="BG65" s="223">
        <v>0</v>
      </c>
      <c r="BH65" s="223">
        <v>89</v>
      </c>
      <c r="BI65" s="206">
        <v>0</v>
      </c>
      <c r="BJ65" s="116">
        <f t="shared" si="40"/>
        <v>89</v>
      </c>
      <c r="BK65" s="223">
        <v>332843</v>
      </c>
      <c r="BL65" s="109">
        <f t="shared" si="57"/>
        <v>1.826389231841353</v>
      </c>
      <c r="BM65" s="223">
        <v>0</v>
      </c>
      <c r="BN65" s="206">
        <v>64631</v>
      </c>
      <c r="BO65" s="109">
        <f t="shared" si="58"/>
        <v>0.35464577125893731</v>
      </c>
      <c r="BP65" s="206">
        <v>65324</v>
      </c>
      <c r="BQ65" s="206">
        <v>0</v>
      </c>
      <c r="BR65" s="230">
        <f t="shared" si="41"/>
        <v>167710</v>
      </c>
      <c r="BS65" s="230">
        <v>68867</v>
      </c>
      <c r="BT65" s="223">
        <v>236577</v>
      </c>
      <c r="BU65" s="109">
        <f t="shared" si="59"/>
        <v>1.2981546413814673</v>
      </c>
      <c r="BV65" s="108">
        <f t="shared" si="70"/>
        <v>10753.5</v>
      </c>
      <c r="BW65" s="109">
        <f t="shared" si="60"/>
        <v>25.90070067878257</v>
      </c>
      <c r="BX65" s="109">
        <f t="shared" si="61"/>
        <v>1.488027322988672</v>
      </c>
      <c r="BY65" s="109">
        <f t="shared" si="69"/>
        <v>0.71077655230844572</v>
      </c>
      <c r="BZ65" s="206">
        <v>300</v>
      </c>
      <c r="CA65" s="206">
        <v>20</v>
      </c>
      <c r="CB65" s="206">
        <v>40</v>
      </c>
      <c r="CC65" s="113">
        <f t="shared" si="44"/>
        <v>360</v>
      </c>
      <c r="CD65" s="206">
        <v>4463</v>
      </c>
      <c r="CE65" s="206">
        <v>145</v>
      </c>
      <c r="CF65" s="206">
        <v>307</v>
      </c>
      <c r="CG65" s="116">
        <f t="shared" si="45"/>
        <v>4915</v>
      </c>
      <c r="CH65" s="109">
        <f t="shared" si="62"/>
        <v>2.6969781772488079E-2</v>
      </c>
      <c r="CI65" s="206">
        <v>158987</v>
      </c>
      <c r="CJ65" s="109">
        <f t="shared" si="63"/>
        <v>0.87239973441761187</v>
      </c>
      <c r="CK65" s="223">
        <v>79062</v>
      </c>
      <c r="CL65" s="209" t="s">
        <v>7</v>
      </c>
      <c r="CM65" s="209" t="s">
        <v>7</v>
      </c>
      <c r="CN65" s="209" t="s">
        <v>7</v>
      </c>
      <c r="CO65" s="210">
        <v>4</v>
      </c>
      <c r="CP65" s="108">
        <f>C65/CO65</f>
        <v>45560.25</v>
      </c>
      <c r="CQ65" s="210">
        <v>0</v>
      </c>
      <c r="CR65" s="210">
        <v>18</v>
      </c>
      <c r="CS65" s="180">
        <f t="shared" si="46"/>
        <v>22</v>
      </c>
      <c r="CT65" s="108">
        <f t="shared" si="71"/>
        <v>8283.681818181818</v>
      </c>
      <c r="CU65" s="206">
        <v>547</v>
      </c>
      <c r="CV65" s="208">
        <v>66999</v>
      </c>
      <c r="CW65" s="210">
        <v>40</v>
      </c>
      <c r="CX65" s="209" t="s">
        <v>7</v>
      </c>
      <c r="CY65" s="209" t="s">
        <v>7</v>
      </c>
      <c r="CZ65" s="206">
        <v>12450</v>
      </c>
      <c r="DA65" s="206">
        <v>9410</v>
      </c>
      <c r="DB65" s="206">
        <v>48</v>
      </c>
      <c r="DC65" s="206">
        <v>25296</v>
      </c>
      <c r="DD65" s="206">
        <v>23756</v>
      </c>
      <c r="DE65" s="206">
        <v>48288</v>
      </c>
      <c r="DF65" s="206">
        <v>12558</v>
      </c>
      <c r="DG65" s="206">
        <v>52</v>
      </c>
      <c r="DH65" s="210">
        <f t="shared" si="64"/>
        <v>6.8908752695606368E-2</v>
      </c>
      <c r="DI65" s="206">
        <v>63</v>
      </c>
      <c r="DJ65" s="206">
        <v>63</v>
      </c>
      <c r="DL65" s="347">
        <v>9134</v>
      </c>
      <c r="DM65" s="205"/>
      <c r="DN65" s="209" t="s">
        <v>1095</v>
      </c>
      <c r="DO65" s="211" t="s">
        <v>125</v>
      </c>
      <c r="DP65" s="209"/>
      <c r="DQ65" s="207"/>
      <c r="DR65" s="218" t="s">
        <v>1013</v>
      </c>
      <c r="DS65" s="205" t="s">
        <v>1013</v>
      </c>
      <c r="DT65" s="229">
        <v>43282</v>
      </c>
      <c r="DU65" s="229">
        <v>43646</v>
      </c>
      <c r="DV65" s="218" t="s">
        <v>1013</v>
      </c>
      <c r="DW65" s="109">
        <f t="shared" si="65"/>
        <v>0.35844842818026679</v>
      </c>
      <c r="DX65" s="109">
        <f t="shared" si="66"/>
        <v>0</v>
      </c>
      <c r="DY65" s="109">
        <f t="shared" si="67"/>
        <v>0.92026492391942538</v>
      </c>
      <c r="DZ65" s="109">
        <f t="shared" si="68"/>
        <v>0.37788971746204203</v>
      </c>
      <c r="EA65" s="110">
        <f t="shared" si="72"/>
        <v>0.30038535149377343</v>
      </c>
      <c r="EB65" s="200">
        <f t="shared" si="47"/>
        <v>0.136102923025542</v>
      </c>
    </row>
    <row r="66" spans="1:132" ht="17" thickBot="1">
      <c r="A66" s="218" t="s">
        <v>1014</v>
      </c>
      <c r="B66" s="342" t="s">
        <v>1234</v>
      </c>
      <c r="C66" s="347">
        <v>144578</v>
      </c>
      <c r="D66" s="207">
        <v>6</v>
      </c>
      <c r="E66" s="207">
        <v>1</v>
      </c>
      <c r="F66" s="206">
        <v>66712</v>
      </c>
      <c r="H66" s="108">
        <f t="shared" ref="H66:H83" si="73">G66+F66</f>
        <v>66712</v>
      </c>
      <c r="I66" s="109">
        <v>0.46360000000000001</v>
      </c>
      <c r="J66" s="208">
        <v>1779577</v>
      </c>
      <c r="K66" s="208">
        <v>588658</v>
      </c>
      <c r="L66" s="115">
        <f t="shared" si="33"/>
        <v>2368235</v>
      </c>
      <c r="M66" s="110">
        <f t="shared" ref="M66:M97" si="74">L66/C66</f>
        <v>16.380327574043076</v>
      </c>
      <c r="N66" s="208">
        <v>187143</v>
      </c>
      <c r="O66" s="208">
        <v>56577</v>
      </c>
      <c r="P66" s="222">
        <v>28187</v>
      </c>
      <c r="Q66" s="115">
        <v>271907</v>
      </c>
      <c r="R66" s="110">
        <f t="shared" ref="R66:R97" si="75">Q66/C66</f>
        <v>1.880694158170676</v>
      </c>
      <c r="S66" s="222">
        <v>706150</v>
      </c>
      <c r="T66" s="208">
        <v>3346292</v>
      </c>
      <c r="U66" s="208">
        <v>0</v>
      </c>
      <c r="V66" s="208">
        <v>3346292</v>
      </c>
      <c r="W66" s="110">
        <f t="shared" ref="W66:W97" si="76">V66/C66</f>
        <v>23.145236481345709</v>
      </c>
      <c r="X66" s="111">
        <f t="shared" si="34"/>
        <v>0.70771917095101089</v>
      </c>
      <c r="Y66" s="111">
        <f t="shared" si="35"/>
        <v>8.1256208364362703E-2</v>
      </c>
      <c r="Z66" s="111">
        <f t="shared" si="36"/>
        <v>0.21102462068462643</v>
      </c>
      <c r="AA66" s="111">
        <f t="shared" si="37"/>
        <v>0</v>
      </c>
      <c r="AB66" s="208">
        <v>83507</v>
      </c>
      <c r="AE66" s="208"/>
      <c r="AF66" s="208">
        <v>3346292</v>
      </c>
      <c r="AG66" s="208">
        <v>2289090</v>
      </c>
      <c r="AH66" s="208"/>
      <c r="AI66" s="115">
        <f t="shared" ref="AI66:AI83" si="77">SUM(AF66:AH66)</f>
        <v>5635382</v>
      </c>
      <c r="AJ66" s="110">
        <f t="shared" ref="AJ66:AJ97" si="78">AI66/C66</f>
        <v>38.978143285977119</v>
      </c>
      <c r="AK66" s="208">
        <v>182623</v>
      </c>
      <c r="AL66" s="208">
        <v>7532</v>
      </c>
      <c r="AM66" s="208">
        <v>169511</v>
      </c>
      <c r="AN66" s="208"/>
      <c r="AO66" s="115">
        <f t="shared" si="38"/>
        <v>169511</v>
      </c>
      <c r="AP66" s="208">
        <v>3436852</v>
      </c>
      <c r="AQ66" s="112">
        <f t="shared" ref="AQ66:AQ97" si="79">AP66/C66</f>
        <v>23.771611171824205</v>
      </c>
      <c r="AR66" s="208"/>
      <c r="AS66" s="222">
        <v>0</v>
      </c>
      <c r="AT66" s="208">
        <v>0</v>
      </c>
      <c r="AU66" s="222">
        <v>0</v>
      </c>
      <c r="AV66" s="222">
        <v>0</v>
      </c>
      <c r="AW66" s="208"/>
      <c r="AX66" s="222">
        <v>0</v>
      </c>
      <c r="AY66" s="115">
        <f t="shared" si="39"/>
        <v>0</v>
      </c>
      <c r="AZ66" s="206">
        <v>251405</v>
      </c>
      <c r="BA66" s="109">
        <f t="shared" ref="BA66:BA97" si="80">AZ66/C66</f>
        <v>1.7388883509247604</v>
      </c>
      <c r="BB66" s="223">
        <v>8397</v>
      </c>
      <c r="BC66" s="223">
        <v>8397</v>
      </c>
      <c r="BD66" s="223">
        <v>28906</v>
      </c>
      <c r="BE66" s="223">
        <v>1752</v>
      </c>
      <c r="BF66" s="223">
        <v>81163</v>
      </c>
      <c r="BG66" s="223">
        <v>6</v>
      </c>
      <c r="BH66" s="223">
        <v>89</v>
      </c>
      <c r="BI66" s="206">
        <v>0</v>
      </c>
      <c r="BJ66" s="116">
        <f t="shared" si="40"/>
        <v>95</v>
      </c>
      <c r="BK66" s="223">
        <v>395709</v>
      </c>
      <c r="BL66" s="109">
        <f t="shared" ref="BL66:BL97" si="81">BK66/C66</f>
        <v>2.7369931801518903</v>
      </c>
      <c r="BM66" s="223">
        <v>235</v>
      </c>
      <c r="BN66" s="206">
        <v>98144</v>
      </c>
      <c r="BO66" s="109">
        <f t="shared" ref="BO66:BO97" si="82">BN66/C66</f>
        <v>0.6788308041334089</v>
      </c>
      <c r="BP66" s="206">
        <v>124791</v>
      </c>
      <c r="BQ66" s="206">
        <v>0</v>
      </c>
      <c r="BR66" s="230">
        <f t="shared" si="41"/>
        <v>345772</v>
      </c>
      <c r="BS66" s="230">
        <v>99060</v>
      </c>
      <c r="BT66" s="223">
        <v>444832</v>
      </c>
      <c r="BU66" s="109">
        <f t="shared" ref="BU66:BU97" si="83">BT66/C66</f>
        <v>3.0767613329828882</v>
      </c>
      <c r="BV66" s="108">
        <f t="shared" si="70"/>
        <v>9802.3799030409864</v>
      </c>
      <c r="BW66" s="109">
        <f t="shared" ref="BW66:BW83" si="84">BT66/DL66</f>
        <v>38.019829059829057</v>
      </c>
      <c r="BX66" s="109">
        <f t="shared" ref="BX66:BX83" si="85">BT66/CI66</f>
        <v>1.4700136151537984</v>
      </c>
      <c r="BY66" s="109">
        <f t="shared" si="69"/>
        <v>1.1241392033034376</v>
      </c>
      <c r="BZ66" s="206">
        <v>1126</v>
      </c>
      <c r="CA66" s="206">
        <v>73</v>
      </c>
      <c r="CB66" s="206">
        <v>202</v>
      </c>
      <c r="CC66" s="113">
        <f t="shared" si="44"/>
        <v>1401</v>
      </c>
      <c r="CD66" s="206">
        <v>31569</v>
      </c>
      <c r="CE66" s="206">
        <v>1072</v>
      </c>
      <c r="CF66" s="206">
        <v>5113</v>
      </c>
      <c r="CG66" s="116">
        <f t="shared" si="45"/>
        <v>37754</v>
      </c>
      <c r="CH66" s="109">
        <f t="shared" ref="CH66:CH97" si="86">CG66/C66</f>
        <v>0.26113239912019809</v>
      </c>
      <c r="CI66" s="206">
        <v>302604</v>
      </c>
      <c r="CJ66" s="109">
        <f t="shared" ref="CJ66:CJ97" si="87">CI66/C66</f>
        <v>2.0930155348669923</v>
      </c>
      <c r="CK66" s="223">
        <v>142501</v>
      </c>
      <c r="CL66" s="209" t="s">
        <v>7</v>
      </c>
      <c r="CM66" s="209" t="s">
        <v>7</v>
      </c>
      <c r="CN66" s="209" t="s">
        <v>7</v>
      </c>
      <c r="CO66" s="210">
        <v>12.75</v>
      </c>
      <c r="CP66" s="210">
        <v>0</v>
      </c>
      <c r="CQ66" s="210">
        <v>0</v>
      </c>
      <c r="CR66" s="210">
        <v>32.630000000000003</v>
      </c>
      <c r="CS66" s="180">
        <f t="shared" si="46"/>
        <v>45.38</v>
      </c>
      <c r="CT66" s="108">
        <f t="shared" si="71"/>
        <v>3185.9409431467607</v>
      </c>
      <c r="CU66" s="206">
        <v>490</v>
      </c>
      <c r="CV66" s="208">
        <v>78190</v>
      </c>
      <c r="CW66" s="210">
        <v>39.200000000000003</v>
      </c>
      <c r="CX66" s="209" t="s">
        <v>7</v>
      </c>
      <c r="CY66" s="209" t="s">
        <v>7</v>
      </c>
      <c r="CZ66" s="206">
        <v>138</v>
      </c>
      <c r="DA66" s="206">
        <v>219</v>
      </c>
      <c r="DB66" s="206">
        <v>149</v>
      </c>
      <c r="DC66" s="206">
        <v>47340</v>
      </c>
      <c r="DD66" s="206">
        <v>26722</v>
      </c>
      <c r="DE66" s="206">
        <v>236524</v>
      </c>
      <c r="DF66" s="206">
        <v>16302</v>
      </c>
      <c r="DG66" s="206">
        <v>52</v>
      </c>
      <c r="DH66" s="210">
        <f t="shared" ref="DH66:DH83" si="88">DF66/C66</f>
        <v>0.11275574430411266</v>
      </c>
      <c r="DI66" s="206">
        <v>35</v>
      </c>
      <c r="DJ66" s="206">
        <v>35</v>
      </c>
      <c r="DL66" s="347">
        <v>11700</v>
      </c>
      <c r="DM66" s="205"/>
      <c r="DN66" s="209" t="s">
        <v>1096</v>
      </c>
      <c r="DO66" s="209" t="s">
        <v>125</v>
      </c>
      <c r="DP66" s="209"/>
      <c r="DQ66" s="207"/>
      <c r="DR66" s="218" t="s">
        <v>1014</v>
      </c>
      <c r="DS66" s="205" t="s">
        <v>1014</v>
      </c>
      <c r="DT66" s="229">
        <v>43282</v>
      </c>
      <c r="DU66" s="229">
        <v>43646</v>
      </c>
      <c r="DV66" s="218" t="s">
        <v>1014</v>
      </c>
      <c r="DW66" s="109">
        <f t="shared" ref="DW66:DW83" si="89">BP66/C66</f>
        <v>0.86313962013584367</v>
      </c>
      <c r="DX66" s="109">
        <f t="shared" ref="DX66:DX83" si="90">BQ66/C66</f>
        <v>0</v>
      </c>
      <c r="DY66" s="109">
        <f t="shared" ref="DY66:DY83" si="91">BR66/C66</f>
        <v>2.391594848455505</v>
      </c>
      <c r="DZ66" s="109">
        <f t="shared" ref="DZ66:DZ83" si="92">BS66/C66</f>
        <v>0.68516648452738316</v>
      </c>
      <c r="EA66" s="110">
        <f t="shared" si="72"/>
        <v>0.39770020167331471</v>
      </c>
      <c r="EB66" s="200">
        <v>0</v>
      </c>
    </row>
    <row r="67" spans="1:132" ht="17" thickBot="1">
      <c r="A67" s="218" t="s">
        <v>1149</v>
      </c>
      <c r="B67" s="342" t="s">
        <v>1235</v>
      </c>
      <c r="C67" s="347">
        <v>14738</v>
      </c>
      <c r="D67" s="207">
        <v>0</v>
      </c>
      <c r="E67" s="207">
        <v>0</v>
      </c>
      <c r="F67" s="206">
        <v>7550</v>
      </c>
      <c r="H67" s="108">
        <f t="shared" si="73"/>
        <v>7550</v>
      </c>
      <c r="I67" s="109">
        <v>0.51227999999999996</v>
      </c>
      <c r="J67" s="208">
        <v>152523</v>
      </c>
      <c r="K67" s="208">
        <v>15822</v>
      </c>
      <c r="L67" s="115">
        <f t="shared" ref="L67:L83" si="93">J67+K67</f>
        <v>168345</v>
      </c>
      <c r="M67" s="110">
        <f t="shared" si="74"/>
        <v>11.42251323110327</v>
      </c>
      <c r="N67" s="208">
        <v>17722</v>
      </c>
      <c r="O67" s="208">
        <v>3652</v>
      </c>
      <c r="P67" s="222">
        <v>6735</v>
      </c>
      <c r="Q67" s="115">
        <v>28109</v>
      </c>
      <c r="R67" s="110">
        <f t="shared" si="75"/>
        <v>1.907246573483512</v>
      </c>
      <c r="S67" s="222">
        <v>54254</v>
      </c>
      <c r="T67" s="208">
        <v>250708</v>
      </c>
      <c r="U67" s="208">
        <v>0</v>
      </c>
      <c r="V67" s="208">
        <v>250708</v>
      </c>
      <c r="W67" s="110">
        <f t="shared" si="76"/>
        <v>17.010991993486225</v>
      </c>
      <c r="X67" s="111">
        <f t="shared" ref="X67:X83" si="94">L67/V67</f>
        <v>0.67147837324696458</v>
      </c>
      <c r="Y67" s="111">
        <f t="shared" ref="Y67:Y83" si="95">Q67/V67</f>
        <v>0.11211848046332785</v>
      </c>
      <c r="Z67" s="111">
        <f t="shared" ref="Z67:Z83" si="96">S67/V67</f>
        <v>0.21640314628970755</v>
      </c>
      <c r="AA67" s="111">
        <f t="shared" ref="AA67:AA83" si="97">U67/V67</f>
        <v>0</v>
      </c>
      <c r="AB67" s="208">
        <v>0</v>
      </c>
      <c r="AE67" s="208"/>
      <c r="AF67" s="208">
        <v>250708</v>
      </c>
      <c r="AG67" s="208">
        <v>0</v>
      </c>
      <c r="AH67" s="208"/>
      <c r="AI67" s="115">
        <f t="shared" si="77"/>
        <v>250708</v>
      </c>
      <c r="AJ67" s="110">
        <f t="shared" si="78"/>
        <v>17.010991993486225</v>
      </c>
      <c r="AK67" s="208">
        <v>13315</v>
      </c>
      <c r="AL67" s="208">
        <v>0</v>
      </c>
      <c r="AM67" s="208">
        <v>1692</v>
      </c>
      <c r="AN67" s="208"/>
      <c r="AO67" s="115">
        <f t="shared" ref="AO67:AO83" si="98">AM67+AN67</f>
        <v>1692</v>
      </c>
      <c r="AP67" s="208">
        <v>340791</v>
      </c>
      <c r="AQ67" s="112">
        <f t="shared" si="79"/>
        <v>23.123286741756004</v>
      </c>
      <c r="AR67" s="208"/>
      <c r="AS67" s="222">
        <v>0</v>
      </c>
      <c r="AT67" s="208">
        <v>0</v>
      </c>
      <c r="AU67" s="222">
        <v>0</v>
      </c>
      <c r="AV67" s="222">
        <v>0</v>
      </c>
      <c r="AW67" s="208"/>
      <c r="AX67" s="222">
        <v>0</v>
      </c>
      <c r="AY67" s="115">
        <f t="shared" ref="AY67:AY83" si="99">SUM(AR67:AX67)</f>
        <v>0</v>
      </c>
      <c r="AZ67" s="206">
        <v>36966</v>
      </c>
      <c r="BA67" s="109">
        <f t="shared" si="80"/>
        <v>2.508210069208848</v>
      </c>
      <c r="BB67" s="223">
        <v>1189</v>
      </c>
      <c r="BC67" s="223">
        <v>1189</v>
      </c>
      <c r="BD67" s="223">
        <v>3342</v>
      </c>
      <c r="BE67" s="223">
        <v>2067</v>
      </c>
      <c r="BF67" s="223">
        <v>107580</v>
      </c>
      <c r="BG67" s="223">
        <v>0</v>
      </c>
      <c r="BH67" s="223">
        <v>89</v>
      </c>
      <c r="BI67" s="206">
        <v>0</v>
      </c>
      <c r="BJ67" s="116">
        <f t="shared" ref="BJ67:BJ83" si="100">SUM(BG67:BI67)</f>
        <v>89</v>
      </c>
      <c r="BK67" s="223">
        <v>168363</v>
      </c>
      <c r="BL67" s="109">
        <f t="shared" si="81"/>
        <v>11.423734563712852</v>
      </c>
      <c r="BM67" s="223">
        <v>39</v>
      </c>
      <c r="BN67" s="206">
        <v>11606</v>
      </c>
      <c r="BO67" s="109">
        <f t="shared" si="82"/>
        <v>0.78748812593296236</v>
      </c>
      <c r="BP67" s="206">
        <v>5469</v>
      </c>
      <c r="BQ67" s="206">
        <v>0</v>
      </c>
      <c r="BR67" s="230">
        <f t="shared" ref="BR67:BR83" si="101">BT67-BS67</f>
        <v>15086</v>
      </c>
      <c r="BS67" s="230">
        <v>3784</v>
      </c>
      <c r="BT67" s="223">
        <v>18870</v>
      </c>
      <c r="BU67" s="109">
        <f t="shared" si="83"/>
        <v>1.2803636857104084</v>
      </c>
      <c r="BV67" s="108">
        <f t="shared" si="70"/>
        <v>6290</v>
      </c>
      <c r="BW67" s="109">
        <f t="shared" si="84"/>
        <v>11.958174904942966</v>
      </c>
      <c r="BX67" s="109">
        <f t="shared" si="85"/>
        <v>1.2227838258164851</v>
      </c>
      <c r="BY67" s="109">
        <f t="shared" ref="BY67:BY83" si="102">BT67/BK67</f>
        <v>0.11207925731900714</v>
      </c>
      <c r="BZ67" s="206">
        <v>36</v>
      </c>
      <c r="CA67" s="206">
        <v>31</v>
      </c>
      <c r="CB67" s="206">
        <v>34</v>
      </c>
      <c r="CC67" s="113">
        <f t="shared" ref="CC67:CC83" si="103">SUM(BZ67:CB67)</f>
        <v>101</v>
      </c>
      <c r="CD67" s="206">
        <v>933</v>
      </c>
      <c r="CE67" s="206">
        <v>210</v>
      </c>
      <c r="CF67" s="206">
        <v>544</v>
      </c>
      <c r="CG67" s="116">
        <f t="shared" ref="CG67:CG83" si="104">SUM(CD67:CF67)</f>
        <v>1687</v>
      </c>
      <c r="CH67" s="109">
        <f t="shared" si="86"/>
        <v>0.11446600624236668</v>
      </c>
      <c r="CI67" s="206">
        <v>15432</v>
      </c>
      <c r="CJ67" s="109">
        <f t="shared" si="87"/>
        <v>1.0470891572804994</v>
      </c>
      <c r="CK67" s="223">
        <v>-1</v>
      </c>
      <c r="CL67" s="209" t="s">
        <v>7</v>
      </c>
      <c r="CM67" s="209" t="s">
        <v>7</v>
      </c>
      <c r="CN67" s="209" t="s">
        <v>7</v>
      </c>
      <c r="CO67" s="210">
        <v>1</v>
      </c>
      <c r="CP67" s="210">
        <v>0</v>
      </c>
      <c r="CQ67" s="210">
        <v>0</v>
      </c>
      <c r="CR67" s="210">
        <v>2</v>
      </c>
      <c r="CS67" s="180">
        <f t="shared" ref="CS67:CS83" si="105">CO67+CQ67+CR67</f>
        <v>3</v>
      </c>
      <c r="CT67" s="108">
        <f t="shared" si="71"/>
        <v>4912.666666666667</v>
      </c>
      <c r="CU67" s="206">
        <v>172</v>
      </c>
      <c r="CV67" s="208">
        <v>49861</v>
      </c>
      <c r="CW67" s="210">
        <v>40</v>
      </c>
      <c r="CX67" s="209" t="s">
        <v>7</v>
      </c>
      <c r="CY67" s="209" t="s">
        <v>7</v>
      </c>
      <c r="CZ67" s="206">
        <v>0</v>
      </c>
      <c r="DA67" s="206">
        <v>0</v>
      </c>
      <c r="DB67" s="206">
        <v>13</v>
      </c>
      <c r="DC67" s="206">
        <v>3741</v>
      </c>
      <c r="DD67" s="206" t="s">
        <v>1115</v>
      </c>
      <c r="DE67" s="206">
        <v>11886</v>
      </c>
      <c r="DF67" s="206">
        <v>2299</v>
      </c>
      <c r="DG67" s="206">
        <v>51</v>
      </c>
      <c r="DH67" s="210">
        <f t="shared" si="88"/>
        <v>0.15599131496810964</v>
      </c>
      <c r="DI67" s="206">
        <v>40</v>
      </c>
      <c r="DJ67" s="206">
        <v>40</v>
      </c>
      <c r="DL67" s="347">
        <v>1578</v>
      </c>
      <c r="DM67" s="205"/>
      <c r="DN67" s="209" t="s">
        <v>1097</v>
      </c>
      <c r="DO67" s="209" t="s">
        <v>1031</v>
      </c>
      <c r="DP67" s="209"/>
      <c r="DQ67" s="207"/>
      <c r="DR67" s="218" t="s">
        <v>1149</v>
      </c>
      <c r="DS67" s="205" t="s">
        <v>993</v>
      </c>
      <c r="DT67" s="229">
        <v>43282</v>
      </c>
      <c r="DU67" s="229">
        <v>43646</v>
      </c>
      <c r="DV67" s="218" t="s">
        <v>1149</v>
      </c>
      <c r="DW67" s="109">
        <f t="shared" si="89"/>
        <v>0.37108155787759534</v>
      </c>
      <c r="DX67" s="109">
        <f t="shared" si="90"/>
        <v>0</v>
      </c>
      <c r="DY67" s="109">
        <f t="shared" si="91"/>
        <v>1.023612430451893</v>
      </c>
      <c r="DZ67" s="109">
        <f t="shared" si="92"/>
        <v>0.25675125525851539</v>
      </c>
      <c r="EA67" s="110">
        <f t="shared" si="72"/>
        <v>0.86217465336901</v>
      </c>
      <c r="EB67" s="200">
        <f t="shared" ref="EB67:EB83" si="106">O67/(BQ67+BS67)</f>
        <v>0.96511627906976749</v>
      </c>
    </row>
    <row r="68" spans="1:132" ht="17" thickBot="1">
      <c r="A68" s="218" t="s">
        <v>1015</v>
      </c>
      <c r="B68" s="342" t="s">
        <v>1236</v>
      </c>
      <c r="C68" s="347">
        <v>131315</v>
      </c>
      <c r="D68" s="207">
        <v>6</v>
      </c>
      <c r="E68" s="207">
        <v>0</v>
      </c>
      <c r="F68" s="206">
        <v>38108</v>
      </c>
      <c r="H68" s="108">
        <f t="shared" si="73"/>
        <v>38108</v>
      </c>
      <c r="I68" s="109">
        <v>0.29022999999999999</v>
      </c>
      <c r="J68" s="208">
        <v>671506</v>
      </c>
      <c r="K68" s="208">
        <v>264750</v>
      </c>
      <c r="L68" s="115">
        <f t="shared" si="93"/>
        <v>936256</v>
      </c>
      <c r="M68" s="110">
        <f t="shared" si="74"/>
        <v>7.1298480752389297</v>
      </c>
      <c r="N68" s="208">
        <v>79908</v>
      </c>
      <c r="O68" s="208">
        <v>9278</v>
      </c>
      <c r="P68" s="222">
        <v>6301</v>
      </c>
      <c r="Q68" s="115">
        <v>95487</v>
      </c>
      <c r="R68" s="110">
        <f t="shared" si="75"/>
        <v>0.72715988272474585</v>
      </c>
      <c r="S68" s="222">
        <v>274920</v>
      </c>
      <c r="T68" s="208">
        <v>1306663</v>
      </c>
      <c r="U68" s="208">
        <v>0</v>
      </c>
      <c r="V68" s="208">
        <v>1306663</v>
      </c>
      <c r="W68" s="110">
        <f t="shared" si="76"/>
        <v>9.9505997030042259</v>
      </c>
      <c r="X68" s="111">
        <f t="shared" si="94"/>
        <v>0.71652445963496325</v>
      </c>
      <c r="Y68" s="111">
        <f t="shared" si="95"/>
        <v>7.3076990777270034E-2</v>
      </c>
      <c r="Z68" s="111">
        <f t="shared" si="96"/>
        <v>0.21039854958776669</v>
      </c>
      <c r="AA68" s="111">
        <f t="shared" si="97"/>
        <v>0</v>
      </c>
      <c r="AB68" s="208">
        <v>0</v>
      </c>
      <c r="AE68" s="208"/>
      <c r="AF68" s="208">
        <v>1306663</v>
      </c>
      <c r="AG68" s="208">
        <v>617500</v>
      </c>
      <c r="AH68" s="208"/>
      <c r="AI68" s="115">
        <f t="shared" si="77"/>
        <v>1924163</v>
      </c>
      <c r="AJ68" s="110">
        <f t="shared" si="78"/>
        <v>14.653032783764232</v>
      </c>
      <c r="AK68" s="208">
        <v>205080</v>
      </c>
      <c r="AL68" s="208">
        <v>4000</v>
      </c>
      <c r="AM68" s="208">
        <v>66610</v>
      </c>
      <c r="AN68" s="208"/>
      <c r="AO68" s="115">
        <f t="shared" si="98"/>
        <v>66610</v>
      </c>
      <c r="AP68" s="208">
        <v>1267110</v>
      </c>
      <c r="AQ68" s="112">
        <f t="shared" si="79"/>
        <v>9.6493926817195295</v>
      </c>
      <c r="AR68" s="208"/>
      <c r="AS68" s="222">
        <v>10000</v>
      </c>
      <c r="AT68" s="208">
        <v>0</v>
      </c>
      <c r="AU68" s="222">
        <v>0</v>
      </c>
      <c r="AV68" s="222">
        <v>0</v>
      </c>
      <c r="AW68" s="208"/>
      <c r="AX68" s="222">
        <v>0</v>
      </c>
      <c r="AY68" s="115">
        <f t="shared" si="99"/>
        <v>10000</v>
      </c>
      <c r="AZ68" s="206">
        <v>107676</v>
      </c>
      <c r="BA68" s="109">
        <f t="shared" si="80"/>
        <v>0.81998248486463843</v>
      </c>
      <c r="BB68" s="223">
        <v>980</v>
      </c>
      <c r="BC68" s="223">
        <v>980</v>
      </c>
      <c r="BD68" s="223">
        <v>5614</v>
      </c>
      <c r="BE68" s="223">
        <v>2067</v>
      </c>
      <c r="BF68" s="223">
        <v>107580</v>
      </c>
      <c r="BG68" s="223">
        <v>1</v>
      </c>
      <c r="BH68" s="223">
        <v>89</v>
      </c>
      <c r="BI68" s="206">
        <v>0</v>
      </c>
      <c r="BJ68" s="116">
        <f t="shared" si="100"/>
        <v>90</v>
      </c>
      <c r="BK68" s="223">
        <v>241003</v>
      </c>
      <c r="BL68" s="109">
        <f t="shared" si="81"/>
        <v>1.8353044206678597</v>
      </c>
      <c r="BM68" s="223">
        <v>114</v>
      </c>
      <c r="BN68" s="206">
        <v>13536</v>
      </c>
      <c r="BO68" s="109">
        <f t="shared" si="82"/>
        <v>0.10308037924075696</v>
      </c>
      <c r="BP68" s="206">
        <v>53088</v>
      </c>
      <c r="BQ68" s="206">
        <v>0</v>
      </c>
      <c r="BR68" s="230">
        <f t="shared" si="101"/>
        <v>104168</v>
      </c>
      <c r="BS68" s="230">
        <v>32191</v>
      </c>
      <c r="BT68" s="223">
        <v>136359</v>
      </c>
      <c r="BU68" s="109">
        <f t="shared" si="83"/>
        <v>1.0384114533754711</v>
      </c>
      <c r="BV68" s="108">
        <f t="shared" si="70"/>
        <v>6289.6217712177122</v>
      </c>
      <c r="BW68" s="109">
        <f t="shared" si="84"/>
        <v>15.853854202999651</v>
      </c>
      <c r="BX68" s="109">
        <f t="shared" si="85"/>
        <v>1.5781743689455228</v>
      </c>
      <c r="BY68" s="109">
        <f t="shared" si="102"/>
        <v>0.5657979361252764</v>
      </c>
      <c r="BZ68" s="206">
        <v>304</v>
      </c>
      <c r="CA68" s="206">
        <v>1</v>
      </c>
      <c r="CB68" s="206">
        <v>29</v>
      </c>
      <c r="CC68" s="113">
        <f t="shared" si="103"/>
        <v>334</v>
      </c>
      <c r="CD68" s="206">
        <v>3012</v>
      </c>
      <c r="CE68" s="206">
        <v>1000</v>
      </c>
      <c r="CF68" s="206">
        <v>722</v>
      </c>
      <c r="CG68" s="116">
        <f t="shared" si="104"/>
        <v>4734</v>
      </c>
      <c r="CH68" s="109">
        <f t="shared" si="86"/>
        <v>3.6050717739786013E-2</v>
      </c>
      <c r="CI68" s="206">
        <v>86403</v>
      </c>
      <c r="CJ68" s="109">
        <f t="shared" si="87"/>
        <v>0.65798271332292579</v>
      </c>
      <c r="CK68" s="223">
        <v>29154</v>
      </c>
      <c r="CL68" s="209" t="s">
        <v>7</v>
      </c>
      <c r="CM68" s="209" t="s">
        <v>7</v>
      </c>
      <c r="CN68" s="209" t="s">
        <v>7</v>
      </c>
      <c r="CO68" s="210">
        <v>4</v>
      </c>
      <c r="CP68" s="108">
        <f>C68/CO68</f>
        <v>32828.75</v>
      </c>
      <c r="CQ68" s="210">
        <v>0</v>
      </c>
      <c r="CR68" s="210">
        <v>17.68</v>
      </c>
      <c r="CS68" s="180">
        <f t="shared" si="105"/>
        <v>21.68</v>
      </c>
      <c r="CT68" s="108">
        <f t="shared" si="71"/>
        <v>6056.9649446494468</v>
      </c>
      <c r="CU68" s="206">
        <v>0</v>
      </c>
      <c r="CV68" s="208">
        <v>71400</v>
      </c>
      <c r="CW68" s="210">
        <v>40</v>
      </c>
      <c r="CX68" s="209" t="s">
        <v>7</v>
      </c>
      <c r="CY68" s="209" t="s">
        <v>7</v>
      </c>
      <c r="CZ68" s="206">
        <v>56</v>
      </c>
      <c r="DA68" s="206">
        <v>4</v>
      </c>
      <c r="DB68" s="206">
        <v>64</v>
      </c>
      <c r="DC68" s="206">
        <v>20836</v>
      </c>
      <c r="DD68" s="206">
        <v>31687</v>
      </c>
      <c r="DE68" s="206">
        <v>39812</v>
      </c>
      <c r="DF68" s="206">
        <v>10820</v>
      </c>
      <c r="DG68" s="206">
        <v>51</v>
      </c>
      <c r="DH68" s="210">
        <f t="shared" si="88"/>
        <v>8.2397288961657086E-2</v>
      </c>
      <c r="DI68" s="206">
        <v>54</v>
      </c>
      <c r="DJ68" s="206">
        <v>54</v>
      </c>
      <c r="DL68" s="347">
        <v>8601</v>
      </c>
      <c r="DM68" s="205"/>
      <c r="DN68" s="209" t="s">
        <v>1098</v>
      </c>
      <c r="DO68" s="209" t="s">
        <v>125</v>
      </c>
      <c r="DP68" s="209"/>
      <c r="DQ68" s="207"/>
      <c r="DR68" s="218" t="s">
        <v>1015</v>
      </c>
      <c r="DS68" s="205" t="s">
        <v>1015</v>
      </c>
      <c r="DT68" s="229">
        <v>43282</v>
      </c>
      <c r="DU68" s="229">
        <v>43646</v>
      </c>
      <c r="DV68" s="218" t="s">
        <v>1015</v>
      </c>
      <c r="DW68" s="109">
        <f t="shared" si="89"/>
        <v>0.40427978524920993</v>
      </c>
      <c r="DX68" s="109">
        <f t="shared" si="90"/>
        <v>0</v>
      </c>
      <c r="DY68" s="109">
        <f t="shared" si="91"/>
        <v>0.7932680958001751</v>
      </c>
      <c r="DZ68" s="109">
        <f t="shared" si="92"/>
        <v>0.24514335757529604</v>
      </c>
      <c r="EA68" s="110">
        <f t="shared" si="72"/>
        <v>0.50813959403774733</v>
      </c>
      <c r="EB68" s="200">
        <f t="shared" si="106"/>
        <v>0.28821720356621416</v>
      </c>
    </row>
    <row r="69" spans="1:132" ht="17" thickBot="1">
      <c r="A69" s="218" t="s">
        <v>1016</v>
      </c>
      <c r="B69" s="342" t="s">
        <v>1237</v>
      </c>
      <c r="C69" s="347">
        <v>91868</v>
      </c>
      <c r="D69" s="207">
        <v>4</v>
      </c>
      <c r="E69" s="207">
        <v>1</v>
      </c>
      <c r="F69" s="206">
        <v>49690</v>
      </c>
      <c r="H69" s="108">
        <f t="shared" si="73"/>
        <v>49690</v>
      </c>
      <c r="I69" s="109">
        <v>0.48415000000000002</v>
      </c>
      <c r="J69" s="208">
        <v>999775</v>
      </c>
      <c r="K69" s="208">
        <v>355018</v>
      </c>
      <c r="L69" s="115">
        <f t="shared" si="93"/>
        <v>1354793</v>
      </c>
      <c r="M69" s="110">
        <f t="shared" si="74"/>
        <v>14.747169852396917</v>
      </c>
      <c r="N69" s="208">
        <v>189337</v>
      </c>
      <c r="O69" s="208">
        <v>29100</v>
      </c>
      <c r="P69" s="222">
        <v>14300</v>
      </c>
      <c r="Q69" s="115">
        <v>232737</v>
      </c>
      <c r="R69" s="110">
        <f t="shared" si="75"/>
        <v>2.5333848565332868</v>
      </c>
      <c r="S69" s="222">
        <v>270141</v>
      </c>
      <c r="T69" s="208">
        <v>1857671</v>
      </c>
      <c r="U69" s="208">
        <v>0</v>
      </c>
      <c r="V69" s="208">
        <v>1857671</v>
      </c>
      <c r="W69" s="110">
        <f t="shared" si="76"/>
        <v>20.221088953716201</v>
      </c>
      <c r="X69" s="111">
        <f t="shared" si="94"/>
        <v>0.72929652236590869</v>
      </c>
      <c r="Y69" s="111">
        <f t="shared" si="95"/>
        <v>0.12528429415111716</v>
      </c>
      <c r="Z69" s="111">
        <f t="shared" si="96"/>
        <v>0.14541918348297411</v>
      </c>
      <c r="AA69" s="111">
        <f t="shared" si="97"/>
        <v>0</v>
      </c>
      <c r="AB69" s="208">
        <v>36693</v>
      </c>
      <c r="AE69" s="208"/>
      <c r="AF69" s="208">
        <v>1857671</v>
      </c>
      <c r="AG69" s="208">
        <v>1654250</v>
      </c>
      <c r="AH69" s="208"/>
      <c r="AI69" s="115">
        <f t="shared" si="77"/>
        <v>3511921</v>
      </c>
      <c r="AJ69" s="110">
        <f t="shared" si="78"/>
        <v>38.227903078329774</v>
      </c>
      <c r="AK69" s="208">
        <v>137249</v>
      </c>
      <c r="AL69" s="208">
        <v>0</v>
      </c>
      <c r="AM69" s="208">
        <v>101625</v>
      </c>
      <c r="AN69" s="208"/>
      <c r="AO69" s="115">
        <f t="shared" si="98"/>
        <v>101625</v>
      </c>
      <c r="AP69" s="208">
        <v>1895724</v>
      </c>
      <c r="AQ69" s="112">
        <f t="shared" si="79"/>
        <v>20.635302825793531</v>
      </c>
      <c r="AR69" s="208"/>
      <c r="AS69" s="222">
        <v>109219</v>
      </c>
      <c r="AT69" s="208">
        <v>0</v>
      </c>
      <c r="AU69" s="222">
        <v>0</v>
      </c>
      <c r="AV69" s="222">
        <v>0</v>
      </c>
      <c r="AW69" s="208"/>
      <c r="AX69" s="222">
        <v>0</v>
      </c>
      <c r="AY69" s="115">
        <f t="shared" si="99"/>
        <v>109219</v>
      </c>
      <c r="AZ69" s="206">
        <v>204815</v>
      </c>
      <c r="BA69" s="109">
        <f t="shared" si="80"/>
        <v>2.2294487743283842</v>
      </c>
      <c r="BB69" s="223">
        <v>6647</v>
      </c>
      <c r="BC69" s="223">
        <v>6647</v>
      </c>
      <c r="BD69" s="223">
        <v>11551</v>
      </c>
      <c r="BE69" s="223">
        <v>1752</v>
      </c>
      <c r="BF69" s="223">
        <v>73947</v>
      </c>
      <c r="BG69" s="223">
        <v>3</v>
      </c>
      <c r="BH69" s="223">
        <v>89</v>
      </c>
      <c r="BI69" s="206">
        <v>0</v>
      </c>
      <c r="BJ69" s="116">
        <f t="shared" si="100"/>
        <v>92</v>
      </c>
      <c r="BK69" s="223">
        <v>315008</v>
      </c>
      <c r="BL69" s="109">
        <f t="shared" si="81"/>
        <v>3.4289197544302694</v>
      </c>
      <c r="BM69" s="223">
        <v>219</v>
      </c>
      <c r="BN69" s="206">
        <v>172273</v>
      </c>
      <c r="BO69" s="109">
        <f t="shared" si="82"/>
        <v>1.87522314625332</v>
      </c>
      <c r="BP69" s="206">
        <v>68536</v>
      </c>
      <c r="BQ69" s="206">
        <v>0</v>
      </c>
      <c r="BR69" s="230">
        <f t="shared" si="101"/>
        <v>214122</v>
      </c>
      <c r="BS69" s="230">
        <v>97131</v>
      </c>
      <c r="BT69" s="223">
        <v>311253</v>
      </c>
      <c r="BU69" s="109">
        <f t="shared" si="83"/>
        <v>3.3880458919319021</v>
      </c>
      <c r="BV69" s="108">
        <f t="shared" si="70"/>
        <v>10998.339222614841</v>
      </c>
      <c r="BW69" s="109">
        <f t="shared" si="84"/>
        <v>33.946231868251715</v>
      </c>
      <c r="BX69" s="109">
        <f t="shared" si="85"/>
        <v>1.1104915014770733</v>
      </c>
      <c r="BY69" s="109">
        <f t="shared" si="102"/>
        <v>0.98807966781796019</v>
      </c>
      <c r="BZ69" s="206">
        <v>348</v>
      </c>
      <c r="CA69" s="206">
        <v>37</v>
      </c>
      <c r="CB69" s="206">
        <v>413</v>
      </c>
      <c r="CC69" s="113">
        <f t="shared" si="103"/>
        <v>798</v>
      </c>
      <c r="CD69" s="206">
        <v>5884</v>
      </c>
      <c r="CE69" s="206">
        <v>366</v>
      </c>
      <c r="CF69" s="206">
        <v>4049</v>
      </c>
      <c r="CG69" s="116">
        <f t="shared" si="104"/>
        <v>10299</v>
      </c>
      <c r="CH69" s="109">
        <f t="shared" si="86"/>
        <v>0.11210650063134062</v>
      </c>
      <c r="CI69" s="206">
        <v>280284</v>
      </c>
      <c r="CJ69" s="109">
        <f t="shared" si="87"/>
        <v>3.0509426568554883</v>
      </c>
      <c r="CK69" s="223">
        <v>43441</v>
      </c>
      <c r="CL69" s="209" t="s">
        <v>7</v>
      </c>
      <c r="CM69" s="209" t="s">
        <v>7</v>
      </c>
      <c r="CN69" s="209" t="s">
        <v>7</v>
      </c>
      <c r="CO69" s="210">
        <v>8</v>
      </c>
      <c r="CP69" s="108">
        <f>C69/CO69</f>
        <v>11483.5</v>
      </c>
      <c r="CQ69" s="210">
        <v>0</v>
      </c>
      <c r="CR69" s="210">
        <v>20.3</v>
      </c>
      <c r="CS69" s="180">
        <f t="shared" si="105"/>
        <v>28.3</v>
      </c>
      <c r="CT69" s="108">
        <f t="shared" si="71"/>
        <v>3246.2190812720846</v>
      </c>
      <c r="CU69" s="206">
        <v>0</v>
      </c>
      <c r="CV69" s="208">
        <v>72209</v>
      </c>
      <c r="CW69" s="210">
        <v>40</v>
      </c>
      <c r="CX69" s="209" t="s">
        <v>7</v>
      </c>
      <c r="CY69" s="209" t="s">
        <v>7</v>
      </c>
      <c r="CZ69" s="206">
        <v>15451</v>
      </c>
      <c r="DA69" s="206">
        <v>12033</v>
      </c>
      <c r="DB69" s="206">
        <v>78</v>
      </c>
      <c r="DC69" s="206">
        <v>80437</v>
      </c>
      <c r="DD69" s="206" t="s">
        <v>1115</v>
      </c>
      <c r="DE69" s="206">
        <v>62782</v>
      </c>
      <c r="DF69" s="206">
        <v>12324</v>
      </c>
      <c r="DG69" s="206">
        <v>52</v>
      </c>
      <c r="DH69" s="210">
        <f t="shared" si="88"/>
        <v>0.13414899638611921</v>
      </c>
      <c r="DI69" s="206">
        <v>42</v>
      </c>
      <c r="DJ69" s="206">
        <v>42</v>
      </c>
      <c r="DK69" s="108">
        <v>6456</v>
      </c>
      <c r="DL69" s="347">
        <v>9169</v>
      </c>
      <c r="DM69" s="205"/>
      <c r="DN69" s="209" t="s">
        <v>1099</v>
      </c>
      <c r="DO69" s="209" t="s">
        <v>125</v>
      </c>
      <c r="DP69" s="209"/>
      <c r="DQ69" s="207"/>
      <c r="DR69" s="218" t="s">
        <v>1016</v>
      </c>
      <c r="DS69" s="205" t="s">
        <v>1016</v>
      </c>
      <c r="DT69" s="229">
        <v>43282</v>
      </c>
      <c r="DU69" s="229">
        <v>43646</v>
      </c>
      <c r="DV69" s="218" t="s">
        <v>1016</v>
      </c>
      <c r="DW69" s="109">
        <f t="shared" si="89"/>
        <v>0.74602690817259543</v>
      </c>
      <c r="DX69" s="109">
        <f t="shared" si="90"/>
        <v>0</v>
      </c>
      <c r="DY69" s="109">
        <f t="shared" si="91"/>
        <v>2.3307571733356554</v>
      </c>
      <c r="DZ69" s="109">
        <f t="shared" si="92"/>
        <v>1.0572887185962467</v>
      </c>
      <c r="EA69" s="110">
        <f t="shared" si="72"/>
        <v>0.66984483014809415</v>
      </c>
      <c r="EB69" s="200">
        <f t="shared" si="106"/>
        <v>0.29959539179046857</v>
      </c>
    </row>
    <row r="70" spans="1:132" ht="17" thickBot="1">
      <c r="A70" s="218" t="s">
        <v>1017</v>
      </c>
      <c r="B70" s="342" t="s">
        <v>1238</v>
      </c>
      <c r="C70" s="347">
        <v>142753</v>
      </c>
      <c r="D70" s="207">
        <v>2</v>
      </c>
      <c r="E70" s="207">
        <v>1</v>
      </c>
      <c r="F70" s="206">
        <v>77500</v>
      </c>
      <c r="H70" s="108">
        <f t="shared" si="73"/>
        <v>77500</v>
      </c>
      <c r="I70" s="109">
        <v>0.54446000000000006</v>
      </c>
      <c r="J70" s="208">
        <v>1510308</v>
      </c>
      <c r="K70" s="208">
        <v>624909</v>
      </c>
      <c r="L70" s="115">
        <f t="shared" si="93"/>
        <v>2135217</v>
      </c>
      <c r="M70" s="110">
        <f t="shared" si="74"/>
        <v>14.957422961338816</v>
      </c>
      <c r="N70" s="208">
        <v>213874</v>
      </c>
      <c r="O70" s="208">
        <v>34898</v>
      </c>
      <c r="P70" s="222">
        <v>39889</v>
      </c>
      <c r="Q70" s="115">
        <v>288661</v>
      </c>
      <c r="R70" s="110">
        <f t="shared" si="75"/>
        <v>2.022101111710437</v>
      </c>
      <c r="S70" s="222">
        <v>774352</v>
      </c>
      <c r="T70" s="208">
        <v>3198230</v>
      </c>
      <c r="U70" s="208">
        <v>0</v>
      </c>
      <c r="V70" s="208">
        <v>3198230</v>
      </c>
      <c r="W70" s="110">
        <f t="shared" si="76"/>
        <v>22.403942474063591</v>
      </c>
      <c r="X70" s="111">
        <f t="shared" si="94"/>
        <v>0.66762459235264504</v>
      </c>
      <c r="Y70" s="111">
        <f t="shared" si="95"/>
        <v>9.0256485618607787E-2</v>
      </c>
      <c r="Z70" s="111">
        <f t="shared" si="96"/>
        <v>0.24211892202874716</v>
      </c>
      <c r="AA70" s="111">
        <f t="shared" si="97"/>
        <v>0</v>
      </c>
      <c r="AB70" s="208">
        <v>0</v>
      </c>
      <c r="AE70" s="208"/>
      <c r="AF70" s="208">
        <v>3198230</v>
      </c>
      <c r="AG70" s="208">
        <v>3447651</v>
      </c>
      <c r="AH70" s="208"/>
      <c r="AI70" s="115">
        <f t="shared" si="77"/>
        <v>6645881</v>
      </c>
      <c r="AJ70" s="110">
        <f t="shared" si="78"/>
        <v>46.555105672034912</v>
      </c>
      <c r="AK70" s="208">
        <v>173964</v>
      </c>
      <c r="AL70" s="208">
        <v>16054</v>
      </c>
      <c r="AM70" s="208">
        <v>102268</v>
      </c>
      <c r="AN70" s="208"/>
      <c r="AO70" s="115">
        <f t="shared" si="98"/>
        <v>102268</v>
      </c>
      <c r="AP70" s="208">
        <v>3739937</v>
      </c>
      <c r="AQ70" s="112">
        <f t="shared" si="79"/>
        <v>26.198657821551912</v>
      </c>
      <c r="AR70" s="208"/>
      <c r="AS70" s="222">
        <v>10545</v>
      </c>
      <c r="AT70" s="208">
        <v>0</v>
      </c>
      <c r="AU70" s="222">
        <v>0</v>
      </c>
      <c r="AV70" s="222">
        <v>0</v>
      </c>
      <c r="AW70" s="208"/>
      <c r="AX70" s="222">
        <v>0</v>
      </c>
      <c r="AY70" s="115">
        <f t="shared" si="99"/>
        <v>10545</v>
      </c>
      <c r="AZ70" s="206">
        <v>213245</v>
      </c>
      <c r="BA70" s="109">
        <f t="shared" si="80"/>
        <v>1.4938039831036827</v>
      </c>
      <c r="BB70" s="223">
        <v>5350</v>
      </c>
      <c r="BC70" s="223">
        <v>5350</v>
      </c>
      <c r="BD70" s="223">
        <v>14723</v>
      </c>
      <c r="BE70" s="223">
        <v>2179</v>
      </c>
      <c r="BF70" s="223">
        <v>145102</v>
      </c>
      <c r="BG70" s="223">
        <v>6</v>
      </c>
      <c r="BH70" s="223">
        <v>89</v>
      </c>
      <c r="BI70" s="206">
        <v>0</v>
      </c>
      <c r="BJ70" s="116">
        <f t="shared" si="100"/>
        <v>95</v>
      </c>
      <c r="BK70" s="223">
        <v>421488</v>
      </c>
      <c r="BL70" s="109">
        <f t="shared" si="81"/>
        <v>2.9525684223799149</v>
      </c>
      <c r="BM70" s="223">
        <v>230</v>
      </c>
      <c r="BN70" s="206">
        <v>56961</v>
      </c>
      <c r="BO70" s="109">
        <f t="shared" si="82"/>
        <v>0.3990178840374633</v>
      </c>
      <c r="BP70" s="206">
        <v>147855</v>
      </c>
      <c r="BQ70" s="206">
        <v>0</v>
      </c>
      <c r="BR70" s="230">
        <f t="shared" si="101"/>
        <v>329596</v>
      </c>
      <c r="BS70" s="230">
        <v>144437</v>
      </c>
      <c r="BT70" s="223">
        <v>474033</v>
      </c>
      <c r="BU70" s="109">
        <f t="shared" si="83"/>
        <v>3.3206517551294894</v>
      </c>
      <c r="BV70" s="108">
        <f t="shared" si="70"/>
        <v>10154.948586118251</v>
      </c>
      <c r="BW70" s="109">
        <f t="shared" si="84"/>
        <v>69.111094911794723</v>
      </c>
      <c r="BX70" s="109">
        <f t="shared" si="85"/>
        <v>1.8655665575215667</v>
      </c>
      <c r="BY70" s="109">
        <f t="shared" si="102"/>
        <v>1.1246654709030861</v>
      </c>
      <c r="BZ70" s="206">
        <v>744</v>
      </c>
      <c r="CA70" s="206">
        <v>71</v>
      </c>
      <c r="CB70" s="206">
        <v>115</v>
      </c>
      <c r="CC70" s="113">
        <f t="shared" si="103"/>
        <v>930</v>
      </c>
      <c r="CD70" s="206">
        <v>16487</v>
      </c>
      <c r="CE70" s="206">
        <v>552</v>
      </c>
      <c r="CF70" s="206">
        <v>1574</v>
      </c>
      <c r="CG70" s="116">
        <f t="shared" si="104"/>
        <v>18613</v>
      </c>
      <c r="CH70" s="109">
        <f t="shared" si="86"/>
        <v>0.13038605143149357</v>
      </c>
      <c r="CI70" s="206">
        <v>254096</v>
      </c>
      <c r="CJ70" s="109">
        <f t="shared" si="87"/>
        <v>1.7799695978368231</v>
      </c>
      <c r="CK70" s="223">
        <v>74881</v>
      </c>
      <c r="CL70" s="209" t="s">
        <v>7</v>
      </c>
      <c r="CM70" s="209" t="s">
        <v>7</v>
      </c>
      <c r="CN70" s="209" t="s">
        <v>7</v>
      </c>
      <c r="CO70" s="210">
        <v>11.3</v>
      </c>
      <c r="CP70" s="210">
        <v>0</v>
      </c>
      <c r="CQ70" s="210">
        <v>2</v>
      </c>
      <c r="CR70" s="210">
        <v>33.380000000000003</v>
      </c>
      <c r="CS70" s="180">
        <f t="shared" si="105"/>
        <v>46.680000000000007</v>
      </c>
      <c r="CT70" s="108">
        <f t="shared" si="71"/>
        <v>3058.1191088260493</v>
      </c>
      <c r="CU70" s="206">
        <v>90</v>
      </c>
      <c r="CV70" s="208">
        <v>90079</v>
      </c>
      <c r="CW70" s="210">
        <v>40</v>
      </c>
      <c r="CX70" s="209" t="s">
        <v>7</v>
      </c>
      <c r="CY70" s="209" t="s">
        <v>7</v>
      </c>
      <c r="CZ70" s="206">
        <v>6</v>
      </c>
      <c r="DA70" s="206">
        <v>365</v>
      </c>
      <c r="DB70" s="206">
        <v>89</v>
      </c>
      <c r="DC70" s="206">
        <v>38115</v>
      </c>
      <c r="DD70" s="206">
        <v>40860</v>
      </c>
      <c r="DE70" s="206">
        <v>183179</v>
      </c>
      <c r="DF70" s="206">
        <v>9564</v>
      </c>
      <c r="DG70" s="206">
        <v>52</v>
      </c>
      <c r="DH70" s="210">
        <f t="shared" si="88"/>
        <v>6.6996840696868024E-2</v>
      </c>
      <c r="DI70" s="206">
        <v>45</v>
      </c>
      <c r="DJ70" s="206">
        <v>45</v>
      </c>
      <c r="DL70" s="347">
        <v>6859</v>
      </c>
      <c r="DM70" s="205"/>
      <c r="DN70" s="209" t="s">
        <v>1100</v>
      </c>
      <c r="DO70" s="209" t="s">
        <v>125</v>
      </c>
      <c r="DP70" s="209"/>
      <c r="DQ70" s="207"/>
      <c r="DR70" s="218" t="s">
        <v>1017</v>
      </c>
      <c r="DS70" s="205" t="s">
        <v>1017</v>
      </c>
      <c r="DT70" s="229">
        <v>43282</v>
      </c>
      <c r="DU70" s="229">
        <v>43646</v>
      </c>
      <c r="DV70" s="218" t="s">
        <v>1017</v>
      </c>
      <c r="DW70" s="109">
        <f t="shared" si="89"/>
        <v>1.0357400544997304</v>
      </c>
      <c r="DX70" s="109">
        <f t="shared" si="90"/>
        <v>0</v>
      </c>
      <c r="DY70" s="109">
        <f t="shared" si="91"/>
        <v>2.3088551554082928</v>
      </c>
      <c r="DZ70" s="109">
        <f t="shared" si="92"/>
        <v>1.0117965997211968</v>
      </c>
      <c r="EA70" s="110">
        <f t="shared" ref="EA70:EA83" si="107">N70/(BP70+BR70)</f>
        <v>0.44794963252773584</v>
      </c>
      <c r="EB70" s="200">
        <v>0</v>
      </c>
    </row>
    <row r="71" spans="1:132" ht="17" thickBot="1">
      <c r="A71" s="218" t="s">
        <v>1018</v>
      </c>
      <c r="B71" s="342" t="s">
        <v>1239</v>
      </c>
      <c r="C71" s="347">
        <v>68845</v>
      </c>
      <c r="D71" s="207">
        <v>2</v>
      </c>
      <c r="E71" s="207">
        <v>0</v>
      </c>
      <c r="F71" s="206">
        <v>15281</v>
      </c>
      <c r="H71" s="108">
        <f t="shared" si="73"/>
        <v>15281</v>
      </c>
      <c r="I71" s="109">
        <v>0.25124999999999997</v>
      </c>
      <c r="J71" s="208">
        <v>389001</v>
      </c>
      <c r="K71" s="208">
        <v>154549</v>
      </c>
      <c r="L71" s="115">
        <f t="shared" si="93"/>
        <v>543550</v>
      </c>
      <c r="M71" s="110">
        <f t="shared" si="74"/>
        <v>7.8952719877986786</v>
      </c>
      <c r="N71" s="208">
        <v>50478</v>
      </c>
      <c r="O71" s="208">
        <v>21455</v>
      </c>
      <c r="P71" s="222">
        <v>6115</v>
      </c>
      <c r="Q71" s="115">
        <v>78048</v>
      </c>
      <c r="R71" s="110">
        <f t="shared" si="75"/>
        <v>1.1336771007335318</v>
      </c>
      <c r="S71" s="222">
        <v>61883</v>
      </c>
      <c r="T71" s="208">
        <v>683481</v>
      </c>
      <c r="U71" s="208">
        <v>0</v>
      </c>
      <c r="V71" s="208">
        <v>683481</v>
      </c>
      <c r="W71" s="110">
        <f t="shared" si="76"/>
        <v>9.9278233713414199</v>
      </c>
      <c r="X71" s="111">
        <f t="shared" si="94"/>
        <v>0.79526716909467854</v>
      </c>
      <c r="Y71" s="111">
        <f t="shared" si="95"/>
        <v>0.1141919087728847</v>
      </c>
      <c r="Z71" s="111">
        <f t="shared" si="96"/>
        <v>9.0540922132436752E-2</v>
      </c>
      <c r="AA71" s="111">
        <f t="shared" si="97"/>
        <v>0</v>
      </c>
      <c r="AB71" s="208">
        <v>0</v>
      </c>
      <c r="AE71" s="208"/>
      <c r="AF71" s="208">
        <v>683481</v>
      </c>
      <c r="AG71" s="208">
        <v>562594</v>
      </c>
      <c r="AH71" s="208"/>
      <c r="AI71" s="115">
        <f t="shared" si="77"/>
        <v>1246075</v>
      </c>
      <c r="AJ71" s="110">
        <f t="shared" si="78"/>
        <v>18.099716755029412</v>
      </c>
      <c r="AK71" s="208">
        <v>123759</v>
      </c>
      <c r="AL71" s="208">
        <v>7752</v>
      </c>
      <c r="AM71" s="208">
        <v>25528</v>
      </c>
      <c r="AN71" s="208"/>
      <c r="AO71" s="115">
        <f t="shared" si="98"/>
        <v>25528</v>
      </c>
      <c r="AP71" s="208">
        <v>719633</v>
      </c>
      <c r="AQ71" s="112">
        <f t="shared" si="79"/>
        <v>10.45294502142494</v>
      </c>
      <c r="AR71" s="208"/>
      <c r="AS71" s="222">
        <v>0</v>
      </c>
      <c r="AT71" s="208">
        <v>0</v>
      </c>
      <c r="AU71" s="222">
        <v>0</v>
      </c>
      <c r="AV71" s="222">
        <v>0</v>
      </c>
      <c r="AW71" s="208"/>
      <c r="AX71" s="222">
        <v>0</v>
      </c>
      <c r="AY71" s="115">
        <f t="shared" si="99"/>
        <v>0</v>
      </c>
      <c r="AZ71" s="206">
        <v>144105</v>
      </c>
      <c r="BA71" s="109">
        <f t="shared" si="80"/>
        <v>2.093180332631273</v>
      </c>
      <c r="BB71" s="223">
        <v>5811</v>
      </c>
      <c r="BC71" s="223">
        <v>5811</v>
      </c>
      <c r="BD71" s="223">
        <v>13902</v>
      </c>
      <c r="BE71" s="223">
        <v>2179</v>
      </c>
      <c r="BF71" s="223">
        <v>144058</v>
      </c>
      <c r="BG71" s="223">
        <v>1</v>
      </c>
      <c r="BH71" s="223">
        <v>89</v>
      </c>
      <c r="BI71" s="206">
        <v>0</v>
      </c>
      <c r="BJ71" s="116">
        <f t="shared" si="100"/>
        <v>90</v>
      </c>
      <c r="BK71" s="223">
        <v>345117</v>
      </c>
      <c r="BL71" s="109">
        <f t="shared" si="81"/>
        <v>5.0129566417314253</v>
      </c>
      <c r="BM71" s="223">
        <v>0</v>
      </c>
      <c r="BN71" s="206">
        <v>38366</v>
      </c>
      <c r="BO71" s="109">
        <f t="shared" si="82"/>
        <v>0.55728084828237345</v>
      </c>
      <c r="BP71" s="206">
        <v>35862</v>
      </c>
      <c r="BQ71" s="206">
        <v>0</v>
      </c>
      <c r="BR71" s="230">
        <f t="shared" si="101"/>
        <v>140078</v>
      </c>
      <c r="BS71" s="230">
        <v>59744</v>
      </c>
      <c r="BT71" s="223">
        <v>199822</v>
      </c>
      <c r="BU71" s="109">
        <f t="shared" si="83"/>
        <v>2.9024911032028471</v>
      </c>
      <c r="BV71" s="108">
        <f t="shared" si="70"/>
        <v>20858.246346555323</v>
      </c>
      <c r="BW71" s="109">
        <f t="shared" si="84"/>
        <v>36.983527669813064</v>
      </c>
      <c r="BX71" s="109">
        <f t="shared" si="85"/>
        <v>3.8486517719568565</v>
      </c>
      <c r="BY71" s="109">
        <f t="shared" si="102"/>
        <v>0.57899784710692315</v>
      </c>
      <c r="BZ71" s="206">
        <v>460</v>
      </c>
      <c r="CA71" s="206">
        <v>23</v>
      </c>
      <c r="CB71" s="206">
        <v>152</v>
      </c>
      <c r="CC71" s="113">
        <f t="shared" si="103"/>
        <v>635</v>
      </c>
      <c r="CD71" s="206">
        <v>3691</v>
      </c>
      <c r="CE71" s="206">
        <v>117</v>
      </c>
      <c r="CF71" s="206">
        <v>2633</v>
      </c>
      <c r="CG71" s="116">
        <f t="shared" si="104"/>
        <v>6441</v>
      </c>
      <c r="CH71" s="109">
        <f t="shared" si="86"/>
        <v>9.355799259205462E-2</v>
      </c>
      <c r="CI71" s="206">
        <v>51920</v>
      </c>
      <c r="CJ71" s="109">
        <f t="shared" si="87"/>
        <v>0.75415789091437291</v>
      </c>
      <c r="CK71" s="223">
        <v>27739</v>
      </c>
      <c r="CL71" s="209" t="s">
        <v>7</v>
      </c>
      <c r="CM71" s="209" t="s">
        <v>7</v>
      </c>
      <c r="CN71" s="209" t="s">
        <v>7</v>
      </c>
      <c r="CO71" s="210">
        <v>1</v>
      </c>
      <c r="CP71" s="210">
        <v>0</v>
      </c>
      <c r="CQ71" s="210">
        <v>2</v>
      </c>
      <c r="CR71" s="210">
        <v>6.58</v>
      </c>
      <c r="CS71" s="180">
        <f t="shared" si="105"/>
        <v>9.58</v>
      </c>
      <c r="CT71" s="108">
        <f t="shared" si="71"/>
        <v>7186.325678496868</v>
      </c>
      <c r="CU71" s="206">
        <v>1264</v>
      </c>
      <c r="CV71" s="208">
        <v>65772</v>
      </c>
      <c r="CW71" s="210">
        <v>30</v>
      </c>
      <c r="CX71" s="209" t="s">
        <v>7</v>
      </c>
      <c r="CY71" s="209" t="s">
        <v>7</v>
      </c>
      <c r="CZ71" s="206">
        <v>0</v>
      </c>
      <c r="DA71" s="206">
        <v>0</v>
      </c>
      <c r="DB71" s="206">
        <v>33</v>
      </c>
      <c r="DC71" s="206">
        <v>11647</v>
      </c>
      <c r="DD71" s="206">
        <v>11589</v>
      </c>
      <c r="DE71" s="206">
        <v>64479</v>
      </c>
      <c r="DF71" s="206">
        <v>6838</v>
      </c>
      <c r="DG71" s="206">
        <v>52</v>
      </c>
      <c r="DH71" s="210">
        <f t="shared" si="88"/>
        <v>9.9324569685525457E-2</v>
      </c>
      <c r="DI71" s="206">
        <v>32</v>
      </c>
      <c r="DJ71" s="206">
        <v>34</v>
      </c>
      <c r="DL71" s="347">
        <v>5403</v>
      </c>
      <c r="DM71" s="205"/>
      <c r="DN71" s="209" t="s">
        <v>1101</v>
      </c>
      <c r="DO71" s="209" t="s">
        <v>125</v>
      </c>
      <c r="DP71" s="209"/>
      <c r="DQ71" s="207"/>
      <c r="DR71" s="218" t="s">
        <v>1018</v>
      </c>
      <c r="DS71" s="205" t="s">
        <v>1018</v>
      </c>
      <c r="DT71" s="229">
        <v>43282</v>
      </c>
      <c r="DU71" s="229">
        <v>43646</v>
      </c>
      <c r="DV71" s="218" t="s">
        <v>1018</v>
      </c>
      <c r="DW71" s="109">
        <f t="shared" si="89"/>
        <v>0.52090928898249689</v>
      </c>
      <c r="DX71" s="109">
        <f t="shared" si="90"/>
        <v>0</v>
      </c>
      <c r="DY71" s="109">
        <f t="shared" si="91"/>
        <v>2.0346866148594671</v>
      </c>
      <c r="DZ71" s="109">
        <f t="shared" si="92"/>
        <v>0.86780448834338009</v>
      </c>
      <c r="EA71" s="110">
        <f t="shared" si="107"/>
        <v>0.28690462657724225</v>
      </c>
      <c r="EB71" s="200">
        <v>0</v>
      </c>
    </row>
    <row r="72" spans="1:132" ht="17" thickBot="1">
      <c r="A72" s="218" t="s">
        <v>1150</v>
      </c>
      <c r="B72" s="342" t="s">
        <v>1254</v>
      </c>
      <c r="C72" s="347">
        <v>63991</v>
      </c>
      <c r="D72" s="207">
        <v>3</v>
      </c>
      <c r="E72" s="207">
        <v>0</v>
      </c>
      <c r="F72" s="206">
        <v>16320</v>
      </c>
      <c r="H72" s="108">
        <f t="shared" si="73"/>
        <v>16320</v>
      </c>
      <c r="I72" s="109">
        <v>0.25491999999999998</v>
      </c>
      <c r="J72" s="208">
        <v>434079</v>
      </c>
      <c r="K72" s="208">
        <v>168969</v>
      </c>
      <c r="L72" s="115">
        <f t="shared" si="93"/>
        <v>603048</v>
      </c>
      <c r="M72" s="110">
        <f t="shared" si="74"/>
        <v>9.4239502430029223</v>
      </c>
      <c r="N72" s="208">
        <v>89427</v>
      </c>
      <c r="O72" s="208">
        <v>16572</v>
      </c>
      <c r="P72" s="222">
        <v>11000</v>
      </c>
      <c r="Q72" s="115">
        <v>116999</v>
      </c>
      <c r="R72" s="110">
        <f t="shared" si="75"/>
        <v>1.8283664890375209</v>
      </c>
      <c r="S72" s="222">
        <v>127516</v>
      </c>
      <c r="T72" s="208">
        <v>847563</v>
      </c>
      <c r="U72" s="208">
        <v>0</v>
      </c>
      <c r="V72" s="208">
        <v>847563</v>
      </c>
      <c r="W72" s="110">
        <f t="shared" si="76"/>
        <v>13.245034457970652</v>
      </c>
      <c r="X72" s="111">
        <f t="shared" si="94"/>
        <v>0.71150817107400866</v>
      </c>
      <c r="Y72" s="111">
        <f t="shared" si="95"/>
        <v>0.13804165590050532</v>
      </c>
      <c r="Z72" s="111">
        <f t="shared" si="96"/>
        <v>0.15045017302548602</v>
      </c>
      <c r="AA72" s="111">
        <f t="shared" si="97"/>
        <v>0</v>
      </c>
      <c r="AB72" s="208">
        <v>4650</v>
      </c>
      <c r="AE72" s="208"/>
      <c r="AF72" s="208">
        <v>847563</v>
      </c>
      <c r="AG72" s="208">
        <v>675972</v>
      </c>
      <c r="AH72" s="208"/>
      <c r="AI72" s="115">
        <f t="shared" si="77"/>
        <v>1523535</v>
      </c>
      <c r="AJ72" s="110">
        <f t="shared" si="78"/>
        <v>23.808582456908002</v>
      </c>
      <c r="AK72" s="208">
        <v>120178</v>
      </c>
      <c r="AL72" s="208">
        <v>0</v>
      </c>
      <c r="AM72" s="208">
        <v>29579</v>
      </c>
      <c r="AN72" s="208"/>
      <c r="AO72" s="115">
        <f t="shared" si="98"/>
        <v>29579</v>
      </c>
      <c r="AP72" s="208">
        <v>829729</v>
      </c>
      <c r="AQ72" s="112">
        <f t="shared" si="79"/>
        <v>12.966339016424184</v>
      </c>
      <c r="AR72" s="208"/>
      <c r="AS72" s="222">
        <v>0</v>
      </c>
      <c r="AT72" s="208">
        <v>0</v>
      </c>
      <c r="AU72" s="222">
        <v>0</v>
      </c>
      <c r="AV72" s="222">
        <v>0</v>
      </c>
      <c r="AW72" s="208"/>
      <c r="AX72" s="222">
        <v>0</v>
      </c>
      <c r="AY72" s="115">
        <f t="shared" si="99"/>
        <v>0</v>
      </c>
      <c r="AZ72" s="206">
        <v>86483</v>
      </c>
      <c r="BA72" s="109">
        <f t="shared" si="80"/>
        <v>1.3514869278492287</v>
      </c>
      <c r="BB72" s="223">
        <v>756</v>
      </c>
      <c r="BC72" s="223">
        <v>756</v>
      </c>
      <c r="BD72" s="223">
        <v>4952</v>
      </c>
      <c r="BE72" s="223">
        <v>2067</v>
      </c>
      <c r="BF72" s="223">
        <v>107589</v>
      </c>
      <c r="BG72" s="223">
        <v>7</v>
      </c>
      <c r="BH72" s="223">
        <v>89</v>
      </c>
      <c r="BI72" s="206">
        <v>0</v>
      </c>
      <c r="BJ72" s="116">
        <f t="shared" si="100"/>
        <v>96</v>
      </c>
      <c r="BK72" s="223">
        <v>227411</v>
      </c>
      <c r="BL72" s="109">
        <f t="shared" si="81"/>
        <v>3.5537966276507635</v>
      </c>
      <c r="BM72" s="223">
        <v>75</v>
      </c>
      <c r="BN72" s="206">
        <v>28340</v>
      </c>
      <c r="BO72" s="109">
        <f t="shared" si="82"/>
        <v>0.44287477926583424</v>
      </c>
      <c r="BP72" s="206">
        <v>41570</v>
      </c>
      <c r="BQ72" s="206">
        <v>0</v>
      </c>
      <c r="BR72" s="230">
        <f t="shared" si="101"/>
        <v>110506</v>
      </c>
      <c r="BS72" s="230">
        <v>12587</v>
      </c>
      <c r="BT72" s="223">
        <v>123093</v>
      </c>
      <c r="BU72" s="109">
        <f t="shared" si="83"/>
        <v>1.9235986310574924</v>
      </c>
      <c r="BV72" s="108">
        <v>0</v>
      </c>
      <c r="BW72" s="109">
        <f t="shared" si="84"/>
        <v>22.631549917264202</v>
      </c>
      <c r="BX72" s="109">
        <f t="shared" si="85"/>
        <v>2.6340195155353934</v>
      </c>
      <c r="BY72" s="109">
        <f t="shared" si="102"/>
        <v>0.54127988531777271</v>
      </c>
      <c r="BZ72" s="206">
        <v>39</v>
      </c>
      <c r="CA72" s="206">
        <v>0</v>
      </c>
      <c r="CB72" s="206">
        <v>15</v>
      </c>
      <c r="CC72" s="113">
        <f t="shared" si="103"/>
        <v>54</v>
      </c>
      <c r="CD72" s="206">
        <v>762</v>
      </c>
      <c r="CE72" s="206">
        <v>0</v>
      </c>
      <c r="CF72" s="206">
        <v>125</v>
      </c>
      <c r="CG72" s="116">
        <f t="shared" si="104"/>
        <v>887</v>
      </c>
      <c r="CH72" s="109">
        <f t="shared" si="86"/>
        <v>1.3861324248722476E-2</v>
      </c>
      <c r="CI72" s="206">
        <v>46732</v>
      </c>
      <c r="CJ72" s="109">
        <f t="shared" si="87"/>
        <v>0.73029019705896137</v>
      </c>
      <c r="CK72" s="223">
        <v>21355</v>
      </c>
      <c r="CL72" s="209" t="s">
        <v>7</v>
      </c>
      <c r="CM72" s="209" t="s">
        <v>7</v>
      </c>
      <c r="CN72" s="209" t="s">
        <v>7</v>
      </c>
      <c r="CO72" s="210">
        <v>1</v>
      </c>
      <c r="CP72" s="210">
        <v>0</v>
      </c>
      <c r="CQ72" s="210">
        <v>0</v>
      </c>
      <c r="CR72" s="210">
        <v>11.23</v>
      </c>
      <c r="CS72" s="180">
        <f t="shared" si="105"/>
        <v>12.23</v>
      </c>
      <c r="CT72" s="116">
        <f>CP72+CR72+CS72</f>
        <v>23.46</v>
      </c>
      <c r="CU72" s="206">
        <v>0</v>
      </c>
      <c r="CV72" s="208">
        <v>65076</v>
      </c>
      <c r="CW72" s="210">
        <v>20</v>
      </c>
      <c r="CX72" s="209" t="s">
        <v>7</v>
      </c>
      <c r="CY72" s="209" t="s">
        <v>7</v>
      </c>
      <c r="CZ72" s="206">
        <v>40</v>
      </c>
      <c r="DA72" s="206">
        <v>0</v>
      </c>
      <c r="DB72" s="206">
        <v>32</v>
      </c>
      <c r="DC72" s="206">
        <v>11684</v>
      </c>
      <c r="DD72" s="206" t="s">
        <v>1115</v>
      </c>
      <c r="DE72" s="206" t="s">
        <v>1115</v>
      </c>
      <c r="DF72" s="206">
        <v>7644</v>
      </c>
      <c r="DG72" s="206">
        <v>52</v>
      </c>
      <c r="DH72" s="210">
        <f t="shared" si="88"/>
        <v>0.11945429826069291</v>
      </c>
      <c r="DI72" s="206">
        <v>21</v>
      </c>
      <c r="DJ72" s="206">
        <v>34</v>
      </c>
      <c r="DL72" s="347">
        <v>5439</v>
      </c>
      <c r="DM72" s="205"/>
      <c r="DN72" s="209" t="s">
        <v>1102</v>
      </c>
      <c r="DO72" s="209" t="s">
        <v>125</v>
      </c>
      <c r="DP72" s="209"/>
      <c r="DQ72" s="207"/>
      <c r="DR72" s="218" t="s">
        <v>1150</v>
      </c>
      <c r="DS72" s="205" t="s">
        <v>1019</v>
      </c>
      <c r="DT72" s="229">
        <v>43282</v>
      </c>
      <c r="DU72" s="229">
        <v>43646</v>
      </c>
      <c r="DV72" s="218" t="s">
        <v>1150</v>
      </c>
      <c r="DW72" s="109">
        <f t="shared" si="89"/>
        <v>0.64962260317857201</v>
      </c>
      <c r="DX72" s="109">
        <f t="shared" si="90"/>
        <v>0</v>
      </c>
      <c r="DY72" s="109">
        <f t="shared" si="91"/>
        <v>1.7268990951852605</v>
      </c>
      <c r="DZ72" s="109">
        <f t="shared" si="92"/>
        <v>0.19669953587223205</v>
      </c>
      <c r="EA72" s="110">
        <f t="shared" si="107"/>
        <v>0.58804150556300794</v>
      </c>
      <c r="EB72" s="200">
        <f t="shared" si="106"/>
        <v>1.3165964884404544</v>
      </c>
    </row>
    <row r="73" spans="1:132" ht="17" thickBot="1">
      <c r="A73" s="218" t="s">
        <v>1151</v>
      </c>
      <c r="B73" s="342" t="s">
        <v>1240</v>
      </c>
      <c r="C73" s="347">
        <v>237852</v>
      </c>
      <c r="D73" s="207">
        <v>15</v>
      </c>
      <c r="E73" s="207">
        <v>2</v>
      </c>
      <c r="F73" s="206">
        <v>96025</v>
      </c>
      <c r="H73" s="108">
        <f t="shared" si="73"/>
        <v>96025</v>
      </c>
      <c r="I73" s="109">
        <v>0.40273999999999999</v>
      </c>
      <c r="J73" s="208">
        <v>1458259</v>
      </c>
      <c r="K73" s="208">
        <v>615138</v>
      </c>
      <c r="L73" s="115">
        <f t="shared" si="93"/>
        <v>2073397</v>
      </c>
      <c r="M73" s="110">
        <f t="shared" si="74"/>
        <v>8.7171728637976553</v>
      </c>
      <c r="N73" s="208">
        <v>137002</v>
      </c>
      <c r="O73" s="208">
        <v>58616</v>
      </c>
      <c r="P73" s="222">
        <v>12567</v>
      </c>
      <c r="Q73" s="115">
        <v>208185</v>
      </c>
      <c r="R73" s="110">
        <f t="shared" si="75"/>
        <v>0.87527117703445845</v>
      </c>
      <c r="S73" s="222">
        <v>463427</v>
      </c>
      <c r="T73" s="208">
        <v>2745009</v>
      </c>
      <c r="U73" s="208">
        <v>8511</v>
      </c>
      <c r="V73" s="208">
        <v>2745009</v>
      </c>
      <c r="W73" s="110">
        <f t="shared" si="76"/>
        <v>11.540827909792645</v>
      </c>
      <c r="X73" s="111">
        <f t="shared" si="94"/>
        <v>0.75533340692143447</v>
      </c>
      <c r="Y73" s="111">
        <f t="shared" si="95"/>
        <v>7.5841281394705806E-2</v>
      </c>
      <c r="Z73" s="111">
        <f t="shared" si="96"/>
        <v>0.1688253116838597</v>
      </c>
      <c r="AA73" s="111">
        <f t="shared" si="97"/>
        <v>3.1005362823947023E-3</v>
      </c>
      <c r="AB73" s="208">
        <v>0</v>
      </c>
      <c r="AE73" s="208"/>
      <c r="AF73" s="208">
        <v>2745009</v>
      </c>
      <c r="AG73" s="208">
        <v>2141753</v>
      </c>
      <c r="AH73" s="208"/>
      <c r="AI73" s="115">
        <f t="shared" si="77"/>
        <v>4886762</v>
      </c>
      <c r="AJ73" s="110">
        <f t="shared" si="78"/>
        <v>20.545389569984696</v>
      </c>
      <c r="AK73" s="208">
        <v>550523</v>
      </c>
      <c r="AL73" s="208">
        <v>51709</v>
      </c>
      <c r="AM73" s="208">
        <v>67114</v>
      </c>
      <c r="AN73" s="208"/>
      <c r="AO73" s="115">
        <f t="shared" si="98"/>
        <v>67114</v>
      </c>
      <c r="AP73" s="208">
        <v>2859622</v>
      </c>
      <c r="AQ73" s="112">
        <f t="shared" si="79"/>
        <v>12.022694784992348</v>
      </c>
      <c r="AR73" s="208"/>
      <c r="AS73" s="222">
        <v>0</v>
      </c>
      <c r="AT73" s="208">
        <v>0</v>
      </c>
      <c r="AU73" s="222">
        <v>0</v>
      </c>
      <c r="AV73" s="222">
        <v>0</v>
      </c>
      <c r="AW73" s="208"/>
      <c r="AX73" s="222">
        <v>0</v>
      </c>
      <c r="AY73" s="115">
        <f t="shared" si="99"/>
        <v>0</v>
      </c>
      <c r="AZ73" s="206">
        <v>250786</v>
      </c>
      <c r="BA73" s="109">
        <f t="shared" si="80"/>
        <v>1.0543783529253485</v>
      </c>
      <c r="BB73" s="223">
        <v>6738</v>
      </c>
      <c r="BC73" s="223">
        <v>6738</v>
      </c>
      <c r="BD73" s="223">
        <v>15019</v>
      </c>
      <c r="BE73" s="223">
        <v>1762</v>
      </c>
      <c r="BF73" s="223">
        <v>79208</v>
      </c>
      <c r="BG73" s="223">
        <v>2</v>
      </c>
      <c r="BH73" s="223">
        <v>89</v>
      </c>
      <c r="BI73" s="206">
        <v>0</v>
      </c>
      <c r="BJ73" s="116">
        <f t="shared" si="100"/>
        <v>91</v>
      </c>
      <c r="BK73" s="223">
        <v>367909</v>
      </c>
      <c r="BL73" s="109">
        <f t="shared" si="81"/>
        <v>1.5467980088458368</v>
      </c>
      <c r="BM73" s="223">
        <v>0</v>
      </c>
      <c r="BN73" s="206">
        <v>75712</v>
      </c>
      <c r="BO73" s="109">
        <f t="shared" si="82"/>
        <v>0.31831559120797809</v>
      </c>
      <c r="BP73" s="206">
        <v>105515</v>
      </c>
      <c r="BQ73" s="206">
        <v>0</v>
      </c>
      <c r="BR73" s="230">
        <f t="shared" si="101"/>
        <v>217028</v>
      </c>
      <c r="BS73" s="230">
        <v>58177</v>
      </c>
      <c r="BT73" s="223">
        <v>275205</v>
      </c>
      <c r="BU73" s="109">
        <f t="shared" si="83"/>
        <v>1.1570430351647243</v>
      </c>
      <c r="BV73" s="108">
        <f t="shared" ref="BV73:BV83" si="108">BT73/CS73</f>
        <v>6415.0349650349654</v>
      </c>
      <c r="BW73" s="109">
        <f t="shared" si="84"/>
        <v>13.098762494050453</v>
      </c>
      <c r="BX73" s="109">
        <f t="shared" si="85"/>
        <v>1.1007187338764834</v>
      </c>
      <c r="BY73" s="109">
        <f t="shared" si="102"/>
        <v>0.74802464739922103</v>
      </c>
      <c r="BZ73" s="206">
        <v>857</v>
      </c>
      <c r="CA73" s="206">
        <v>96</v>
      </c>
      <c r="CB73" s="206">
        <v>594</v>
      </c>
      <c r="CC73" s="113">
        <f t="shared" si="103"/>
        <v>1547</v>
      </c>
      <c r="CD73" s="206">
        <v>43645</v>
      </c>
      <c r="CE73" s="206">
        <v>1974</v>
      </c>
      <c r="CF73" s="206">
        <v>5732</v>
      </c>
      <c r="CG73" s="116">
        <f t="shared" si="104"/>
        <v>51351</v>
      </c>
      <c r="CH73" s="109">
        <f t="shared" si="86"/>
        <v>0.2158947580848595</v>
      </c>
      <c r="CI73" s="206">
        <v>250023</v>
      </c>
      <c r="CJ73" s="109">
        <f t="shared" si="87"/>
        <v>1.0511704757580345</v>
      </c>
      <c r="CK73" s="223">
        <v>42660</v>
      </c>
      <c r="CL73" s="209" t="s">
        <v>7</v>
      </c>
      <c r="CM73" s="209" t="s">
        <v>7</v>
      </c>
      <c r="CN73" s="209" t="s">
        <v>7</v>
      </c>
      <c r="CO73" s="210">
        <v>5</v>
      </c>
      <c r="CP73" s="108">
        <f>C73/CO73</f>
        <v>47570.400000000001</v>
      </c>
      <c r="CQ73" s="210">
        <v>1</v>
      </c>
      <c r="CR73" s="210">
        <v>36.9</v>
      </c>
      <c r="CS73" s="180">
        <f t="shared" si="105"/>
        <v>42.9</v>
      </c>
      <c r="CT73" s="108">
        <f t="shared" ref="CT73:CT83" si="109">C73/CS73</f>
        <v>5544.3356643356647</v>
      </c>
      <c r="CU73" s="206">
        <v>505</v>
      </c>
      <c r="CV73" s="208">
        <v>61200</v>
      </c>
      <c r="CW73" s="210">
        <v>40</v>
      </c>
      <c r="CX73" s="209" t="s">
        <v>7</v>
      </c>
      <c r="CY73" s="209" t="s">
        <v>7</v>
      </c>
      <c r="CZ73" s="206">
        <v>2822</v>
      </c>
      <c r="DA73" s="206">
        <v>456</v>
      </c>
      <c r="DB73" s="206">
        <v>140</v>
      </c>
      <c r="DC73" s="206">
        <v>33314</v>
      </c>
      <c r="DD73" s="206">
        <v>19511</v>
      </c>
      <c r="DE73" s="206">
        <v>138198</v>
      </c>
      <c r="DF73" s="206">
        <v>28247</v>
      </c>
      <c r="DG73" s="206">
        <v>52</v>
      </c>
      <c r="DH73" s="210">
        <f t="shared" si="88"/>
        <v>0.11875872391234886</v>
      </c>
      <c r="DI73" s="206">
        <v>48</v>
      </c>
      <c r="DJ73" s="206">
        <v>48</v>
      </c>
      <c r="DL73" s="347">
        <v>21010</v>
      </c>
      <c r="DM73" s="205"/>
      <c r="DN73" s="209" t="s">
        <v>1103</v>
      </c>
      <c r="DO73" s="209" t="s">
        <v>1030</v>
      </c>
      <c r="DP73" s="209"/>
      <c r="DQ73" s="207"/>
      <c r="DR73" s="218" t="s">
        <v>1151</v>
      </c>
      <c r="DS73" s="205" t="s">
        <v>1020</v>
      </c>
      <c r="DT73" s="229">
        <v>43282</v>
      </c>
      <c r="DU73" s="229">
        <v>43646</v>
      </c>
      <c r="DV73" s="218" t="s">
        <v>1151</v>
      </c>
      <c r="DW73" s="109">
        <f t="shared" si="89"/>
        <v>0.44361619830819166</v>
      </c>
      <c r="DX73" s="109">
        <f t="shared" si="90"/>
        <v>0</v>
      </c>
      <c r="DY73" s="109">
        <f t="shared" si="91"/>
        <v>0.91244975867346079</v>
      </c>
      <c r="DZ73" s="109">
        <f t="shared" si="92"/>
        <v>0.24459327649126347</v>
      </c>
      <c r="EA73" s="110">
        <f t="shared" si="107"/>
        <v>0.42475576899824208</v>
      </c>
      <c r="EB73" s="200">
        <f t="shared" si="106"/>
        <v>1.0075459373979407</v>
      </c>
    </row>
    <row r="74" spans="1:132" ht="17" thickBot="1">
      <c r="A74" s="218" t="s">
        <v>1021</v>
      </c>
      <c r="B74" s="342" t="s">
        <v>1241</v>
      </c>
      <c r="C74" s="347">
        <v>35767</v>
      </c>
      <c r="D74" s="207">
        <v>0</v>
      </c>
      <c r="E74" s="207">
        <v>1</v>
      </c>
      <c r="F74" s="206">
        <v>8397</v>
      </c>
      <c r="H74" s="108">
        <f t="shared" si="73"/>
        <v>8397</v>
      </c>
      <c r="I74" s="109">
        <v>0.23462</v>
      </c>
      <c r="J74" s="208">
        <v>214693</v>
      </c>
      <c r="K74" s="208">
        <v>87425</v>
      </c>
      <c r="L74" s="115">
        <f t="shared" si="93"/>
        <v>302118</v>
      </c>
      <c r="M74" s="110">
        <f t="shared" si="74"/>
        <v>8.4468364693712079</v>
      </c>
      <c r="N74" s="208">
        <v>33939</v>
      </c>
      <c r="O74" s="208">
        <v>11991</v>
      </c>
      <c r="P74" s="222">
        <v>14649</v>
      </c>
      <c r="Q74" s="115">
        <v>60579</v>
      </c>
      <c r="R74" s="110">
        <f t="shared" si="75"/>
        <v>1.6937120809684905</v>
      </c>
      <c r="S74" s="222">
        <v>107125</v>
      </c>
      <c r="T74" s="208">
        <v>469822</v>
      </c>
      <c r="U74" s="208">
        <v>0</v>
      </c>
      <c r="V74" s="208">
        <v>469822</v>
      </c>
      <c r="W74" s="110">
        <f t="shared" si="76"/>
        <v>13.135627813347499</v>
      </c>
      <c r="X74" s="111">
        <f t="shared" si="94"/>
        <v>0.64304779256824929</v>
      </c>
      <c r="Y74" s="111">
        <f t="shared" si="95"/>
        <v>0.12894032207942582</v>
      </c>
      <c r="Z74" s="111">
        <f t="shared" si="96"/>
        <v>0.22801188535232492</v>
      </c>
      <c r="AA74" s="111">
        <f t="shared" si="97"/>
        <v>0</v>
      </c>
      <c r="AB74" s="208">
        <v>0</v>
      </c>
      <c r="AE74" s="208"/>
      <c r="AF74" s="208">
        <v>469822</v>
      </c>
      <c r="AG74" s="208">
        <v>349558</v>
      </c>
      <c r="AH74" s="208"/>
      <c r="AI74" s="115">
        <f t="shared" si="77"/>
        <v>819380</v>
      </c>
      <c r="AJ74" s="110">
        <f t="shared" si="78"/>
        <v>22.908826571979759</v>
      </c>
      <c r="AK74" s="208">
        <v>137140</v>
      </c>
      <c r="AL74" s="208">
        <v>0</v>
      </c>
      <c r="AM74" s="208">
        <v>16222</v>
      </c>
      <c r="AN74" s="208"/>
      <c r="AO74" s="115">
        <f t="shared" si="98"/>
        <v>16222</v>
      </c>
      <c r="AP74" s="208">
        <v>502920</v>
      </c>
      <c r="AQ74" s="112">
        <f t="shared" si="79"/>
        <v>14.06100595521011</v>
      </c>
      <c r="AR74" s="208"/>
      <c r="AS74" s="222">
        <v>0</v>
      </c>
      <c r="AT74" s="208">
        <v>0</v>
      </c>
      <c r="AU74" s="222">
        <v>0</v>
      </c>
      <c r="AV74" s="222">
        <v>0</v>
      </c>
      <c r="AW74" s="208"/>
      <c r="AX74" s="222">
        <v>0</v>
      </c>
      <c r="AY74" s="115">
        <f t="shared" si="99"/>
        <v>0</v>
      </c>
      <c r="AZ74" s="206">
        <v>40865</v>
      </c>
      <c r="BA74" s="109">
        <f t="shared" si="80"/>
        <v>1.1425336203763246</v>
      </c>
      <c r="BB74" s="223">
        <v>3226</v>
      </c>
      <c r="BC74" s="223">
        <v>3226</v>
      </c>
      <c r="BD74" s="223">
        <v>3915</v>
      </c>
      <c r="BE74" s="223">
        <v>2067</v>
      </c>
      <c r="BF74" s="223">
        <v>107580</v>
      </c>
      <c r="BG74" s="223">
        <v>7</v>
      </c>
      <c r="BH74" s="223">
        <v>89</v>
      </c>
      <c r="BI74" s="206">
        <v>0</v>
      </c>
      <c r="BJ74" s="116">
        <f t="shared" si="100"/>
        <v>96</v>
      </c>
      <c r="BK74" s="223">
        <v>174680</v>
      </c>
      <c r="BL74" s="109">
        <f t="shared" si="81"/>
        <v>4.8838314647580168</v>
      </c>
      <c r="BM74" s="223">
        <v>0</v>
      </c>
      <c r="BN74" s="206">
        <v>7559</v>
      </c>
      <c r="BO74" s="109">
        <f t="shared" si="82"/>
        <v>0.21134006206838707</v>
      </c>
      <c r="BP74" s="206">
        <v>10176</v>
      </c>
      <c r="BQ74" s="206">
        <v>0</v>
      </c>
      <c r="BR74" s="230">
        <f t="shared" si="101"/>
        <v>32817</v>
      </c>
      <c r="BS74" s="230">
        <v>7207</v>
      </c>
      <c r="BT74" s="223">
        <v>40024</v>
      </c>
      <c r="BU74" s="109">
        <f t="shared" si="83"/>
        <v>1.1190203259988258</v>
      </c>
      <c r="BV74" s="108">
        <f t="shared" si="108"/>
        <v>5717.7142857142853</v>
      </c>
      <c r="BW74" s="109">
        <f t="shared" si="84"/>
        <v>17.00977475563111</v>
      </c>
      <c r="BX74" s="109">
        <f t="shared" si="85"/>
        <v>0.90335394754660769</v>
      </c>
      <c r="BY74" s="109">
        <f t="shared" si="102"/>
        <v>0.22912754751545683</v>
      </c>
      <c r="BZ74" s="206">
        <v>46</v>
      </c>
      <c r="CA74" s="206">
        <v>11</v>
      </c>
      <c r="CB74" s="206">
        <v>3</v>
      </c>
      <c r="CC74" s="113">
        <f t="shared" si="103"/>
        <v>60</v>
      </c>
      <c r="CD74" s="206">
        <v>616</v>
      </c>
      <c r="CE74" s="206">
        <v>99</v>
      </c>
      <c r="CF74" s="206">
        <v>304</v>
      </c>
      <c r="CG74" s="116">
        <f t="shared" si="104"/>
        <v>1019</v>
      </c>
      <c r="CH74" s="109">
        <f t="shared" si="86"/>
        <v>2.8489948835518773E-2</v>
      </c>
      <c r="CI74" s="206">
        <v>44306</v>
      </c>
      <c r="CJ74" s="109">
        <f t="shared" si="87"/>
        <v>1.2387396203204071</v>
      </c>
      <c r="CK74" s="223">
        <v>15768</v>
      </c>
      <c r="CL74" s="209" t="s">
        <v>7</v>
      </c>
      <c r="CM74" s="209" t="s">
        <v>7</v>
      </c>
      <c r="CN74" s="209" t="s">
        <v>7</v>
      </c>
      <c r="CO74" s="210">
        <v>2</v>
      </c>
      <c r="CP74" s="210">
        <v>0</v>
      </c>
      <c r="CQ74" s="210">
        <v>0</v>
      </c>
      <c r="CR74" s="210">
        <v>5</v>
      </c>
      <c r="CS74" s="180">
        <f t="shared" si="105"/>
        <v>7</v>
      </c>
      <c r="CT74" s="108">
        <f t="shared" si="109"/>
        <v>5109.5714285714284</v>
      </c>
      <c r="CU74" s="206">
        <v>409</v>
      </c>
      <c r="CV74" s="208">
        <v>62324</v>
      </c>
      <c r="CW74" s="210">
        <v>40</v>
      </c>
      <c r="CX74" s="209" t="s">
        <v>7</v>
      </c>
      <c r="CY74" s="209" t="s">
        <v>7</v>
      </c>
      <c r="CZ74" s="206">
        <v>4373</v>
      </c>
      <c r="DA74" s="206">
        <v>1197</v>
      </c>
      <c r="DB74" s="206">
        <v>14</v>
      </c>
      <c r="DC74" s="206">
        <v>7650</v>
      </c>
      <c r="DD74" s="206">
        <v>1461</v>
      </c>
      <c r="DE74" s="206" t="s">
        <v>1115</v>
      </c>
      <c r="DF74" s="206">
        <v>2439</v>
      </c>
      <c r="DG74" s="206">
        <v>50</v>
      </c>
      <c r="DH74" s="210">
        <f t="shared" si="88"/>
        <v>6.8191349568037574E-2</v>
      </c>
      <c r="DI74" s="206">
        <v>32</v>
      </c>
      <c r="DJ74" s="206">
        <v>32</v>
      </c>
      <c r="DL74" s="347">
        <v>2353</v>
      </c>
      <c r="DM74" s="205"/>
      <c r="DN74" s="209" t="s">
        <v>1104</v>
      </c>
      <c r="DO74" s="209" t="s">
        <v>125</v>
      </c>
      <c r="DP74" s="209"/>
      <c r="DQ74" s="207"/>
      <c r="DR74" s="218" t="s">
        <v>1021</v>
      </c>
      <c r="DS74" s="205" t="s">
        <v>1021</v>
      </c>
      <c r="DT74" s="229">
        <v>43282</v>
      </c>
      <c r="DU74" s="229">
        <v>43646</v>
      </c>
      <c r="DV74" s="218" t="s">
        <v>1021</v>
      </c>
      <c r="DW74" s="109">
        <f t="shared" si="89"/>
        <v>0.28450806609444462</v>
      </c>
      <c r="DX74" s="109">
        <f t="shared" si="90"/>
        <v>0</v>
      </c>
      <c r="DY74" s="109">
        <f t="shared" si="91"/>
        <v>0.91752173791483771</v>
      </c>
      <c r="DZ74" s="109">
        <f t="shared" si="92"/>
        <v>0.20149858808398804</v>
      </c>
      <c r="EA74" s="110">
        <f t="shared" si="107"/>
        <v>0.78940757797781036</v>
      </c>
      <c r="EB74" s="200">
        <v>0</v>
      </c>
    </row>
    <row r="75" spans="1:132" ht="17" thickBot="1">
      <c r="A75" s="218" t="s">
        <v>1152</v>
      </c>
      <c r="B75" s="342" t="s">
        <v>1242</v>
      </c>
      <c r="C75" s="347">
        <v>176667</v>
      </c>
      <c r="D75" s="207">
        <v>4</v>
      </c>
      <c r="E75" s="207">
        <v>1</v>
      </c>
      <c r="F75" s="206">
        <v>83550</v>
      </c>
      <c r="H75" s="108">
        <f t="shared" si="73"/>
        <v>83550</v>
      </c>
      <c r="I75" s="109">
        <v>0.47760999999999998</v>
      </c>
      <c r="J75" s="208">
        <v>1140651</v>
      </c>
      <c r="K75" s="208">
        <v>380401</v>
      </c>
      <c r="L75" s="115">
        <f t="shared" si="93"/>
        <v>1521052</v>
      </c>
      <c r="M75" s="110">
        <f t="shared" si="74"/>
        <v>8.6097120571470622</v>
      </c>
      <c r="N75" s="208">
        <v>157213</v>
      </c>
      <c r="O75" s="208">
        <v>69979</v>
      </c>
      <c r="P75" s="222">
        <v>11394</v>
      </c>
      <c r="Q75" s="115">
        <v>238586</v>
      </c>
      <c r="R75" s="110">
        <f t="shared" si="75"/>
        <v>1.3504842443693503</v>
      </c>
      <c r="S75" s="222">
        <v>546462</v>
      </c>
      <c r="T75" s="208">
        <v>2306100</v>
      </c>
      <c r="U75" s="208">
        <v>44290</v>
      </c>
      <c r="V75" s="208">
        <v>2306100</v>
      </c>
      <c r="W75" s="110">
        <f t="shared" si="76"/>
        <v>13.053371597412081</v>
      </c>
      <c r="X75" s="111">
        <f t="shared" si="94"/>
        <v>0.65957764190624868</v>
      </c>
      <c r="Y75" s="111">
        <f t="shared" si="95"/>
        <v>0.10345865313733142</v>
      </c>
      <c r="Z75" s="111">
        <f t="shared" si="96"/>
        <v>0.23696370495641994</v>
      </c>
      <c r="AA75" s="111">
        <f t="shared" si="97"/>
        <v>1.9205585187112441E-2</v>
      </c>
      <c r="AB75" s="208">
        <v>35467</v>
      </c>
      <c r="AE75" s="208"/>
      <c r="AF75" s="208">
        <v>2306100</v>
      </c>
      <c r="AG75" s="208">
        <v>625819</v>
      </c>
      <c r="AH75" s="208"/>
      <c r="AI75" s="115">
        <f t="shared" si="77"/>
        <v>2931919</v>
      </c>
      <c r="AJ75" s="110">
        <f t="shared" si="78"/>
        <v>16.595736611817713</v>
      </c>
      <c r="AK75" s="208">
        <v>194004</v>
      </c>
      <c r="AL75" s="208">
        <v>0</v>
      </c>
      <c r="AM75" s="208">
        <v>118104</v>
      </c>
      <c r="AN75" s="208"/>
      <c r="AO75" s="115">
        <f t="shared" si="98"/>
        <v>118104</v>
      </c>
      <c r="AP75" s="208">
        <v>2432392</v>
      </c>
      <c r="AQ75" s="112">
        <f t="shared" si="79"/>
        <v>13.768230625979951</v>
      </c>
      <c r="AR75" s="208"/>
      <c r="AS75" s="222">
        <v>0</v>
      </c>
      <c r="AT75" s="208">
        <v>0</v>
      </c>
      <c r="AU75" s="222">
        <v>0</v>
      </c>
      <c r="AV75" s="222">
        <v>0</v>
      </c>
      <c r="AW75" s="208"/>
      <c r="AX75" s="222">
        <v>0</v>
      </c>
      <c r="AY75" s="115">
        <f t="shared" si="99"/>
        <v>0</v>
      </c>
      <c r="AZ75" s="206">
        <v>211060</v>
      </c>
      <c r="BA75" s="109">
        <f t="shared" si="80"/>
        <v>1.1946769911754884</v>
      </c>
      <c r="BB75" s="223">
        <v>9646</v>
      </c>
      <c r="BC75" s="223">
        <v>9646</v>
      </c>
      <c r="BD75" s="223">
        <v>10847</v>
      </c>
      <c r="BE75" s="223">
        <v>1752</v>
      </c>
      <c r="BF75" s="223">
        <v>75319</v>
      </c>
      <c r="BG75" s="223">
        <v>4</v>
      </c>
      <c r="BH75" s="223">
        <v>89</v>
      </c>
      <c r="BI75" s="206">
        <v>0</v>
      </c>
      <c r="BJ75" s="116">
        <f t="shared" si="100"/>
        <v>93</v>
      </c>
      <c r="BK75" s="223">
        <v>348827</v>
      </c>
      <c r="BL75" s="109">
        <f t="shared" si="81"/>
        <v>1.9744887273797596</v>
      </c>
      <c r="BM75" s="223">
        <v>200</v>
      </c>
      <c r="BN75" s="206">
        <v>75951</v>
      </c>
      <c r="BO75" s="109">
        <f t="shared" si="82"/>
        <v>0.42991050960281207</v>
      </c>
      <c r="BP75" s="206">
        <v>217913</v>
      </c>
      <c r="BQ75" s="206">
        <v>0</v>
      </c>
      <c r="BR75" s="230">
        <f t="shared" si="101"/>
        <v>360319</v>
      </c>
      <c r="BS75" s="230">
        <v>89943</v>
      </c>
      <c r="BT75" s="223">
        <v>450262</v>
      </c>
      <c r="BU75" s="109">
        <f t="shared" si="83"/>
        <v>2.5486480214188276</v>
      </c>
      <c r="BV75" s="108">
        <f t="shared" si="108"/>
        <v>13009.592603293846</v>
      </c>
      <c r="BW75" s="109">
        <f t="shared" si="84"/>
        <v>32.189162138976265</v>
      </c>
      <c r="BX75" s="109">
        <f t="shared" si="85"/>
        <v>1.3548600642130888</v>
      </c>
      <c r="BY75" s="109">
        <f t="shared" si="102"/>
        <v>1.2907888437534938</v>
      </c>
      <c r="BZ75" s="206">
        <v>485</v>
      </c>
      <c r="CA75" s="206">
        <v>35</v>
      </c>
      <c r="CB75" s="206">
        <v>146</v>
      </c>
      <c r="CC75" s="113">
        <f t="shared" si="103"/>
        <v>666</v>
      </c>
      <c r="CD75" s="206">
        <v>11846</v>
      </c>
      <c r="CE75" s="206">
        <v>1319</v>
      </c>
      <c r="CF75" s="206">
        <v>792</v>
      </c>
      <c r="CG75" s="116">
        <f t="shared" si="104"/>
        <v>13957</v>
      </c>
      <c r="CH75" s="109">
        <f t="shared" si="86"/>
        <v>7.9001737732570312E-2</v>
      </c>
      <c r="CI75" s="206">
        <v>332331</v>
      </c>
      <c r="CJ75" s="109">
        <f t="shared" si="87"/>
        <v>1.8811153186503422</v>
      </c>
      <c r="CK75" s="223">
        <v>64525</v>
      </c>
      <c r="CL75" s="209" t="s">
        <v>7</v>
      </c>
      <c r="CM75" s="209" t="s">
        <v>7</v>
      </c>
      <c r="CN75" s="209" t="s">
        <v>7</v>
      </c>
      <c r="CO75" s="210">
        <v>2</v>
      </c>
      <c r="CP75" s="108">
        <f>C75/CO75</f>
        <v>88333.5</v>
      </c>
      <c r="CQ75" s="210">
        <v>3</v>
      </c>
      <c r="CR75" s="210">
        <v>29.61</v>
      </c>
      <c r="CS75" s="180">
        <f t="shared" si="105"/>
        <v>34.61</v>
      </c>
      <c r="CT75" s="108">
        <f t="shared" si="109"/>
        <v>5104.507367812771</v>
      </c>
      <c r="CU75" s="206">
        <v>928</v>
      </c>
      <c r="CV75" s="208">
        <v>113796</v>
      </c>
      <c r="CW75" s="210">
        <v>40</v>
      </c>
      <c r="CX75" s="209" t="s">
        <v>7</v>
      </c>
      <c r="CY75" s="209" t="s">
        <v>7</v>
      </c>
      <c r="CZ75" s="206">
        <v>0</v>
      </c>
      <c r="DA75" s="206">
        <v>0</v>
      </c>
      <c r="DB75" s="206">
        <v>86</v>
      </c>
      <c r="DC75" s="206">
        <v>61014</v>
      </c>
      <c r="DD75" s="206" t="s">
        <v>1115</v>
      </c>
      <c r="DE75" s="206">
        <v>212903</v>
      </c>
      <c r="DF75" s="206">
        <v>14069</v>
      </c>
      <c r="DG75" s="206">
        <v>49</v>
      </c>
      <c r="DH75" s="210">
        <f t="shared" si="88"/>
        <v>7.9635698800568297E-2</v>
      </c>
      <c r="DI75" s="206">
        <v>48</v>
      </c>
      <c r="DJ75" s="206">
        <v>48</v>
      </c>
      <c r="DL75" s="347">
        <v>13988</v>
      </c>
      <c r="DM75" s="205"/>
      <c r="DN75" s="209" t="s">
        <v>1105</v>
      </c>
      <c r="DO75" s="209" t="s">
        <v>125</v>
      </c>
      <c r="DP75" s="209"/>
      <c r="DQ75" s="207"/>
      <c r="DR75" s="218" t="s">
        <v>1152</v>
      </c>
      <c r="DS75" s="205" t="s">
        <v>985</v>
      </c>
      <c r="DT75" s="229">
        <v>43282</v>
      </c>
      <c r="DU75" s="229">
        <v>43646</v>
      </c>
      <c r="DV75" s="218" t="s">
        <v>1152</v>
      </c>
      <c r="DW75" s="109">
        <f t="shared" si="89"/>
        <v>1.2334674840236151</v>
      </c>
      <c r="DX75" s="109">
        <f t="shared" si="90"/>
        <v>0</v>
      </c>
      <c r="DY75" s="109">
        <f t="shared" si="91"/>
        <v>2.0395376612496956</v>
      </c>
      <c r="DZ75" s="109">
        <f t="shared" si="92"/>
        <v>0.5091103601691318</v>
      </c>
      <c r="EA75" s="110">
        <f t="shared" si="107"/>
        <v>0.27188567910458084</v>
      </c>
      <c r="EB75" s="200">
        <f t="shared" si="106"/>
        <v>0.77803720133862553</v>
      </c>
    </row>
    <row r="76" spans="1:132" ht="17" thickBot="1">
      <c r="A76" s="218" t="s">
        <v>1153</v>
      </c>
      <c r="B76" s="342" t="s">
        <v>1243</v>
      </c>
      <c r="C76" s="347">
        <v>14440</v>
      </c>
      <c r="D76" s="207">
        <v>0</v>
      </c>
      <c r="E76" s="207">
        <v>0</v>
      </c>
      <c r="F76" s="206">
        <v>14750</v>
      </c>
      <c r="H76" s="108">
        <f t="shared" si="73"/>
        <v>14750</v>
      </c>
      <c r="I76" s="109">
        <v>1.03698</v>
      </c>
      <c r="J76" s="208">
        <v>506113</v>
      </c>
      <c r="K76" s="208">
        <v>162295</v>
      </c>
      <c r="L76" s="115">
        <f t="shared" si="93"/>
        <v>668408</v>
      </c>
      <c r="M76" s="110">
        <f t="shared" si="74"/>
        <v>46.28864265927978</v>
      </c>
      <c r="N76" s="208">
        <v>66915</v>
      </c>
      <c r="O76" s="208">
        <v>37695</v>
      </c>
      <c r="P76" s="222">
        <v>2758</v>
      </c>
      <c r="Q76" s="115">
        <v>107368</v>
      </c>
      <c r="R76" s="110">
        <f t="shared" si="75"/>
        <v>7.4354570637119117</v>
      </c>
      <c r="S76" s="222">
        <v>225568</v>
      </c>
      <c r="T76" s="208">
        <v>1001344</v>
      </c>
      <c r="U76" s="208">
        <v>0</v>
      </c>
      <c r="V76" s="208">
        <v>1001344</v>
      </c>
      <c r="W76" s="110">
        <f t="shared" si="76"/>
        <v>69.345152354570644</v>
      </c>
      <c r="X76" s="111">
        <f t="shared" si="94"/>
        <v>0.66751086539690652</v>
      </c>
      <c r="Y76" s="111">
        <f t="shared" si="95"/>
        <v>0.10722389109037454</v>
      </c>
      <c r="Z76" s="111">
        <f t="shared" si="96"/>
        <v>0.2252652435127189</v>
      </c>
      <c r="AA76" s="111">
        <f t="shared" si="97"/>
        <v>0</v>
      </c>
      <c r="AB76" s="208">
        <v>0</v>
      </c>
      <c r="AE76" s="208"/>
      <c r="AF76" s="208">
        <v>1001344</v>
      </c>
      <c r="AG76" s="208">
        <v>0</v>
      </c>
      <c r="AH76" s="208"/>
      <c r="AI76" s="115">
        <f t="shared" si="77"/>
        <v>1001344</v>
      </c>
      <c r="AJ76" s="110">
        <f t="shared" si="78"/>
        <v>69.345152354570644</v>
      </c>
      <c r="AK76" s="208">
        <v>5949</v>
      </c>
      <c r="AL76" s="208">
        <v>34311</v>
      </c>
      <c r="AM76" s="208">
        <v>63491</v>
      </c>
      <c r="AN76" s="208"/>
      <c r="AO76" s="115">
        <f t="shared" si="98"/>
        <v>63491</v>
      </c>
      <c r="AP76" s="208">
        <v>956900</v>
      </c>
      <c r="AQ76" s="112">
        <f t="shared" si="79"/>
        <v>66.267313019390585</v>
      </c>
      <c r="AR76" s="208"/>
      <c r="AS76" s="222">
        <v>103768</v>
      </c>
      <c r="AT76" s="208">
        <v>0</v>
      </c>
      <c r="AU76" s="222">
        <v>0</v>
      </c>
      <c r="AV76" s="222">
        <v>0</v>
      </c>
      <c r="AW76" s="208"/>
      <c r="AX76" s="222">
        <v>0</v>
      </c>
      <c r="AY76" s="115">
        <f t="shared" si="99"/>
        <v>103768</v>
      </c>
      <c r="AZ76" s="206">
        <v>65785</v>
      </c>
      <c r="BA76" s="109">
        <f t="shared" si="80"/>
        <v>4.5557479224376731</v>
      </c>
      <c r="BB76" s="223">
        <v>2521</v>
      </c>
      <c r="BC76" s="223">
        <v>2521</v>
      </c>
      <c r="BD76" s="223">
        <v>1573</v>
      </c>
      <c r="BE76" s="223">
        <v>2179</v>
      </c>
      <c r="BF76" s="223">
        <v>145772</v>
      </c>
      <c r="BG76" s="223">
        <v>20</v>
      </c>
      <c r="BH76" s="223">
        <v>89</v>
      </c>
      <c r="BI76" s="206">
        <v>0</v>
      </c>
      <c r="BJ76" s="116">
        <f t="shared" si="100"/>
        <v>109</v>
      </c>
      <c r="BK76" s="223">
        <v>255121</v>
      </c>
      <c r="BL76" s="109">
        <f t="shared" si="81"/>
        <v>17.667659279778395</v>
      </c>
      <c r="BM76" s="223">
        <v>79</v>
      </c>
      <c r="BN76" s="206">
        <v>5812</v>
      </c>
      <c r="BO76" s="109">
        <f t="shared" si="82"/>
        <v>0.40249307479224378</v>
      </c>
      <c r="BP76" s="206">
        <v>53018</v>
      </c>
      <c r="BQ76" s="206">
        <v>0</v>
      </c>
      <c r="BR76" s="230">
        <f t="shared" si="101"/>
        <v>80978</v>
      </c>
      <c r="BS76" s="230">
        <v>80348</v>
      </c>
      <c r="BT76" s="223">
        <v>161326</v>
      </c>
      <c r="BU76" s="109">
        <f t="shared" si="83"/>
        <v>11.172160664819945</v>
      </c>
      <c r="BV76" s="108">
        <f t="shared" si="108"/>
        <v>15077.196261682244</v>
      </c>
      <c r="BW76" s="109">
        <f t="shared" si="84"/>
        <v>81.974593495934954</v>
      </c>
      <c r="BX76" s="109">
        <f t="shared" si="85"/>
        <v>2.614514456113056</v>
      </c>
      <c r="BY76" s="109">
        <f t="shared" si="102"/>
        <v>0.63235092367935219</v>
      </c>
      <c r="BZ76" s="206">
        <v>493</v>
      </c>
      <c r="CA76" s="206">
        <v>13</v>
      </c>
      <c r="CB76" s="206">
        <v>62</v>
      </c>
      <c r="CC76" s="113">
        <f t="shared" si="103"/>
        <v>568</v>
      </c>
      <c r="CD76" s="206">
        <v>12418</v>
      </c>
      <c r="CE76" s="206">
        <v>102</v>
      </c>
      <c r="CF76" s="206">
        <v>1226</v>
      </c>
      <c r="CG76" s="116">
        <f t="shared" si="104"/>
        <v>13746</v>
      </c>
      <c r="CH76" s="109">
        <f t="shared" si="86"/>
        <v>0.95193905817174518</v>
      </c>
      <c r="CI76" s="206">
        <v>61704</v>
      </c>
      <c r="CJ76" s="109">
        <f t="shared" si="87"/>
        <v>4.2731301939058168</v>
      </c>
      <c r="CK76" s="223">
        <v>7652</v>
      </c>
      <c r="CL76" s="209" t="s">
        <v>7</v>
      </c>
      <c r="CM76" s="209" t="s">
        <v>7</v>
      </c>
      <c r="CN76" s="209" t="s">
        <v>7</v>
      </c>
      <c r="CO76" s="210">
        <v>6</v>
      </c>
      <c r="CP76" s="108">
        <f>C76/CO76</f>
        <v>2406.6666666666665</v>
      </c>
      <c r="CQ76" s="210">
        <v>0</v>
      </c>
      <c r="CR76" s="210">
        <v>4.7</v>
      </c>
      <c r="CS76" s="180">
        <f t="shared" si="105"/>
        <v>10.7</v>
      </c>
      <c r="CT76" s="108">
        <f t="shared" si="109"/>
        <v>1349.532710280374</v>
      </c>
      <c r="CU76" s="206">
        <v>404</v>
      </c>
      <c r="CV76" s="208">
        <v>100319</v>
      </c>
      <c r="CW76" s="210">
        <v>40</v>
      </c>
      <c r="CX76" s="209" t="s">
        <v>7</v>
      </c>
      <c r="CY76" s="209" t="s">
        <v>7</v>
      </c>
      <c r="CZ76" s="206">
        <v>44</v>
      </c>
      <c r="DA76" s="206">
        <v>346</v>
      </c>
      <c r="DB76" s="206">
        <v>15</v>
      </c>
      <c r="DC76" s="206">
        <v>5217</v>
      </c>
      <c r="DD76" s="206">
        <v>5607</v>
      </c>
      <c r="DE76" s="206">
        <v>41988</v>
      </c>
      <c r="DF76" s="206">
        <v>2756</v>
      </c>
      <c r="DG76" s="206">
        <v>52</v>
      </c>
      <c r="DH76" s="210">
        <f t="shared" si="88"/>
        <v>0.19085872576177285</v>
      </c>
      <c r="DI76" s="206">
        <v>59</v>
      </c>
      <c r="DJ76" s="206">
        <v>59</v>
      </c>
      <c r="DL76" s="347">
        <v>1968</v>
      </c>
      <c r="DM76" s="205"/>
      <c r="DN76" s="209" t="s">
        <v>1106</v>
      </c>
      <c r="DO76" s="211" t="s">
        <v>1031</v>
      </c>
      <c r="DP76" s="209"/>
      <c r="DQ76" s="207"/>
      <c r="DR76" s="218" t="s">
        <v>1153</v>
      </c>
      <c r="DS76" s="205" t="s">
        <v>1022</v>
      </c>
      <c r="DT76" s="229">
        <v>43282</v>
      </c>
      <c r="DU76" s="229">
        <v>43646</v>
      </c>
      <c r="DV76" s="218" t="s">
        <v>1153</v>
      </c>
      <c r="DW76" s="109">
        <f t="shared" si="89"/>
        <v>3.6716066481994458</v>
      </c>
      <c r="DX76" s="109">
        <f t="shared" si="90"/>
        <v>0</v>
      </c>
      <c r="DY76" s="109">
        <f t="shared" si="91"/>
        <v>5.6078947368421055</v>
      </c>
      <c r="DZ76" s="109">
        <f t="shared" si="92"/>
        <v>5.5642659279778393</v>
      </c>
      <c r="EA76" s="110">
        <f t="shared" si="107"/>
        <v>0.49938057852473206</v>
      </c>
      <c r="EB76" s="200">
        <f t="shared" si="106"/>
        <v>0.46914671180365408</v>
      </c>
    </row>
    <row r="77" spans="1:132" ht="17" thickBot="1">
      <c r="A77" s="218" t="s">
        <v>1023</v>
      </c>
      <c r="B77" s="342" t="s">
        <v>1244</v>
      </c>
      <c r="C77" s="347">
        <v>64132</v>
      </c>
      <c r="D77" s="207">
        <v>5</v>
      </c>
      <c r="E77" s="207">
        <v>0</v>
      </c>
      <c r="F77" s="206">
        <v>28135</v>
      </c>
      <c r="H77" s="108">
        <f t="shared" si="73"/>
        <v>28135</v>
      </c>
      <c r="I77" s="109">
        <v>0.69164000000000003</v>
      </c>
      <c r="J77" s="208">
        <v>714844</v>
      </c>
      <c r="K77" s="208">
        <v>268642</v>
      </c>
      <c r="L77" s="115">
        <f t="shared" si="93"/>
        <v>983486</v>
      </c>
      <c r="M77" s="110">
        <f t="shared" si="74"/>
        <v>15.335339612050147</v>
      </c>
      <c r="N77" s="208">
        <v>72246</v>
      </c>
      <c r="O77" s="208">
        <v>13000</v>
      </c>
      <c r="P77" s="222">
        <v>7372</v>
      </c>
      <c r="Q77" s="115">
        <v>92618</v>
      </c>
      <c r="R77" s="110">
        <f t="shared" si="75"/>
        <v>1.4441776336306369</v>
      </c>
      <c r="S77" s="222">
        <v>150620</v>
      </c>
      <c r="T77" s="208">
        <v>1226724</v>
      </c>
      <c r="U77" s="208">
        <v>0</v>
      </c>
      <c r="V77" s="208">
        <v>1226724</v>
      </c>
      <c r="W77" s="110">
        <f t="shared" si="76"/>
        <v>19.128110771533713</v>
      </c>
      <c r="X77" s="111">
        <f t="shared" si="94"/>
        <v>0.80171741972929522</v>
      </c>
      <c r="Y77" s="111">
        <f t="shared" si="95"/>
        <v>7.5500275530600194E-2</v>
      </c>
      <c r="Z77" s="111">
        <f t="shared" si="96"/>
        <v>0.12278230474010454</v>
      </c>
      <c r="AA77" s="111">
        <f t="shared" si="97"/>
        <v>0</v>
      </c>
      <c r="AB77" s="208">
        <v>0</v>
      </c>
      <c r="AE77" s="208"/>
      <c r="AF77" s="208">
        <v>1226724</v>
      </c>
      <c r="AG77" s="208">
        <v>1294930</v>
      </c>
      <c r="AH77" s="208"/>
      <c r="AI77" s="115">
        <f t="shared" si="77"/>
        <v>2521654</v>
      </c>
      <c r="AJ77" s="110">
        <f t="shared" si="78"/>
        <v>39.319746772282166</v>
      </c>
      <c r="AK77" s="208">
        <v>113607</v>
      </c>
      <c r="AL77" s="208">
        <v>0</v>
      </c>
      <c r="AM77" s="208">
        <v>0</v>
      </c>
      <c r="AN77" s="208"/>
      <c r="AO77" s="115">
        <f t="shared" si="98"/>
        <v>0</v>
      </c>
      <c r="AP77" s="208">
        <v>1408537</v>
      </c>
      <c r="AQ77" s="112">
        <f t="shared" si="79"/>
        <v>21.963091748269196</v>
      </c>
      <c r="AR77" s="208"/>
      <c r="AS77" s="222">
        <v>0</v>
      </c>
      <c r="AT77" s="208">
        <v>0</v>
      </c>
      <c r="AU77" s="222">
        <v>0</v>
      </c>
      <c r="AV77" s="222">
        <v>0</v>
      </c>
      <c r="AW77" s="208"/>
      <c r="AX77" s="222">
        <v>0</v>
      </c>
      <c r="AY77" s="115">
        <f t="shared" si="99"/>
        <v>0</v>
      </c>
      <c r="AZ77" s="206">
        <v>114330</v>
      </c>
      <c r="BA77" s="109">
        <f t="shared" si="80"/>
        <v>1.782729370672987</v>
      </c>
      <c r="BB77" s="223">
        <v>3599</v>
      </c>
      <c r="BC77" s="223">
        <v>3599</v>
      </c>
      <c r="BD77" s="223">
        <v>7053</v>
      </c>
      <c r="BE77" s="223">
        <v>2067</v>
      </c>
      <c r="BF77" s="223">
        <v>107580</v>
      </c>
      <c r="BG77" s="223">
        <v>2</v>
      </c>
      <c r="BH77" s="223">
        <v>89</v>
      </c>
      <c r="BI77" s="206">
        <v>0</v>
      </c>
      <c r="BJ77" s="116">
        <f t="shared" si="100"/>
        <v>91</v>
      </c>
      <c r="BK77" s="223">
        <v>257215</v>
      </c>
      <c r="BL77" s="109">
        <f t="shared" si="81"/>
        <v>4.0107122809206013</v>
      </c>
      <c r="BM77" s="223">
        <v>66</v>
      </c>
      <c r="BN77" s="206">
        <v>21384</v>
      </c>
      <c r="BO77" s="109">
        <f t="shared" si="82"/>
        <v>0.3334372855984532</v>
      </c>
      <c r="BP77" s="206">
        <v>30701</v>
      </c>
      <c r="BQ77" s="206">
        <v>0</v>
      </c>
      <c r="BR77" s="230">
        <f t="shared" si="101"/>
        <v>102124</v>
      </c>
      <c r="BS77" s="230">
        <v>33720</v>
      </c>
      <c r="BT77" s="223">
        <v>135844</v>
      </c>
      <c r="BU77" s="109">
        <f t="shared" si="83"/>
        <v>2.1181937254412775</v>
      </c>
      <c r="BV77" s="108">
        <f t="shared" si="108"/>
        <v>9627.498228206945</v>
      </c>
      <c r="BW77" s="109">
        <f t="shared" si="84"/>
        <v>14.66364421416235</v>
      </c>
      <c r="BX77" s="109">
        <f t="shared" si="85"/>
        <v>1.6723583941695699</v>
      </c>
      <c r="BY77" s="109">
        <f t="shared" si="102"/>
        <v>0.52813405128005753</v>
      </c>
      <c r="BZ77" s="206">
        <v>283</v>
      </c>
      <c r="CA77" s="206">
        <v>9</v>
      </c>
      <c r="CB77" s="206">
        <v>137</v>
      </c>
      <c r="CC77" s="113">
        <f t="shared" si="103"/>
        <v>429</v>
      </c>
      <c r="CD77" s="206">
        <v>17873</v>
      </c>
      <c r="CE77" s="206">
        <v>333</v>
      </c>
      <c r="CF77" s="206">
        <v>2273</v>
      </c>
      <c r="CG77" s="116">
        <f t="shared" si="104"/>
        <v>20479</v>
      </c>
      <c r="CH77" s="109">
        <f t="shared" si="86"/>
        <v>0.31932576560843262</v>
      </c>
      <c r="CI77" s="206">
        <v>81229</v>
      </c>
      <c r="CJ77" s="109">
        <f t="shared" si="87"/>
        <v>1.2665907815131292</v>
      </c>
      <c r="CK77" s="223">
        <v>30875</v>
      </c>
      <c r="CL77" s="209" t="s">
        <v>7</v>
      </c>
      <c r="CM77" s="209" t="s">
        <v>7</v>
      </c>
      <c r="CN77" s="209" t="s">
        <v>7</v>
      </c>
      <c r="CO77" s="210">
        <v>3.75</v>
      </c>
      <c r="CP77" s="210">
        <v>0</v>
      </c>
      <c r="CQ77" s="210">
        <v>0</v>
      </c>
      <c r="CR77" s="210">
        <v>10.36</v>
      </c>
      <c r="CS77" s="180">
        <f t="shared" si="105"/>
        <v>14.11</v>
      </c>
      <c r="CT77" s="108">
        <f t="shared" si="109"/>
        <v>4545.1452870304747</v>
      </c>
      <c r="CU77" s="206">
        <v>362</v>
      </c>
      <c r="CV77" s="208">
        <v>67694</v>
      </c>
      <c r="CW77" s="210">
        <v>40</v>
      </c>
      <c r="CX77" s="209" t="s">
        <v>7</v>
      </c>
      <c r="CY77" s="209" t="s">
        <v>7</v>
      </c>
      <c r="CZ77" s="206">
        <v>17</v>
      </c>
      <c r="DA77" s="206">
        <v>11</v>
      </c>
      <c r="DB77" s="206">
        <v>42</v>
      </c>
      <c r="DC77" s="206">
        <v>7837</v>
      </c>
      <c r="DD77" s="206" t="s">
        <v>1115</v>
      </c>
      <c r="DE77" s="206">
        <v>27631</v>
      </c>
      <c r="DF77" s="206">
        <v>7904</v>
      </c>
      <c r="DG77" s="206">
        <v>52</v>
      </c>
      <c r="DH77" s="210">
        <f t="shared" si="88"/>
        <v>0.12324580552610241</v>
      </c>
      <c r="DI77" s="206">
        <v>45</v>
      </c>
      <c r="DJ77" s="206">
        <v>45</v>
      </c>
      <c r="DL77" s="347">
        <v>9264</v>
      </c>
      <c r="DM77" s="205"/>
      <c r="DN77" s="209" t="s">
        <v>1107</v>
      </c>
      <c r="DO77" s="209" t="s">
        <v>125</v>
      </c>
      <c r="DP77" s="209"/>
      <c r="DQ77" s="207"/>
      <c r="DR77" s="218" t="s">
        <v>1023</v>
      </c>
      <c r="DS77" s="205" t="s">
        <v>1023</v>
      </c>
      <c r="DT77" s="229">
        <v>43282</v>
      </c>
      <c r="DU77" s="229">
        <v>43646</v>
      </c>
      <c r="DV77" s="218" t="s">
        <v>1023</v>
      </c>
      <c r="DW77" s="109">
        <f t="shared" si="89"/>
        <v>0.47871577371670931</v>
      </c>
      <c r="DX77" s="109">
        <f t="shared" si="90"/>
        <v>0</v>
      </c>
      <c r="DY77" s="109">
        <f t="shared" si="91"/>
        <v>1.5924031684650408</v>
      </c>
      <c r="DZ77" s="109">
        <f t="shared" si="92"/>
        <v>0.52579055697623656</v>
      </c>
      <c r="EA77" s="110">
        <f t="shared" si="107"/>
        <v>0.54391869000564652</v>
      </c>
      <c r="EB77" s="200">
        <f t="shared" si="106"/>
        <v>0.38552787663107946</v>
      </c>
    </row>
    <row r="78" spans="1:132" ht="17" thickBot="1">
      <c r="A78" s="218" t="s">
        <v>1024</v>
      </c>
      <c r="B78" s="342" t="s">
        <v>1245</v>
      </c>
      <c r="C78" s="347">
        <v>35286</v>
      </c>
      <c r="D78" s="207">
        <v>0</v>
      </c>
      <c r="E78" s="207">
        <v>1</v>
      </c>
      <c r="F78" s="206">
        <v>34976</v>
      </c>
      <c r="H78" s="108">
        <f t="shared" si="73"/>
        <v>34976</v>
      </c>
      <c r="I78" s="109">
        <v>0.99363000000000001</v>
      </c>
      <c r="J78" s="208">
        <v>793299</v>
      </c>
      <c r="K78" s="208">
        <v>314589</v>
      </c>
      <c r="L78" s="115">
        <f t="shared" si="93"/>
        <v>1107888</v>
      </c>
      <c r="M78" s="110">
        <f t="shared" si="74"/>
        <v>31.397381397721475</v>
      </c>
      <c r="N78" s="208">
        <v>86218</v>
      </c>
      <c r="O78" s="208">
        <v>53945</v>
      </c>
      <c r="P78" s="222">
        <v>14764</v>
      </c>
      <c r="Q78" s="115">
        <v>154927</v>
      </c>
      <c r="R78" s="110">
        <f t="shared" si="75"/>
        <v>4.3906081732131721</v>
      </c>
      <c r="S78" s="222">
        <v>148073</v>
      </c>
      <c r="T78" s="208">
        <v>1410888</v>
      </c>
      <c r="U78" s="208">
        <v>0</v>
      </c>
      <c r="V78" s="208">
        <v>1410888</v>
      </c>
      <c r="W78" s="110">
        <f t="shared" si="76"/>
        <v>39.984356401972455</v>
      </c>
      <c r="X78" s="111">
        <f t="shared" si="94"/>
        <v>0.78524163505536937</v>
      </c>
      <c r="Y78" s="111">
        <f t="shared" si="95"/>
        <v>0.1098081491939828</v>
      </c>
      <c r="Z78" s="111">
        <f t="shared" si="96"/>
        <v>0.10495021575064782</v>
      </c>
      <c r="AA78" s="111">
        <f t="shared" si="97"/>
        <v>0</v>
      </c>
      <c r="AB78" s="208">
        <v>0</v>
      </c>
      <c r="AE78" s="208"/>
      <c r="AF78" s="208">
        <v>1410888</v>
      </c>
      <c r="AG78" s="208">
        <v>1335065</v>
      </c>
      <c r="AH78" s="208"/>
      <c r="AI78" s="115">
        <f t="shared" si="77"/>
        <v>2745953</v>
      </c>
      <c r="AJ78" s="110">
        <f t="shared" si="78"/>
        <v>77.819900243722728</v>
      </c>
      <c r="AK78" s="208">
        <v>88291</v>
      </c>
      <c r="AL78" s="208">
        <v>652</v>
      </c>
      <c r="AM78" s="208">
        <v>0</v>
      </c>
      <c r="AN78" s="208"/>
      <c r="AO78" s="115">
        <f t="shared" si="98"/>
        <v>0</v>
      </c>
      <c r="AP78" s="208">
        <v>1424008</v>
      </c>
      <c r="AQ78" s="112">
        <f t="shared" si="79"/>
        <v>40.356175253641673</v>
      </c>
      <c r="AR78" s="208"/>
      <c r="AS78" s="222">
        <v>20000</v>
      </c>
      <c r="AT78" s="208">
        <v>0</v>
      </c>
      <c r="AU78" s="222">
        <v>0</v>
      </c>
      <c r="AV78" s="222">
        <v>0</v>
      </c>
      <c r="AW78" s="208"/>
      <c r="AX78" s="222">
        <v>0</v>
      </c>
      <c r="AY78" s="115">
        <f t="shared" si="99"/>
        <v>20000</v>
      </c>
      <c r="AZ78" s="206">
        <v>117577</v>
      </c>
      <c r="BA78" s="109">
        <f t="shared" si="80"/>
        <v>3.3321147197188687</v>
      </c>
      <c r="BB78" s="223">
        <v>5829</v>
      </c>
      <c r="BC78" s="223">
        <v>5829</v>
      </c>
      <c r="BD78" s="223">
        <v>8931</v>
      </c>
      <c r="BE78" s="223">
        <v>2192</v>
      </c>
      <c r="BF78" s="223">
        <v>145845</v>
      </c>
      <c r="BG78" s="223">
        <v>12</v>
      </c>
      <c r="BH78" s="223">
        <v>89</v>
      </c>
      <c r="BI78" s="206">
        <v>0</v>
      </c>
      <c r="BJ78" s="116">
        <f t="shared" si="100"/>
        <v>101</v>
      </c>
      <c r="BK78" s="223">
        <v>316969</v>
      </c>
      <c r="BL78" s="109">
        <f t="shared" si="81"/>
        <v>8.9828543898429967</v>
      </c>
      <c r="BM78" s="223">
        <v>0</v>
      </c>
      <c r="BN78" s="206">
        <v>17623</v>
      </c>
      <c r="BO78" s="109">
        <f t="shared" si="82"/>
        <v>0.49943320297001642</v>
      </c>
      <c r="BP78" s="206">
        <v>112499</v>
      </c>
      <c r="BQ78" s="206">
        <v>0</v>
      </c>
      <c r="BR78" s="230">
        <f t="shared" si="101"/>
        <v>250345</v>
      </c>
      <c r="BS78" s="230">
        <v>98328</v>
      </c>
      <c r="BT78" s="223">
        <v>348673</v>
      </c>
      <c r="BU78" s="109">
        <f t="shared" si="83"/>
        <v>9.8813410417729415</v>
      </c>
      <c r="BV78" s="108">
        <f t="shared" si="108"/>
        <v>19200.055066079294</v>
      </c>
      <c r="BW78" s="109">
        <f t="shared" si="84"/>
        <v>123.2060070671378</v>
      </c>
      <c r="BX78" s="109">
        <f t="shared" si="85"/>
        <v>2.4522488307486725</v>
      </c>
      <c r="BY78" s="109">
        <f t="shared" si="102"/>
        <v>1.1000223996668443</v>
      </c>
      <c r="BZ78" s="206">
        <v>199</v>
      </c>
      <c r="CA78" s="206">
        <v>25</v>
      </c>
      <c r="CB78" s="206">
        <v>130</v>
      </c>
      <c r="CC78" s="113">
        <f t="shared" si="103"/>
        <v>354</v>
      </c>
      <c r="CD78" s="206">
        <v>6154</v>
      </c>
      <c r="CE78" s="206">
        <v>245</v>
      </c>
      <c r="CF78" s="206">
        <v>7656</v>
      </c>
      <c r="CG78" s="116">
        <f t="shared" si="104"/>
        <v>14055</v>
      </c>
      <c r="CH78" s="109">
        <f t="shared" si="86"/>
        <v>0.39831661282094882</v>
      </c>
      <c r="CI78" s="206">
        <v>142185</v>
      </c>
      <c r="CJ78" s="109">
        <f t="shared" si="87"/>
        <v>4.0295017854106447</v>
      </c>
      <c r="CK78" s="223">
        <v>20130</v>
      </c>
      <c r="CL78" s="209" t="s">
        <v>7</v>
      </c>
      <c r="CM78" s="209" t="s">
        <v>7</v>
      </c>
      <c r="CN78" s="209" t="s">
        <v>7</v>
      </c>
      <c r="CO78" s="210">
        <v>5.69</v>
      </c>
      <c r="CP78" s="108">
        <f t="shared" ref="CP78:CP83" si="110">C78/CO78</f>
        <v>6201.4059753954298</v>
      </c>
      <c r="CQ78" s="210">
        <v>0.94</v>
      </c>
      <c r="CR78" s="210">
        <v>11.53</v>
      </c>
      <c r="CS78" s="180">
        <f t="shared" si="105"/>
        <v>18.16</v>
      </c>
      <c r="CT78" s="108">
        <f t="shared" si="109"/>
        <v>1943.0616740088105</v>
      </c>
      <c r="CU78" s="206">
        <v>4980</v>
      </c>
      <c r="CV78" s="208">
        <v>82369</v>
      </c>
      <c r="CW78" s="210">
        <v>40</v>
      </c>
      <c r="CX78" s="209" t="s">
        <v>7</v>
      </c>
      <c r="CY78" s="209" t="s">
        <v>7</v>
      </c>
      <c r="CZ78" s="206">
        <v>0</v>
      </c>
      <c r="DA78" s="206">
        <v>0</v>
      </c>
      <c r="DB78" s="206">
        <v>47</v>
      </c>
      <c r="DC78" s="206">
        <v>12747</v>
      </c>
      <c r="DD78" s="206">
        <v>29369</v>
      </c>
      <c r="DE78" s="206">
        <v>163065</v>
      </c>
      <c r="DF78" s="206">
        <v>3440</v>
      </c>
      <c r="DG78" s="206">
        <v>52</v>
      </c>
      <c r="DH78" s="210">
        <f t="shared" si="88"/>
        <v>9.7489089157172817E-2</v>
      </c>
      <c r="DI78" s="206">
        <v>48</v>
      </c>
      <c r="DJ78" s="206">
        <v>48</v>
      </c>
      <c r="DK78" s="108">
        <v>2482</v>
      </c>
      <c r="DL78" s="347">
        <v>2830</v>
      </c>
      <c r="DM78" s="205"/>
      <c r="DN78" s="209" t="s">
        <v>1108</v>
      </c>
      <c r="DO78" s="209" t="s">
        <v>125</v>
      </c>
      <c r="DP78" s="209"/>
      <c r="DQ78" s="207"/>
      <c r="DR78" s="218" t="s">
        <v>1024</v>
      </c>
      <c r="DS78" s="205" t="s">
        <v>1024</v>
      </c>
      <c r="DT78" s="229">
        <v>43282</v>
      </c>
      <c r="DU78" s="229">
        <v>43646</v>
      </c>
      <c r="DV78" s="218" t="s">
        <v>1024</v>
      </c>
      <c r="DW78" s="109">
        <f t="shared" si="89"/>
        <v>3.188204953806042</v>
      </c>
      <c r="DX78" s="109">
        <f t="shared" si="90"/>
        <v>0</v>
      </c>
      <c r="DY78" s="109">
        <f t="shared" si="91"/>
        <v>7.0947401235617527</v>
      </c>
      <c r="DZ78" s="109">
        <f t="shared" si="92"/>
        <v>2.7866009182111884</v>
      </c>
      <c r="EA78" s="110">
        <f t="shared" si="107"/>
        <v>0.2376172680270309</v>
      </c>
      <c r="EB78" s="200">
        <f t="shared" si="106"/>
        <v>0.54862297616141897</v>
      </c>
    </row>
    <row r="79" spans="1:132" ht="17" thickBot="1">
      <c r="A79" s="218" t="s">
        <v>1025</v>
      </c>
      <c r="B79" s="342" t="s">
        <v>1246</v>
      </c>
      <c r="C79" s="347">
        <v>235605</v>
      </c>
      <c r="D79" s="207">
        <v>3</v>
      </c>
      <c r="E79" s="207">
        <v>0</v>
      </c>
      <c r="F79" s="206">
        <v>66148</v>
      </c>
      <c r="H79" s="108">
        <f t="shared" si="73"/>
        <v>66148</v>
      </c>
      <c r="I79" s="109">
        <v>0.28411999999999998</v>
      </c>
      <c r="J79" s="208">
        <v>2496796</v>
      </c>
      <c r="K79" s="208">
        <v>1515025</v>
      </c>
      <c r="L79" s="115">
        <f t="shared" si="93"/>
        <v>4011821</v>
      </c>
      <c r="M79" s="110">
        <f t="shared" si="74"/>
        <v>17.027741346745611</v>
      </c>
      <c r="N79" s="208">
        <v>236251</v>
      </c>
      <c r="O79" s="208">
        <v>181958</v>
      </c>
      <c r="P79" s="222">
        <v>35132</v>
      </c>
      <c r="Q79" s="115">
        <v>453341</v>
      </c>
      <c r="R79" s="110">
        <f t="shared" si="75"/>
        <v>1.9241569576197448</v>
      </c>
      <c r="S79" s="222">
        <v>1306262</v>
      </c>
      <c r="T79" s="208">
        <v>5771424</v>
      </c>
      <c r="U79" s="208">
        <v>0</v>
      </c>
      <c r="V79" s="208">
        <v>5771424</v>
      </c>
      <c r="W79" s="110">
        <f t="shared" si="76"/>
        <v>24.496186413700897</v>
      </c>
      <c r="X79" s="111">
        <f t="shared" si="94"/>
        <v>0.69511805058855491</v>
      </c>
      <c r="Y79" s="111">
        <f t="shared" si="95"/>
        <v>7.8549245385540895E-2</v>
      </c>
      <c r="Z79" s="111">
        <f t="shared" si="96"/>
        <v>0.22633270402590419</v>
      </c>
      <c r="AA79" s="111">
        <f t="shared" si="97"/>
        <v>0</v>
      </c>
      <c r="AB79" s="208">
        <v>75000</v>
      </c>
      <c r="AE79" s="208"/>
      <c r="AF79" s="208">
        <v>5771424</v>
      </c>
      <c r="AG79" s="208">
        <v>5487397</v>
      </c>
      <c r="AH79" s="208"/>
      <c r="AI79" s="115">
        <f t="shared" si="77"/>
        <v>11258821</v>
      </c>
      <c r="AJ79" s="110">
        <f t="shared" si="78"/>
        <v>47.786850873283676</v>
      </c>
      <c r="AK79" s="208">
        <v>195018</v>
      </c>
      <c r="AL79" s="208">
        <v>0</v>
      </c>
      <c r="AM79" s="208">
        <v>182745</v>
      </c>
      <c r="AN79" s="208"/>
      <c r="AO79" s="115">
        <f t="shared" si="98"/>
        <v>182745</v>
      </c>
      <c r="AP79" s="208">
        <v>5865160</v>
      </c>
      <c r="AQ79" s="112">
        <f t="shared" si="79"/>
        <v>24.894038751299846</v>
      </c>
      <c r="AR79" s="208"/>
      <c r="AS79" s="222">
        <v>25000</v>
      </c>
      <c r="AT79" s="208">
        <v>0</v>
      </c>
      <c r="AU79" s="222">
        <v>0</v>
      </c>
      <c r="AV79" s="222">
        <v>0</v>
      </c>
      <c r="AW79" s="208"/>
      <c r="AX79" s="222">
        <v>0</v>
      </c>
      <c r="AY79" s="115">
        <f t="shared" si="99"/>
        <v>25000</v>
      </c>
      <c r="AZ79" s="206">
        <v>129757</v>
      </c>
      <c r="BA79" s="109">
        <f t="shared" si="80"/>
        <v>0.55073958532289213</v>
      </c>
      <c r="BB79" s="223">
        <v>4113</v>
      </c>
      <c r="BC79" s="223">
        <v>4113</v>
      </c>
      <c r="BD79" s="223">
        <v>9724</v>
      </c>
      <c r="BE79" s="223">
        <v>1752</v>
      </c>
      <c r="BF79" s="223">
        <v>84043</v>
      </c>
      <c r="BG79" s="223">
        <v>18</v>
      </c>
      <c r="BH79" s="223">
        <v>89</v>
      </c>
      <c r="BI79" s="206">
        <v>0</v>
      </c>
      <c r="BJ79" s="116">
        <f t="shared" si="100"/>
        <v>107</v>
      </c>
      <c r="BK79" s="223">
        <v>258604</v>
      </c>
      <c r="BL79" s="109">
        <f t="shared" si="81"/>
        <v>1.0976167738375671</v>
      </c>
      <c r="BM79" s="223">
        <v>151</v>
      </c>
      <c r="BN79" s="206">
        <v>60187</v>
      </c>
      <c r="BO79" s="109">
        <f t="shared" si="82"/>
        <v>0.25545722713864305</v>
      </c>
      <c r="BP79" s="206">
        <v>320627</v>
      </c>
      <c r="BQ79" s="206">
        <v>0</v>
      </c>
      <c r="BR79" s="230">
        <f t="shared" si="101"/>
        <v>634339</v>
      </c>
      <c r="BS79" s="230">
        <v>748764</v>
      </c>
      <c r="BT79" s="223">
        <v>1383103</v>
      </c>
      <c r="BU79" s="109">
        <f t="shared" si="83"/>
        <v>5.8704314424566544</v>
      </c>
      <c r="BV79" s="108">
        <f t="shared" si="108"/>
        <v>25655.778148766465</v>
      </c>
      <c r="BW79" s="109">
        <f t="shared" si="84"/>
        <v>152.35767790262173</v>
      </c>
      <c r="BX79" s="109">
        <f t="shared" si="85"/>
        <v>4.5659320344119534</v>
      </c>
      <c r="BY79" s="109">
        <f t="shared" si="102"/>
        <v>5.3483434130949252</v>
      </c>
      <c r="BZ79" s="206">
        <v>716</v>
      </c>
      <c r="CA79" s="206">
        <v>60</v>
      </c>
      <c r="CB79" s="206">
        <v>125</v>
      </c>
      <c r="CC79" s="113">
        <f t="shared" si="103"/>
        <v>901</v>
      </c>
      <c r="CD79" s="206">
        <v>19675</v>
      </c>
      <c r="CE79" s="206">
        <v>773</v>
      </c>
      <c r="CF79" s="206">
        <v>5783</v>
      </c>
      <c r="CG79" s="116">
        <f t="shared" si="104"/>
        <v>26231</v>
      </c>
      <c r="CH79" s="109">
        <f t="shared" si="86"/>
        <v>0.11133464909488339</v>
      </c>
      <c r="CI79" s="206">
        <v>302918</v>
      </c>
      <c r="CJ79" s="109">
        <f t="shared" si="87"/>
        <v>1.2857027652214512</v>
      </c>
      <c r="CK79" s="223">
        <v>178621</v>
      </c>
      <c r="CL79" s="209" t="s">
        <v>7</v>
      </c>
      <c r="CM79" s="209" t="s">
        <v>7</v>
      </c>
      <c r="CN79" s="209" t="s">
        <v>7</v>
      </c>
      <c r="CO79" s="210">
        <v>7</v>
      </c>
      <c r="CP79" s="108">
        <f t="shared" si="110"/>
        <v>33657.857142857145</v>
      </c>
      <c r="CQ79" s="210">
        <v>5</v>
      </c>
      <c r="CR79" s="210">
        <v>41.91</v>
      </c>
      <c r="CS79" s="180">
        <f t="shared" si="105"/>
        <v>53.91</v>
      </c>
      <c r="CT79" s="108">
        <f t="shared" si="109"/>
        <v>4370.3394546466334</v>
      </c>
      <c r="CU79" s="206">
        <v>3140</v>
      </c>
      <c r="CV79" s="208">
        <v>92259</v>
      </c>
      <c r="CW79" s="210">
        <v>40</v>
      </c>
      <c r="CX79" s="209" t="s">
        <v>7</v>
      </c>
      <c r="CY79" s="209" t="s">
        <v>7</v>
      </c>
      <c r="CZ79" s="206">
        <v>0</v>
      </c>
      <c r="DA79" s="206">
        <v>0</v>
      </c>
      <c r="DB79" s="206">
        <v>160</v>
      </c>
      <c r="DC79" s="206">
        <v>40030</v>
      </c>
      <c r="DD79" s="206">
        <v>34905</v>
      </c>
      <c r="DE79" s="206">
        <v>658781</v>
      </c>
      <c r="DF79" s="206">
        <v>10874</v>
      </c>
      <c r="DG79" s="206">
        <v>52</v>
      </c>
      <c r="DH79" s="210">
        <f t="shared" si="88"/>
        <v>4.615351966214639E-2</v>
      </c>
      <c r="DI79" s="206">
        <v>49</v>
      </c>
      <c r="DJ79" s="206">
        <v>49</v>
      </c>
      <c r="DL79" s="347">
        <v>9078</v>
      </c>
      <c r="DM79" s="205"/>
      <c r="DN79" s="209" t="s">
        <v>1109</v>
      </c>
      <c r="DO79" s="209" t="s">
        <v>125</v>
      </c>
      <c r="DP79" s="209"/>
      <c r="DQ79" s="207"/>
      <c r="DR79" s="218" t="s">
        <v>1025</v>
      </c>
      <c r="DS79" s="205" t="s">
        <v>1025</v>
      </c>
      <c r="DT79" s="229">
        <v>43282</v>
      </c>
      <c r="DU79" s="229">
        <v>43646</v>
      </c>
      <c r="DV79" s="218" t="s">
        <v>1025</v>
      </c>
      <c r="DW79" s="109">
        <f t="shared" si="89"/>
        <v>1.3608667048661955</v>
      </c>
      <c r="DX79" s="109">
        <f t="shared" si="90"/>
        <v>0</v>
      </c>
      <c r="DY79" s="109">
        <f t="shared" si="91"/>
        <v>2.6923834383820378</v>
      </c>
      <c r="DZ79" s="109">
        <f t="shared" si="92"/>
        <v>3.1780480040746166</v>
      </c>
      <c r="EA79" s="110">
        <f t="shared" si="107"/>
        <v>0.24739205374851042</v>
      </c>
      <c r="EB79" s="200">
        <f t="shared" si="106"/>
        <v>0.24301114904028506</v>
      </c>
    </row>
    <row r="80" spans="1:132" ht="17" thickBot="1">
      <c r="A80" s="218" t="s">
        <v>1026</v>
      </c>
      <c r="B80" s="342" t="s">
        <v>1247</v>
      </c>
      <c r="C80" s="347">
        <v>1085297</v>
      </c>
      <c r="D80" s="207">
        <v>22</v>
      </c>
      <c r="E80" s="207">
        <v>0</v>
      </c>
      <c r="F80" s="206">
        <v>290015</v>
      </c>
      <c r="H80" s="108">
        <f t="shared" si="73"/>
        <v>290015</v>
      </c>
      <c r="I80" s="109">
        <v>0.29443999999999998</v>
      </c>
      <c r="J80" s="208">
        <v>12363115</v>
      </c>
      <c r="K80" s="208">
        <v>5656686</v>
      </c>
      <c r="L80" s="115">
        <f t="shared" si="93"/>
        <v>18019801</v>
      </c>
      <c r="M80" s="110">
        <f t="shared" si="74"/>
        <v>16.603566581313686</v>
      </c>
      <c r="N80" s="208">
        <v>3102973</v>
      </c>
      <c r="O80" s="208">
        <v>1601498</v>
      </c>
      <c r="P80" s="222">
        <v>0</v>
      </c>
      <c r="Q80" s="115">
        <v>4704471</v>
      </c>
      <c r="R80" s="110">
        <f t="shared" si="75"/>
        <v>4.3347314145344544</v>
      </c>
      <c r="S80" s="222">
        <v>4408741</v>
      </c>
      <c r="T80" s="208">
        <v>27133013</v>
      </c>
      <c r="U80" s="208">
        <v>0</v>
      </c>
      <c r="V80" s="208">
        <v>27133013</v>
      </c>
      <c r="W80" s="110">
        <f t="shared" si="76"/>
        <v>25.000541787178992</v>
      </c>
      <c r="X80" s="111">
        <f t="shared" si="94"/>
        <v>0.66412827060525859</v>
      </c>
      <c r="Y80" s="111">
        <f t="shared" si="95"/>
        <v>0.17338549905976164</v>
      </c>
      <c r="Z80" s="111">
        <f t="shared" si="96"/>
        <v>0.16248623033497975</v>
      </c>
      <c r="AA80" s="111">
        <f t="shared" si="97"/>
        <v>0</v>
      </c>
      <c r="AB80" s="208">
        <v>3663000</v>
      </c>
      <c r="AE80" s="208"/>
      <c r="AF80" s="208">
        <v>27133013</v>
      </c>
      <c r="AG80" s="208">
        <v>28872911</v>
      </c>
      <c r="AH80" s="208"/>
      <c r="AI80" s="115">
        <f t="shared" si="77"/>
        <v>56005924</v>
      </c>
      <c r="AJ80" s="110">
        <f t="shared" si="78"/>
        <v>51.604237365440056</v>
      </c>
      <c r="AK80" s="208">
        <v>596449</v>
      </c>
      <c r="AL80" s="208">
        <v>1701</v>
      </c>
      <c r="AM80" s="208">
        <v>0</v>
      </c>
      <c r="AN80" s="208"/>
      <c r="AO80" s="115">
        <f t="shared" si="98"/>
        <v>0</v>
      </c>
      <c r="AP80" s="208">
        <v>29471061</v>
      </c>
      <c r="AQ80" s="112">
        <f t="shared" si="79"/>
        <v>27.15483503593947</v>
      </c>
      <c r="AR80" s="208"/>
      <c r="AS80" s="222">
        <v>0</v>
      </c>
      <c r="AT80" s="208">
        <v>0</v>
      </c>
      <c r="AU80" s="222">
        <v>0</v>
      </c>
      <c r="AV80" s="222">
        <v>0</v>
      </c>
      <c r="AW80" s="208"/>
      <c r="AX80" s="222">
        <v>0</v>
      </c>
      <c r="AY80" s="115">
        <f t="shared" si="99"/>
        <v>0</v>
      </c>
      <c r="AZ80" s="206">
        <v>1717891</v>
      </c>
      <c r="BA80" s="109">
        <f t="shared" si="80"/>
        <v>1.5828763923608007</v>
      </c>
      <c r="BB80" s="223">
        <v>31113</v>
      </c>
      <c r="BC80" s="223">
        <v>31113</v>
      </c>
      <c r="BD80" s="223">
        <v>0</v>
      </c>
      <c r="BE80" s="223">
        <v>1752</v>
      </c>
      <c r="BF80" s="223">
        <v>142446</v>
      </c>
      <c r="BG80" s="223">
        <v>4</v>
      </c>
      <c r="BH80" s="223">
        <v>89</v>
      </c>
      <c r="BI80" s="206">
        <v>0</v>
      </c>
      <c r="BJ80" s="116">
        <f t="shared" si="100"/>
        <v>93</v>
      </c>
      <c r="BK80" s="223">
        <v>1958880</v>
      </c>
      <c r="BL80" s="109">
        <f t="shared" si="81"/>
        <v>1.8049252877322981</v>
      </c>
      <c r="BM80" s="223">
        <v>1282</v>
      </c>
      <c r="BN80" s="206">
        <v>266107</v>
      </c>
      <c r="BO80" s="109">
        <f t="shared" si="82"/>
        <v>0.24519279054489232</v>
      </c>
      <c r="BP80" s="206">
        <v>5777600</v>
      </c>
      <c r="BQ80" s="206">
        <v>0</v>
      </c>
      <c r="BR80" s="230">
        <f t="shared" si="101"/>
        <v>8718661</v>
      </c>
      <c r="BS80" s="230">
        <v>2826408</v>
      </c>
      <c r="BT80" s="223">
        <v>11545069</v>
      </c>
      <c r="BU80" s="109">
        <f t="shared" si="83"/>
        <v>10.637704702030872</v>
      </c>
      <c r="BV80" s="108">
        <f t="shared" si="108"/>
        <v>40580.207381370827</v>
      </c>
      <c r="BW80" s="109">
        <f t="shared" si="84"/>
        <v>229.26898482802446</v>
      </c>
      <c r="BX80" s="109">
        <f t="shared" si="85"/>
        <v>4.5194953697469256</v>
      </c>
      <c r="BY80" s="109">
        <f t="shared" si="102"/>
        <v>5.8937091603365186</v>
      </c>
      <c r="BZ80" s="206">
        <v>8427</v>
      </c>
      <c r="CA80" s="206">
        <v>457</v>
      </c>
      <c r="CB80" s="206">
        <v>906</v>
      </c>
      <c r="CC80" s="113">
        <f t="shared" si="103"/>
        <v>9790</v>
      </c>
      <c r="CD80" s="206">
        <v>326986</v>
      </c>
      <c r="CE80" s="206">
        <v>13471</v>
      </c>
      <c r="CF80" s="206">
        <v>17594</v>
      </c>
      <c r="CG80" s="116">
        <f t="shared" si="104"/>
        <v>358051</v>
      </c>
      <c r="CH80" s="109">
        <f t="shared" si="86"/>
        <v>0.32991061432953378</v>
      </c>
      <c r="CI80" s="206">
        <v>2554504</v>
      </c>
      <c r="CJ80" s="109">
        <f t="shared" si="87"/>
        <v>2.3537372719172724</v>
      </c>
      <c r="CK80" s="223">
        <v>396395</v>
      </c>
      <c r="CL80" s="209" t="s">
        <v>7</v>
      </c>
      <c r="CM80" s="209" t="s">
        <v>7</v>
      </c>
      <c r="CN80" s="209" t="s">
        <v>7</v>
      </c>
      <c r="CO80" s="210">
        <v>148.5</v>
      </c>
      <c r="CP80" s="108">
        <f t="shared" si="110"/>
        <v>7308.3973063973062</v>
      </c>
      <c r="CQ80" s="210">
        <v>0</v>
      </c>
      <c r="CR80" s="210">
        <v>136</v>
      </c>
      <c r="CS80" s="180">
        <f t="shared" si="105"/>
        <v>284.5</v>
      </c>
      <c r="CT80" s="108">
        <f t="shared" si="109"/>
        <v>3814.7521968365554</v>
      </c>
      <c r="CU80" s="206">
        <v>10399</v>
      </c>
      <c r="CV80" s="208">
        <v>134664</v>
      </c>
      <c r="CW80" s="210">
        <v>40</v>
      </c>
      <c r="CX80" s="209" t="s">
        <v>7</v>
      </c>
      <c r="CY80" s="209" t="s">
        <v>7</v>
      </c>
      <c r="CZ80" s="206">
        <v>15178</v>
      </c>
      <c r="DA80" s="206">
        <v>312</v>
      </c>
      <c r="DB80" s="206">
        <v>488</v>
      </c>
      <c r="DC80" s="206">
        <v>311841</v>
      </c>
      <c r="DD80" s="206">
        <v>1284698</v>
      </c>
      <c r="DE80" s="206">
        <v>4443087</v>
      </c>
      <c r="DF80" s="206">
        <v>67014</v>
      </c>
      <c r="DG80" s="206">
        <v>51</v>
      </c>
      <c r="DH80" s="210">
        <f t="shared" si="88"/>
        <v>6.1747153083441676E-2</v>
      </c>
      <c r="DI80" s="206">
        <v>45</v>
      </c>
      <c r="DJ80" s="206">
        <v>45</v>
      </c>
      <c r="DL80" s="347">
        <v>50356</v>
      </c>
      <c r="DM80" s="205"/>
      <c r="DN80" s="209" t="s">
        <v>1110</v>
      </c>
      <c r="DO80" s="209" t="s">
        <v>125</v>
      </c>
      <c r="DP80" s="209"/>
      <c r="DQ80" s="207"/>
      <c r="DR80" s="218" t="s">
        <v>1026</v>
      </c>
      <c r="DS80" s="205" t="s">
        <v>1026</v>
      </c>
      <c r="DT80" s="229">
        <v>43282</v>
      </c>
      <c r="DU80" s="229">
        <v>43646</v>
      </c>
      <c r="DV80" s="218" t="s">
        <v>1026</v>
      </c>
      <c r="DW80" s="109">
        <f t="shared" si="89"/>
        <v>5.323519736993652</v>
      </c>
      <c r="DX80" s="109">
        <f t="shared" si="90"/>
        <v>0</v>
      </c>
      <c r="DY80" s="109">
        <f t="shared" si="91"/>
        <v>8.0334332445404346</v>
      </c>
      <c r="DZ80" s="109">
        <f t="shared" si="92"/>
        <v>2.6042714574904382</v>
      </c>
      <c r="EA80" s="110">
        <f t="shared" si="107"/>
        <v>0.21405333416665168</v>
      </c>
      <c r="EB80" s="200">
        <f t="shared" si="106"/>
        <v>0.56661953971259638</v>
      </c>
    </row>
    <row r="81" spans="1:132" ht="17" thickBot="1">
      <c r="A81" s="218" t="s">
        <v>1027</v>
      </c>
      <c r="B81" s="342" t="s">
        <v>1248</v>
      </c>
      <c r="C81" s="347">
        <v>19871</v>
      </c>
      <c r="D81" s="207">
        <v>0</v>
      </c>
      <c r="E81" s="207">
        <v>0</v>
      </c>
      <c r="F81" s="206">
        <v>13770</v>
      </c>
      <c r="H81" s="108">
        <f t="shared" si="73"/>
        <v>13770</v>
      </c>
      <c r="I81" s="109">
        <v>0.68255999999999994</v>
      </c>
      <c r="J81" s="208">
        <v>274629</v>
      </c>
      <c r="K81" s="208">
        <v>111917</v>
      </c>
      <c r="L81" s="115">
        <f t="shared" si="93"/>
        <v>386546</v>
      </c>
      <c r="M81" s="110">
        <f t="shared" si="74"/>
        <v>19.452770368879271</v>
      </c>
      <c r="N81" s="208">
        <v>19705</v>
      </c>
      <c r="O81" s="208">
        <v>0</v>
      </c>
      <c r="P81" s="222">
        <v>1052</v>
      </c>
      <c r="Q81" s="115">
        <v>20757</v>
      </c>
      <c r="R81" s="110">
        <f t="shared" si="75"/>
        <v>1.0445875899552111</v>
      </c>
      <c r="S81" s="222">
        <v>75504</v>
      </c>
      <c r="T81" s="208">
        <v>482807</v>
      </c>
      <c r="U81" s="208">
        <v>0</v>
      </c>
      <c r="V81" s="208">
        <v>482807</v>
      </c>
      <c r="W81" s="110">
        <f t="shared" si="76"/>
        <v>24.297066076191435</v>
      </c>
      <c r="X81" s="111">
        <f t="shared" si="94"/>
        <v>0.8006221947900507</v>
      </c>
      <c r="Y81" s="111">
        <f t="shared" si="95"/>
        <v>4.2992334411058666E-2</v>
      </c>
      <c r="Z81" s="111">
        <f t="shared" si="96"/>
        <v>0.15638547079889065</v>
      </c>
      <c r="AA81" s="111">
        <f t="shared" si="97"/>
        <v>0</v>
      </c>
      <c r="AB81" s="208">
        <v>0</v>
      </c>
      <c r="AE81" s="208"/>
      <c r="AF81" s="208">
        <v>482807</v>
      </c>
      <c r="AG81" s="208">
        <v>409524</v>
      </c>
      <c r="AH81" s="208"/>
      <c r="AI81" s="115">
        <f t="shared" si="77"/>
        <v>892331</v>
      </c>
      <c r="AJ81" s="110">
        <f t="shared" si="78"/>
        <v>44.906194957475719</v>
      </c>
      <c r="AK81" s="208">
        <v>80713</v>
      </c>
      <c r="AL81" s="208">
        <v>0</v>
      </c>
      <c r="AM81" s="208">
        <v>3841</v>
      </c>
      <c r="AN81" s="208"/>
      <c r="AO81" s="115">
        <f t="shared" si="98"/>
        <v>3841</v>
      </c>
      <c r="AP81" s="208">
        <v>494078</v>
      </c>
      <c r="AQ81" s="112">
        <f t="shared" si="79"/>
        <v>24.86427457098284</v>
      </c>
      <c r="AR81" s="208"/>
      <c r="AS81" s="222">
        <v>0</v>
      </c>
      <c r="AT81" s="208">
        <v>0</v>
      </c>
      <c r="AU81" s="222">
        <v>0</v>
      </c>
      <c r="AV81" s="222">
        <v>0</v>
      </c>
      <c r="AW81" s="208"/>
      <c r="AX81" s="222">
        <v>0</v>
      </c>
      <c r="AY81" s="115">
        <f t="shared" si="99"/>
        <v>0</v>
      </c>
      <c r="AZ81" s="206">
        <v>31622</v>
      </c>
      <c r="BA81" s="109">
        <f t="shared" si="80"/>
        <v>1.5913642997332798</v>
      </c>
      <c r="BB81" s="223">
        <v>1313</v>
      </c>
      <c r="BC81" s="223">
        <v>1313</v>
      </c>
      <c r="BD81" s="223">
        <v>2739</v>
      </c>
      <c r="BE81" s="223">
        <v>1752</v>
      </c>
      <c r="BF81" s="223">
        <v>71510</v>
      </c>
      <c r="BG81" s="223">
        <v>0</v>
      </c>
      <c r="BH81" s="223">
        <v>89</v>
      </c>
      <c r="BI81" s="206">
        <v>0</v>
      </c>
      <c r="BJ81" s="116">
        <f t="shared" si="100"/>
        <v>89</v>
      </c>
      <c r="BK81" s="223">
        <v>121680</v>
      </c>
      <c r="BL81" s="109">
        <f t="shared" si="81"/>
        <v>6.123496552765336</v>
      </c>
      <c r="BM81" s="223">
        <v>33</v>
      </c>
      <c r="BN81" s="206">
        <v>9208</v>
      </c>
      <c r="BO81" s="109">
        <f t="shared" si="82"/>
        <v>0.46338885813497055</v>
      </c>
      <c r="BP81" s="206">
        <v>9134</v>
      </c>
      <c r="BQ81" s="206">
        <v>0</v>
      </c>
      <c r="BR81" s="230">
        <f t="shared" si="101"/>
        <v>28409</v>
      </c>
      <c r="BS81" s="230">
        <v>2265</v>
      </c>
      <c r="BT81" s="223">
        <v>30674</v>
      </c>
      <c r="BU81" s="109">
        <f t="shared" si="83"/>
        <v>1.5436565849730763</v>
      </c>
      <c r="BV81" s="108">
        <f t="shared" si="108"/>
        <v>3608.705882352941</v>
      </c>
      <c r="BW81" s="109">
        <f t="shared" si="84"/>
        <v>14.747115384615384</v>
      </c>
      <c r="BX81" s="109">
        <f t="shared" si="85"/>
        <v>1.110371040723982</v>
      </c>
      <c r="BY81" s="109">
        <f t="shared" si="102"/>
        <v>0.25208744247205783</v>
      </c>
      <c r="BZ81" s="206">
        <v>79</v>
      </c>
      <c r="CA81" s="206">
        <v>50</v>
      </c>
      <c r="CB81" s="206">
        <v>67</v>
      </c>
      <c r="CC81" s="113">
        <f t="shared" si="103"/>
        <v>196</v>
      </c>
      <c r="CD81" s="206">
        <v>1091</v>
      </c>
      <c r="CE81" s="206">
        <v>376</v>
      </c>
      <c r="CF81" s="206">
        <v>529</v>
      </c>
      <c r="CG81" s="116">
        <f t="shared" si="104"/>
        <v>1996</v>
      </c>
      <c r="CH81" s="109">
        <f t="shared" si="86"/>
        <v>0.10044788888329727</v>
      </c>
      <c r="CI81" s="206">
        <v>27625</v>
      </c>
      <c r="CJ81" s="109">
        <f t="shared" si="87"/>
        <v>1.3902168989985406</v>
      </c>
      <c r="CK81" s="223">
        <v>12341</v>
      </c>
      <c r="CL81" s="209" t="s">
        <v>7</v>
      </c>
      <c r="CM81" s="209" t="s">
        <v>7</v>
      </c>
      <c r="CN81" s="209" t="s">
        <v>7</v>
      </c>
      <c r="CO81" s="210">
        <v>1</v>
      </c>
      <c r="CP81" s="108">
        <f t="shared" si="110"/>
        <v>19871</v>
      </c>
      <c r="CQ81" s="210">
        <v>0</v>
      </c>
      <c r="CR81" s="210">
        <v>7.5</v>
      </c>
      <c r="CS81" s="180">
        <f t="shared" si="105"/>
        <v>8.5</v>
      </c>
      <c r="CT81" s="108">
        <f t="shared" si="109"/>
        <v>2337.7647058823532</v>
      </c>
      <c r="CU81" s="206">
        <v>287</v>
      </c>
      <c r="CV81" s="208">
        <v>65282</v>
      </c>
      <c r="CW81" s="210">
        <v>40</v>
      </c>
      <c r="CX81" s="209" t="s">
        <v>7</v>
      </c>
      <c r="CY81" s="209" t="s">
        <v>7</v>
      </c>
      <c r="CZ81" s="206">
        <v>55</v>
      </c>
      <c r="DA81" s="206">
        <v>0</v>
      </c>
      <c r="DB81" s="206">
        <v>32</v>
      </c>
      <c r="DC81" s="206">
        <v>8535</v>
      </c>
      <c r="DD81" s="206" t="s">
        <v>1115</v>
      </c>
      <c r="DE81" s="206">
        <v>277933</v>
      </c>
      <c r="DF81" s="206">
        <v>2704</v>
      </c>
      <c r="DG81" s="206">
        <v>52</v>
      </c>
      <c r="DH81" s="210">
        <f t="shared" si="88"/>
        <v>0.13607770117256304</v>
      </c>
      <c r="DI81" s="206">
        <v>56</v>
      </c>
      <c r="DJ81" s="206">
        <v>56</v>
      </c>
      <c r="DL81" s="347">
        <v>2080</v>
      </c>
      <c r="DM81" s="205"/>
      <c r="DN81" s="209" t="s">
        <v>1111</v>
      </c>
      <c r="DO81" s="209" t="s">
        <v>125</v>
      </c>
      <c r="DP81" s="209"/>
      <c r="DQ81" s="207"/>
      <c r="DR81" s="218" t="s">
        <v>1027</v>
      </c>
      <c r="DS81" s="205" t="s">
        <v>1027</v>
      </c>
      <c r="DT81" s="229">
        <v>43282</v>
      </c>
      <c r="DU81" s="229">
        <v>43646</v>
      </c>
      <c r="DV81" s="218" t="s">
        <v>1027</v>
      </c>
      <c r="DW81" s="109">
        <f t="shared" si="89"/>
        <v>0.4596648382064315</v>
      </c>
      <c r="DX81" s="109">
        <f t="shared" si="90"/>
        <v>0</v>
      </c>
      <c r="DY81" s="109">
        <f t="shared" si="91"/>
        <v>1.4296713804036032</v>
      </c>
      <c r="DZ81" s="109">
        <f t="shared" si="92"/>
        <v>0.1139852045694731</v>
      </c>
      <c r="EA81" s="110">
        <f t="shared" si="107"/>
        <v>0.52486482167115045</v>
      </c>
      <c r="EB81" s="200">
        <f t="shared" si="106"/>
        <v>0</v>
      </c>
    </row>
    <row r="82" spans="1:132" ht="17" thickBot="1">
      <c r="A82" s="218" t="s">
        <v>1028</v>
      </c>
      <c r="B82" s="342" t="s">
        <v>1249</v>
      </c>
      <c r="C82" s="347">
        <v>125789</v>
      </c>
      <c r="D82" s="207">
        <v>3</v>
      </c>
      <c r="E82" s="207">
        <v>0</v>
      </c>
      <c r="F82" s="206">
        <v>46670</v>
      </c>
      <c r="H82" s="108">
        <f t="shared" si="73"/>
        <v>46670</v>
      </c>
      <c r="I82" s="109">
        <v>0.37437999999999999</v>
      </c>
      <c r="J82" s="208">
        <v>1219511</v>
      </c>
      <c r="K82" s="208">
        <v>405659</v>
      </c>
      <c r="L82" s="115">
        <f t="shared" si="93"/>
        <v>1625170</v>
      </c>
      <c r="M82" s="110">
        <f t="shared" si="74"/>
        <v>12.919810158280931</v>
      </c>
      <c r="N82" s="208">
        <v>139412</v>
      </c>
      <c r="O82" s="208">
        <v>45374</v>
      </c>
      <c r="P82" s="222">
        <v>22615</v>
      </c>
      <c r="Q82" s="115">
        <v>207401</v>
      </c>
      <c r="R82" s="110">
        <f t="shared" si="75"/>
        <v>1.6488007695426468</v>
      </c>
      <c r="S82" s="222">
        <v>168994</v>
      </c>
      <c r="T82" s="208">
        <v>2001565</v>
      </c>
      <c r="U82" s="208">
        <v>0</v>
      </c>
      <c r="V82" s="208">
        <v>2001565</v>
      </c>
      <c r="W82" s="110">
        <f t="shared" si="76"/>
        <v>15.912082932529872</v>
      </c>
      <c r="X82" s="111">
        <f t="shared" si="94"/>
        <v>0.811949649399345</v>
      </c>
      <c r="Y82" s="111">
        <f t="shared" si="95"/>
        <v>0.10361941780556715</v>
      </c>
      <c r="Z82" s="111">
        <f t="shared" si="96"/>
        <v>8.4430932795087843E-2</v>
      </c>
      <c r="AA82" s="111">
        <f t="shared" si="97"/>
        <v>0</v>
      </c>
      <c r="AB82" s="208">
        <v>17908</v>
      </c>
      <c r="AE82" s="208"/>
      <c r="AF82" s="208">
        <v>2001565</v>
      </c>
      <c r="AG82" s="208">
        <v>1950417</v>
      </c>
      <c r="AH82" s="208"/>
      <c r="AI82" s="115">
        <f t="shared" si="77"/>
        <v>3951982</v>
      </c>
      <c r="AJ82" s="110">
        <f t="shared" si="78"/>
        <v>31.417548434282807</v>
      </c>
      <c r="AK82" s="208">
        <v>242279</v>
      </c>
      <c r="AL82" s="208">
        <v>26301</v>
      </c>
      <c r="AM82" s="208">
        <v>42757</v>
      </c>
      <c r="AN82" s="208"/>
      <c r="AO82" s="115">
        <f t="shared" si="98"/>
        <v>42757</v>
      </c>
      <c r="AP82" s="208">
        <v>2261754</v>
      </c>
      <c r="AQ82" s="112">
        <f t="shared" si="79"/>
        <v>17.980538838849185</v>
      </c>
      <c r="AR82" s="208"/>
      <c r="AS82" s="222">
        <v>0</v>
      </c>
      <c r="AT82" s="208">
        <v>0</v>
      </c>
      <c r="AU82" s="222">
        <v>0</v>
      </c>
      <c r="AV82" s="222">
        <v>0</v>
      </c>
      <c r="AW82" s="208"/>
      <c r="AX82" s="222">
        <v>14058</v>
      </c>
      <c r="AY82" s="115">
        <f t="shared" si="99"/>
        <v>14058</v>
      </c>
      <c r="AZ82" s="206">
        <v>131334</v>
      </c>
      <c r="BA82" s="109">
        <f t="shared" si="80"/>
        <v>1.0440817559564033</v>
      </c>
      <c r="BB82" s="223">
        <v>5245</v>
      </c>
      <c r="BC82" s="223">
        <v>5245</v>
      </c>
      <c r="BD82" s="223">
        <v>5037</v>
      </c>
      <c r="BE82" s="223">
        <v>2098</v>
      </c>
      <c r="BF82" s="223">
        <v>111280</v>
      </c>
      <c r="BG82" s="223">
        <v>9</v>
      </c>
      <c r="BH82" s="223">
        <v>89</v>
      </c>
      <c r="BI82" s="206">
        <v>0</v>
      </c>
      <c r="BJ82" s="116">
        <f t="shared" si="100"/>
        <v>98</v>
      </c>
      <c r="BK82" s="223">
        <v>283275</v>
      </c>
      <c r="BL82" s="109">
        <f t="shared" si="81"/>
        <v>2.2519854677277027</v>
      </c>
      <c r="BM82" s="223">
        <v>178</v>
      </c>
      <c r="BN82" s="206">
        <v>98449</v>
      </c>
      <c r="BO82" s="109">
        <f t="shared" si="82"/>
        <v>0.78265190119962791</v>
      </c>
      <c r="BP82" s="206">
        <v>75587</v>
      </c>
      <c r="BQ82" s="206">
        <v>0</v>
      </c>
      <c r="BR82" s="230">
        <f t="shared" si="101"/>
        <v>163011</v>
      </c>
      <c r="BS82" s="230">
        <v>61677</v>
      </c>
      <c r="BT82" s="223">
        <v>224688</v>
      </c>
      <c r="BU82" s="109">
        <f t="shared" si="83"/>
        <v>1.786229320528822</v>
      </c>
      <c r="BV82" s="108">
        <f t="shared" si="108"/>
        <v>6338.1664315937933</v>
      </c>
      <c r="BW82" s="109">
        <f t="shared" si="84"/>
        <v>36.327890056588522</v>
      </c>
      <c r="BX82" s="109">
        <f t="shared" si="85"/>
        <v>1.625453045988237</v>
      </c>
      <c r="BY82" s="109">
        <f t="shared" si="102"/>
        <v>0.79317977230606296</v>
      </c>
      <c r="BZ82" s="206">
        <v>442</v>
      </c>
      <c r="CA82" s="206">
        <v>87</v>
      </c>
      <c r="CB82" s="206">
        <v>128</v>
      </c>
      <c r="CC82" s="113">
        <f t="shared" si="103"/>
        <v>657</v>
      </c>
      <c r="CD82" s="206">
        <v>13561</v>
      </c>
      <c r="CE82" s="206">
        <v>1914</v>
      </c>
      <c r="CF82" s="206">
        <v>1964</v>
      </c>
      <c r="CG82" s="116">
        <f t="shared" si="104"/>
        <v>17439</v>
      </c>
      <c r="CH82" s="109">
        <f t="shared" si="86"/>
        <v>0.13863692373736972</v>
      </c>
      <c r="CI82" s="206">
        <v>138231</v>
      </c>
      <c r="CJ82" s="109">
        <f t="shared" si="87"/>
        <v>1.0989116695418519</v>
      </c>
      <c r="CK82" s="223">
        <v>46700</v>
      </c>
      <c r="CL82" s="209" t="s">
        <v>7</v>
      </c>
      <c r="CM82" s="209" t="s">
        <v>7</v>
      </c>
      <c r="CN82" s="209" t="s">
        <v>7</v>
      </c>
      <c r="CO82" s="210">
        <v>10</v>
      </c>
      <c r="CP82" s="108">
        <f t="shared" si="110"/>
        <v>12578.9</v>
      </c>
      <c r="CQ82" s="210">
        <v>4.1500000000000004</v>
      </c>
      <c r="CR82" s="210">
        <v>21.3</v>
      </c>
      <c r="CS82" s="180">
        <f t="shared" si="105"/>
        <v>35.450000000000003</v>
      </c>
      <c r="CT82" s="108">
        <f t="shared" si="109"/>
        <v>3548.3497884344142</v>
      </c>
      <c r="CU82" s="206">
        <v>559</v>
      </c>
      <c r="CV82" s="208">
        <v>86372</v>
      </c>
      <c r="CW82" s="210">
        <v>40</v>
      </c>
      <c r="CX82" s="209" t="s">
        <v>7</v>
      </c>
      <c r="CY82" s="209" t="s">
        <v>7</v>
      </c>
      <c r="CZ82" s="206">
        <v>14779</v>
      </c>
      <c r="DA82" s="206">
        <v>8492</v>
      </c>
      <c r="DB82" s="206">
        <v>121</v>
      </c>
      <c r="DC82" s="206">
        <v>34914</v>
      </c>
      <c r="DD82" s="206">
        <v>56489</v>
      </c>
      <c r="DE82" s="206">
        <v>56489</v>
      </c>
      <c r="DF82" s="206">
        <v>8128</v>
      </c>
      <c r="DG82" s="206">
        <v>52</v>
      </c>
      <c r="DH82" s="210">
        <f t="shared" si="88"/>
        <v>6.4616142905977475E-2</v>
      </c>
      <c r="DI82" s="206">
        <v>69</v>
      </c>
      <c r="DJ82" s="206">
        <v>69</v>
      </c>
      <c r="DL82" s="347">
        <v>6185</v>
      </c>
      <c r="DM82" s="205"/>
      <c r="DN82" s="209" t="s">
        <v>1112</v>
      </c>
      <c r="DO82" s="209" t="s">
        <v>125</v>
      </c>
      <c r="DP82" s="209"/>
      <c r="DQ82" s="207"/>
      <c r="DR82" s="218" t="s">
        <v>1028</v>
      </c>
      <c r="DS82" s="205" t="s">
        <v>1028</v>
      </c>
      <c r="DT82" s="229">
        <v>43282</v>
      </c>
      <c r="DU82" s="229">
        <v>43646</v>
      </c>
      <c r="DV82" s="218" t="s">
        <v>1028</v>
      </c>
      <c r="DW82" s="109">
        <f t="shared" si="89"/>
        <v>0.60090309963510324</v>
      </c>
      <c r="DX82" s="109">
        <f t="shared" si="90"/>
        <v>0</v>
      </c>
      <c r="DY82" s="109">
        <f t="shared" si="91"/>
        <v>1.2959082272694751</v>
      </c>
      <c r="DZ82" s="109">
        <f t="shared" si="92"/>
        <v>0.49032109325934703</v>
      </c>
      <c r="EA82" s="110">
        <f t="shared" si="107"/>
        <v>0.58429659930091615</v>
      </c>
      <c r="EB82" s="200">
        <f t="shared" si="106"/>
        <v>0.73567131994098289</v>
      </c>
    </row>
    <row r="83" spans="1:132" ht="17" thickBot="1">
      <c r="A83" s="218" t="s">
        <v>1029</v>
      </c>
      <c r="B83" s="342" t="s">
        <v>1250</v>
      </c>
      <c r="C83" s="349">
        <v>82781</v>
      </c>
      <c r="D83" s="207">
        <v>5</v>
      </c>
      <c r="E83" s="207">
        <v>1</v>
      </c>
      <c r="F83" s="206">
        <v>53763</v>
      </c>
      <c r="H83" s="108">
        <f t="shared" si="73"/>
        <v>53763</v>
      </c>
      <c r="I83" s="109">
        <v>0.65651000000000004</v>
      </c>
      <c r="J83" s="208">
        <v>1016722</v>
      </c>
      <c r="K83" s="208">
        <v>361504</v>
      </c>
      <c r="L83" s="115">
        <f t="shared" si="93"/>
        <v>1378226</v>
      </c>
      <c r="M83" s="110">
        <f t="shared" si="74"/>
        <v>16.649061982822147</v>
      </c>
      <c r="N83" s="208">
        <v>79571</v>
      </c>
      <c r="O83" s="208">
        <v>18521</v>
      </c>
      <c r="P83" s="222">
        <v>5895</v>
      </c>
      <c r="Q83" s="115">
        <v>103987</v>
      </c>
      <c r="R83" s="110">
        <f t="shared" si="75"/>
        <v>1.2561698940578152</v>
      </c>
      <c r="S83" s="222">
        <v>523324</v>
      </c>
      <c r="T83" s="208">
        <v>2005537</v>
      </c>
      <c r="U83" s="208">
        <v>0</v>
      </c>
      <c r="V83" s="208">
        <v>2005537</v>
      </c>
      <c r="W83" s="110">
        <f t="shared" si="76"/>
        <v>24.227020693154227</v>
      </c>
      <c r="X83" s="111">
        <f t="shared" si="94"/>
        <v>0.68721045784744939</v>
      </c>
      <c r="Y83" s="111">
        <f t="shared" si="95"/>
        <v>5.1849953404001024E-2</v>
      </c>
      <c r="Z83" s="111">
        <f t="shared" si="96"/>
        <v>0.26093958874854967</v>
      </c>
      <c r="AA83" s="111">
        <f t="shared" si="97"/>
        <v>0</v>
      </c>
      <c r="AB83" s="208">
        <v>10178</v>
      </c>
      <c r="AE83" s="208"/>
      <c r="AF83" s="208">
        <v>2005537</v>
      </c>
      <c r="AG83" s="208">
        <v>1753222</v>
      </c>
      <c r="AH83" s="208"/>
      <c r="AI83" s="115">
        <f t="shared" si="77"/>
        <v>3758759</v>
      </c>
      <c r="AJ83" s="110">
        <f t="shared" si="78"/>
        <v>45.406059361447674</v>
      </c>
      <c r="AK83" s="208">
        <v>128295</v>
      </c>
      <c r="AL83" s="208">
        <v>93732</v>
      </c>
      <c r="AM83" s="208">
        <v>4321</v>
      </c>
      <c r="AN83" s="208"/>
      <c r="AO83" s="115">
        <f t="shared" si="98"/>
        <v>4321</v>
      </c>
      <c r="AP83" s="208">
        <v>1979570</v>
      </c>
      <c r="AQ83" s="112">
        <f t="shared" si="79"/>
        <v>23.91333760162356</v>
      </c>
      <c r="AR83" s="208"/>
      <c r="AS83" s="222">
        <v>387164</v>
      </c>
      <c r="AT83" s="208">
        <v>0</v>
      </c>
      <c r="AU83" s="222">
        <v>0</v>
      </c>
      <c r="AV83" s="222">
        <v>0</v>
      </c>
      <c r="AW83" s="208"/>
      <c r="AX83" s="222">
        <v>0</v>
      </c>
      <c r="AY83" s="115">
        <f t="shared" si="99"/>
        <v>387164</v>
      </c>
      <c r="AZ83" s="206">
        <v>189687</v>
      </c>
      <c r="BA83" s="109">
        <f t="shared" si="80"/>
        <v>2.2914316087024802</v>
      </c>
      <c r="BB83" s="223">
        <v>3377</v>
      </c>
      <c r="BC83" s="223">
        <v>3377</v>
      </c>
      <c r="BD83" s="223">
        <v>7538</v>
      </c>
      <c r="BE83" s="223">
        <v>1752</v>
      </c>
      <c r="BF83" s="223">
        <v>72908</v>
      </c>
      <c r="BG83" s="223">
        <v>3</v>
      </c>
      <c r="BH83" s="223">
        <v>89</v>
      </c>
      <c r="BI83" s="206">
        <v>0</v>
      </c>
      <c r="BJ83" s="116">
        <f t="shared" si="100"/>
        <v>92</v>
      </c>
      <c r="BK83" s="223">
        <v>288619</v>
      </c>
      <c r="BL83" s="109">
        <f t="shared" si="81"/>
        <v>3.4865367656829465</v>
      </c>
      <c r="BM83" s="223">
        <v>87</v>
      </c>
      <c r="BN83" s="206">
        <v>20903</v>
      </c>
      <c r="BO83" s="109">
        <f t="shared" si="82"/>
        <v>0.25250963385317887</v>
      </c>
      <c r="BP83" s="206">
        <v>93283</v>
      </c>
      <c r="BQ83" s="206">
        <v>0</v>
      </c>
      <c r="BR83" s="230">
        <f t="shared" si="101"/>
        <v>205985</v>
      </c>
      <c r="BS83" s="230">
        <v>36625</v>
      </c>
      <c r="BT83" s="223">
        <v>242610</v>
      </c>
      <c r="BU83" s="109">
        <f t="shared" si="83"/>
        <v>2.9307449777122772</v>
      </c>
      <c r="BV83" s="108">
        <f t="shared" si="108"/>
        <v>7795.9511568123389</v>
      </c>
      <c r="BW83" s="109">
        <f t="shared" si="84"/>
        <v>27.481875849569551</v>
      </c>
      <c r="BX83" s="109">
        <f t="shared" si="85"/>
        <v>1.9993077702786224</v>
      </c>
      <c r="BY83" s="109">
        <f t="shared" si="102"/>
        <v>0.84058915040243365</v>
      </c>
      <c r="BZ83" s="206">
        <v>433</v>
      </c>
      <c r="CA83" s="206">
        <v>77</v>
      </c>
      <c r="CB83" s="206">
        <v>85</v>
      </c>
      <c r="CC83" s="113">
        <f t="shared" si="103"/>
        <v>595</v>
      </c>
      <c r="CD83" s="206">
        <v>9504</v>
      </c>
      <c r="CE83" s="206">
        <v>2521</v>
      </c>
      <c r="CF83" s="206">
        <v>5807</v>
      </c>
      <c r="CG83" s="116">
        <f t="shared" si="104"/>
        <v>17832</v>
      </c>
      <c r="CH83" s="109">
        <f t="shared" si="86"/>
        <v>0.21541174907285487</v>
      </c>
      <c r="CI83" s="206">
        <v>121347</v>
      </c>
      <c r="CJ83" s="109">
        <f t="shared" si="87"/>
        <v>1.4658798516567813</v>
      </c>
      <c r="CK83" s="223">
        <v>38618</v>
      </c>
      <c r="CL83" s="209" t="s">
        <v>7</v>
      </c>
      <c r="CM83" s="209" t="s">
        <v>7</v>
      </c>
      <c r="CN83" s="209" t="s">
        <v>7</v>
      </c>
      <c r="CO83" s="210">
        <v>6</v>
      </c>
      <c r="CP83" s="108">
        <f t="shared" si="110"/>
        <v>13796.833333333334</v>
      </c>
      <c r="CQ83" s="210">
        <v>1</v>
      </c>
      <c r="CR83" s="210">
        <v>24.12</v>
      </c>
      <c r="CS83" s="180">
        <f t="shared" si="105"/>
        <v>31.12</v>
      </c>
      <c r="CT83" s="108">
        <f t="shared" si="109"/>
        <v>2660.0578406169666</v>
      </c>
      <c r="CU83" s="206">
        <v>369</v>
      </c>
      <c r="CV83" s="208">
        <v>82404</v>
      </c>
      <c r="CW83" s="210">
        <v>40</v>
      </c>
      <c r="CX83" s="209" t="s">
        <v>7</v>
      </c>
      <c r="CY83" s="209" t="s">
        <v>7</v>
      </c>
      <c r="CZ83" s="206">
        <v>47</v>
      </c>
      <c r="DA83" s="206">
        <v>79</v>
      </c>
      <c r="DB83" s="206">
        <v>87</v>
      </c>
      <c r="DC83" s="206">
        <v>18068</v>
      </c>
      <c r="DD83" s="206">
        <v>24299</v>
      </c>
      <c r="DE83" s="206" t="s">
        <v>1115</v>
      </c>
      <c r="DF83" s="206">
        <v>11063</v>
      </c>
      <c r="DG83" s="206">
        <v>52</v>
      </c>
      <c r="DH83" s="210">
        <f t="shared" si="88"/>
        <v>0.13364177770261293</v>
      </c>
      <c r="DI83" s="206">
        <v>48</v>
      </c>
      <c r="DJ83" s="206">
        <v>48</v>
      </c>
      <c r="DL83" s="349">
        <v>8828</v>
      </c>
      <c r="DM83" s="205"/>
      <c r="DN83" s="209" t="s">
        <v>1113</v>
      </c>
      <c r="DO83" s="209" t="s">
        <v>125</v>
      </c>
      <c r="DP83" s="209"/>
      <c r="DQ83" s="207"/>
      <c r="DR83" s="218" t="s">
        <v>1029</v>
      </c>
      <c r="DS83" s="205" t="s">
        <v>1029</v>
      </c>
      <c r="DT83" s="229">
        <v>43282</v>
      </c>
      <c r="DU83" s="229">
        <v>43646</v>
      </c>
      <c r="DV83" s="218" t="s">
        <v>1029</v>
      </c>
      <c r="DW83" s="109">
        <f t="shared" si="89"/>
        <v>1.1268648602940288</v>
      </c>
      <c r="DX83" s="109">
        <f t="shared" si="90"/>
        <v>0</v>
      </c>
      <c r="DY83" s="109">
        <f t="shared" si="91"/>
        <v>2.4883125354851958</v>
      </c>
      <c r="DZ83" s="109">
        <f t="shared" si="92"/>
        <v>0.44243244222708111</v>
      </c>
      <c r="EA83" s="110">
        <f t="shared" si="107"/>
        <v>0.26588542710881219</v>
      </c>
      <c r="EB83" s="200">
        <f t="shared" si="106"/>
        <v>0.50569283276450516</v>
      </c>
    </row>
    <row r="84" spans="1:132" s="118" customFormat="1" ht="16" thickBot="1">
      <c r="B84" s="87" t="s">
        <v>927</v>
      </c>
      <c r="C84" s="206"/>
      <c r="D84" s="53">
        <f>SUM(D2:D83)</f>
        <v>316</v>
      </c>
      <c r="E84" s="53">
        <f>SUM(E2:E83)</f>
        <v>20</v>
      </c>
      <c r="F84" s="53">
        <f>SUM(F2:F83)</f>
        <v>4702643</v>
      </c>
      <c r="G84" s="53">
        <f>SUM(G2:G83)</f>
        <v>0</v>
      </c>
      <c r="H84" s="53">
        <f>SUM(H2:H83)</f>
        <v>4702643</v>
      </c>
      <c r="I84" s="158">
        <f>AVERAGE(I2:I83)</f>
        <v>0.55860402439024393</v>
      </c>
      <c r="J84" s="61">
        <f t="shared" ref="J84:Q84" si="111">SUM(J2:J83)</f>
        <v>123539168</v>
      </c>
      <c r="K84" s="61">
        <f t="shared" si="111"/>
        <v>50597810</v>
      </c>
      <c r="L84" s="61">
        <f t="shared" si="111"/>
        <v>174136978</v>
      </c>
      <c r="M84" s="170">
        <f t="shared" si="111"/>
        <v>1417.5996518937991</v>
      </c>
      <c r="N84" s="61">
        <f t="shared" si="111"/>
        <v>16283387.1</v>
      </c>
      <c r="O84" s="61">
        <f t="shared" si="111"/>
        <v>9143072.3099999987</v>
      </c>
      <c r="P84" s="54">
        <f t="shared" si="111"/>
        <v>2134238.63</v>
      </c>
      <c r="Q84" s="54">
        <f t="shared" si="111"/>
        <v>27560698.039999999</v>
      </c>
      <c r="R84" s="72">
        <f>AVERAGE(R2:R83)</f>
        <v>2.4316584674325834</v>
      </c>
      <c r="S84" s="54">
        <f>SUM(S2:S83)</f>
        <v>43231958.060000002</v>
      </c>
      <c r="T84" s="54">
        <f>SUM(T2:T83)</f>
        <v>244929634.09999999</v>
      </c>
      <c r="U84" s="54">
        <f>SUM(U2:U83)</f>
        <v>97195</v>
      </c>
      <c r="V84" s="54">
        <f>SUM(V2:V83)</f>
        <v>244929634.09999999</v>
      </c>
      <c r="W84" s="72">
        <f>AVERAGE(W2:W83)</f>
        <v>23.785876426428075</v>
      </c>
      <c r="X84" s="73">
        <f>AVERAGE(X2:X83)</f>
        <v>0.73261416898678755</v>
      </c>
      <c r="Y84" s="73">
        <f>AVERAGE(Y2:Y83)</f>
        <v>0.10030630260243596</v>
      </c>
      <c r="Z84" s="73">
        <f>AVERAGE(Z2:Z83)</f>
        <v>0.16707952841077636</v>
      </c>
      <c r="AA84" s="73">
        <f>AVERAGE(AA2:AA83)</f>
        <v>6.7454827715878103E-4</v>
      </c>
      <c r="AB84" s="54">
        <f>SUM(AB2:AB83)</f>
        <v>44044446</v>
      </c>
      <c r="AC84" s="54">
        <f>SUM(AF2:AF83)</f>
        <v>244929634.09999999</v>
      </c>
      <c r="AD84" s="54">
        <f>SUM(AG2:AG83)</f>
        <v>203024829</v>
      </c>
      <c r="AE84" s="54">
        <f>SUM(AE2:AE83)</f>
        <v>0</v>
      </c>
      <c r="AF84" s="54">
        <f>SUM(AF2:AF83)</f>
        <v>244929634.09999999</v>
      </c>
      <c r="AG84" s="54">
        <f>SUM(AG2:AG83)</f>
        <v>203024829</v>
      </c>
      <c r="AH84" s="54">
        <f>SUM(AH2:AH83)</f>
        <v>0</v>
      </c>
      <c r="AI84" s="54">
        <f>SUM(AI2:AI83)</f>
        <v>447954463.10000002</v>
      </c>
      <c r="AJ84" s="117">
        <f>AVERAGE(AJ2:AJ83)</f>
        <v>38.540649192355723</v>
      </c>
      <c r="AK84" s="54">
        <f t="shared" ref="AK84:AP84" si="112">SUM(AK2:AK83)</f>
        <v>14415707</v>
      </c>
      <c r="AL84" s="54">
        <f t="shared" si="112"/>
        <v>1570272</v>
      </c>
      <c r="AM84" s="54">
        <f t="shared" si="112"/>
        <v>15082442</v>
      </c>
      <c r="AN84" s="54">
        <f t="shared" si="112"/>
        <v>0</v>
      </c>
      <c r="AO84" s="54">
        <f t="shared" si="112"/>
        <v>15082442</v>
      </c>
      <c r="AP84" s="54">
        <f t="shared" si="112"/>
        <v>262746089</v>
      </c>
      <c r="AQ84" s="72">
        <f>AVERAGE(AQ2:AQ83)</f>
        <v>25.179342187007585</v>
      </c>
      <c r="AR84" s="54">
        <f t="shared" ref="AR84:AZ84" si="113">SUM(AR2:AR83)</f>
        <v>0</v>
      </c>
      <c r="AS84" s="54">
        <f t="shared" si="113"/>
        <v>17731099</v>
      </c>
      <c r="AT84" s="54">
        <f t="shared" si="113"/>
        <v>0</v>
      </c>
      <c r="AU84" s="54">
        <f t="shared" si="113"/>
        <v>450000</v>
      </c>
      <c r="AV84" s="54">
        <f t="shared" si="113"/>
        <v>144136</v>
      </c>
      <c r="AW84" s="54">
        <f t="shared" si="113"/>
        <v>0</v>
      </c>
      <c r="AX84" s="54">
        <f t="shared" si="113"/>
        <v>967789</v>
      </c>
      <c r="AY84" s="54">
        <f t="shared" si="113"/>
        <v>19293024</v>
      </c>
      <c r="AZ84" s="53">
        <f t="shared" si="113"/>
        <v>15011479</v>
      </c>
      <c r="BA84" s="74">
        <f>AVERAGE(BA2:BA83)</f>
        <v>1.8180562645258997</v>
      </c>
      <c r="BB84" s="53">
        <f t="shared" ref="BB84:BK84" si="114">SUM(BB2:BB83)</f>
        <v>617880</v>
      </c>
      <c r="BC84" s="53">
        <f t="shared" si="114"/>
        <v>617880</v>
      </c>
      <c r="BD84" s="53">
        <f t="shared" si="114"/>
        <v>929342</v>
      </c>
      <c r="BE84" s="53">
        <f t="shared" si="114"/>
        <v>243944</v>
      </c>
      <c r="BF84" s="53">
        <f t="shared" si="114"/>
        <v>9941227</v>
      </c>
      <c r="BG84" s="53">
        <f t="shared" si="114"/>
        <v>509</v>
      </c>
      <c r="BH84" s="53">
        <f t="shared" si="114"/>
        <v>7298</v>
      </c>
      <c r="BI84" s="53">
        <f t="shared" si="114"/>
        <v>0</v>
      </c>
      <c r="BJ84" s="53">
        <f t="shared" si="114"/>
        <v>7807</v>
      </c>
      <c r="BK84" s="53">
        <f t="shared" si="114"/>
        <v>29240741</v>
      </c>
      <c r="BL84" s="74">
        <f>AVERAGE(BL2:BL83)</f>
        <v>5.2497504786709221</v>
      </c>
      <c r="BM84" s="53">
        <f>SUM(BM2:BM83)</f>
        <v>14350</v>
      </c>
      <c r="BN84" s="53">
        <f>SUM(BN2:BN83)</f>
        <v>5528463</v>
      </c>
      <c r="BO84" s="74">
        <f>AVERAGE(BO2:BO83)</f>
        <v>0.47751293359349556</v>
      </c>
      <c r="BP84" s="53">
        <f>SUM(BP2:BP83)</f>
        <v>17504576</v>
      </c>
      <c r="BQ84" s="53">
        <f>SUM(BQ2:BQ83)</f>
        <v>0</v>
      </c>
      <c r="BR84" s="53">
        <f>SUM(BR2:BR83)</f>
        <v>33113314</v>
      </c>
      <c r="BS84" s="53">
        <f>SUM(BS2:BS83)</f>
        <v>29216695</v>
      </c>
      <c r="BT84" s="53">
        <f>SUM(BT2:BT83)</f>
        <v>62330009</v>
      </c>
      <c r="BU84" s="74">
        <f>AVERAGE(BU2:BU83)</f>
        <v>4.175997303907768</v>
      </c>
      <c r="BV84" s="53">
        <f>SUM(BV2:BV83)</f>
        <v>1020129.3165947961</v>
      </c>
      <c r="BW84" s="74">
        <f>AVERAGE(BW2:BW83)</f>
        <v>64.441531851566012</v>
      </c>
      <c r="BX84" s="74">
        <f>AVERAGE(BX2:BX83)</f>
        <v>1.9800662230484027</v>
      </c>
      <c r="BY84" s="74">
        <f>AVERAGE(BY2:BY83)</f>
        <v>1.275205534905776</v>
      </c>
      <c r="BZ84" s="53">
        <f t="shared" ref="BZ84:CG84" si="115">SUM(BZ2:BZ83)</f>
        <v>68383</v>
      </c>
      <c r="CA84" s="53">
        <f t="shared" si="115"/>
        <v>9642</v>
      </c>
      <c r="CB84" s="53">
        <f t="shared" si="115"/>
        <v>31088</v>
      </c>
      <c r="CC84" s="53">
        <f t="shared" si="115"/>
        <v>109113</v>
      </c>
      <c r="CD84" s="53">
        <f t="shared" si="115"/>
        <v>1971775</v>
      </c>
      <c r="CE84" s="53">
        <f t="shared" si="115"/>
        <v>145824</v>
      </c>
      <c r="CF84" s="53">
        <f t="shared" si="115"/>
        <v>487726</v>
      </c>
      <c r="CG84" s="53">
        <f t="shared" si="115"/>
        <v>2605325</v>
      </c>
      <c r="CH84" s="74">
        <f>AVERAGE(CH2:CH83)</f>
        <v>0.25037138726775787</v>
      </c>
      <c r="CI84" s="53">
        <v>70316664</v>
      </c>
      <c r="CJ84" s="74">
        <f>AVERAGE(CJ2:CJ83)</f>
        <v>2.1109883695462304</v>
      </c>
      <c r="CK84" s="53">
        <f>SUM(CK2:CK83)</f>
        <v>5813803</v>
      </c>
      <c r="CL84" s="55">
        <f>COUNTIFS(CL2:CL83,"=YES")</f>
        <v>81</v>
      </c>
      <c r="CM84" s="55">
        <f>COUNTIFS(CM2:CM83,"=YES")</f>
        <v>82</v>
      </c>
      <c r="CN84" s="55">
        <f>COUNTIFS(CN2:CN83,"=YES")</f>
        <v>82</v>
      </c>
      <c r="CO84" s="60">
        <f>AVERAGE(CO2:CO83)</f>
        <v>9.4025609756097559</v>
      </c>
      <c r="CP84" s="53">
        <f>AVERAGE(CP2:CP83)</f>
        <v>16297.159833081027</v>
      </c>
      <c r="CQ84" s="60">
        <f>SUM(CQ2:CQ83)</f>
        <v>59.169999999999995</v>
      </c>
      <c r="CR84" s="60">
        <f>SUM(CR2:CR83)</f>
        <v>2290.3200000000002</v>
      </c>
      <c r="CS84" s="75">
        <f>AVERAGE(CS2:CS83)</f>
        <v>38.054878048780481</v>
      </c>
      <c r="CT84" s="77">
        <f>AVERAGE(CT2:CT83)</f>
        <v>3525.7294518176614</v>
      </c>
      <c r="CU84" s="53">
        <f>SUM(CU2:CU83)</f>
        <v>165730.66999999998</v>
      </c>
      <c r="CV84" s="76">
        <f>AVERAGE(CV2:CV83)</f>
        <v>80521.951280487803</v>
      </c>
      <c r="CW84" s="168">
        <f>AVERAGE(CW2:CW83)</f>
        <v>37.307317073170729</v>
      </c>
      <c r="CX84" s="55">
        <f>COUNTIFS(CX2:CX83,"=YES")</f>
        <v>81</v>
      </c>
      <c r="CY84" s="55">
        <f>COUNTIFS(CY2:CY83,"=YES")</f>
        <v>80</v>
      </c>
      <c r="CZ84" s="53">
        <f t="shared" ref="CZ84:DF84" si="116">SUM(CZ2:CZ83)</f>
        <v>435440</v>
      </c>
      <c r="DA84" s="53">
        <f t="shared" si="116"/>
        <v>422149</v>
      </c>
      <c r="DB84" s="53">
        <f t="shared" si="116"/>
        <v>7539</v>
      </c>
      <c r="DC84" s="53">
        <f t="shared" si="116"/>
        <v>3242265</v>
      </c>
      <c r="DD84" s="53">
        <f t="shared" si="116"/>
        <v>4867204</v>
      </c>
      <c r="DE84" s="53">
        <f t="shared" si="116"/>
        <v>37335481</v>
      </c>
      <c r="DF84" s="53">
        <f t="shared" si="116"/>
        <v>950930</v>
      </c>
      <c r="DG84" s="53">
        <f>AVERAGE(DG2:DG83)</f>
        <v>50.524390243902438</v>
      </c>
      <c r="DH84" s="53">
        <f>AVERAGE(DH2:DH83)</f>
        <v>0.13459697965437967</v>
      </c>
      <c r="DI84" s="53">
        <f>AVERAGE(DI2:DI83)</f>
        <v>45.975609756097562</v>
      </c>
      <c r="DJ84" s="53">
        <f>AVERAGE(DJ2:DJ83)</f>
        <v>45.780487804878049</v>
      </c>
      <c r="DK84" s="53">
        <f>SUM(DK2:DK83)</f>
        <v>179264</v>
      </c>
      <c r="DL84" s="53">
        <f>SUM(DL2:DL83)</f>
        <v>739631.5</v>
      </c>
      <c r="DM84" s="156"/>
      <c r="DN84" s="56" t="s">
        <v>913</v>
      </c>
      <c r="DO84" s="59" t="s">
        <v>913</v>
      </c>
      <c r="DP84" s="56">
        <f>COUNTIFS(DP2:DP83,"=MEMBER")</f>
        <v>0</v>
      </c>
      <c r="DQ84" s="157"/>
      <c r="DR84" s="57" t="s">
        <v>913</v>
      </c>
      <c r="DS84" s="58" t="s">
        <v>913</v>
      </c>
      <c r="DT84" s="58" t="s">
        <v>913</v>
      </c>
      <c r="DU84" s="58" t="s">
        <v>913</v>
      </c>
      <c r="DV84" s="58" t="s">
        <v>913</v>
      </c>
      <c r="DW84" s="184">
        <f t="shared" ref="DW84:EB84" si="117">AVERAGE(DW2:DW83)</f>
        <v>1.2571928523466971</v>
      </c>
      <c r="DX84" s="184">
        <f t="shared" si="117"/>
        <v>0</v>
      </c>
      <c r="DY84" s="184">
        <f t="shared" si="117"/>
        <v>2.739861546619986</v>
      </c>
      <c r="DZ84" s="184">
        <f t="shared" si="117"/>
        <v>1.4361357572877798</v>
      </c>
      <c r="EA84" s="202">
        <f t="shared" si="117"/>
        <v>0.49983097653631681</v>
      </c>
      <c r="EB84" s="202">
        <f t="shared" si="117"/>
        <v>0.53005193551369711</v>
      </c>
    </row>
    <row r="85" spans="1:132">
      <c r="A85" s="70"/>
      <c r="B85" s="70"/>
      <c r="C85" s="38"/>
      <c r="D85" s="38"/>
      <c r="E85" s="78"/>
      <c r="F85" s="38"/>
      <c r="H85" s="38"/>
      <c r="I85" s="39"/>
      <c r="J85" s="71"/>
      <c r="K85" s="71"/>
      <c r="L85" s="71"/>
      <c r="M85" s="162"/>
      <c r="N85" s="71"/>
      <c r="O85" s="71"/>
      <c r="P85" s="71"/>
      <c r="Q85" s="71"/>
      <c r="R85" s="162"/>
      <c r="S85" s="71"/>
      <c r="T85" s="71"/>
      <c r="U85" s="71"/>
      <c r="V85" s="71"/>
      <c r="W85" s="162"/>
      <c r="X85" s="80"/>
      <c r="Y85" s="80"/>
      <c r="Z85" s="80"/>
      <c r="AA85" s="80"/>
      <c r="AB85" s="71"/>
      <c r="AC85" s="71"/>
      <c r="AD85" s="71"/>
      <c r="AE85" s="71"/>
      <c r="AF85" s="71"/>
      <c r="AG85" s="71"/>
      <c r="AH85" s="71"/>
      <c r="AI85" s="71"/>
      <c r="AJ85" s="162"/>
      <c r="AK85" s="71"/>
      <c r="AL85" s="71"/>
      <c r="AM85" s="71"/>
      <c r="AN85" s="71"/>
      <c r="AO85" s="71"/>
      <c r="AP85" s="71"/>
      <c r="AQ85" s="162"/>
      <c r="AR85" s="71"/>
      <c r="AS85" s="71"/>
      <c r="AT85" s="71"/>
      <c r="AU85" s="71"/>
      <c r="AV85" s="71"/>
      <c r="AW85" s="71"/>
      <c r="AX85" s="71"/>
      <c r="AY85" s="71"/>
      <c r="AZ85" s="38"/>
      <c r="BA85" s="81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81"/>
      <c r="BM85" s="38"/>
      <c r="BN85" s="38"/>
      <c r="BO85" s="81"/>
      <c r="BP85" s="38"/>
      <c r="BQ85" s="38"/>
      <c r="BR85" s="38"/>
      <c r="BS85" s="38"/>
      <c r="BT85" s="82"/>
      <c r="BU85" s="173"/>
      <c r="BV85" s="38"/>
      <c r="BW85" s="83"/>
      <c r="BX85" s="83"/>
      <c r="BY85" s="83"/>
      <c r="BZ85" s="38"/>
      <c r="CA85" s="38"/>
      <c r="CB85" s="38"/>
      <c r="CC85" s="38"/>
      <c r="CD85" s="38"/>
      <c r="CE85" s="38"/>
      <c r="CF85" s="38"/>
      <c r="CG85" s="38"/>
      <c r="CH85" s="81"/>
      <c r="CI85" s="38"/>
      <c r="CJ85" s="81"/>
      <c r="CK85" s="38"/>
      <c r="CL85" s="84"/>
      <c r="CM85" s="84"/>
      <c r="CN85" s="84"/>
      <c r="CO85" s="175"/>
      <c r="CP85" s="38"/>
      <c r="CQ85" s="175"/>
      <c r="CR85" s="175"/>
      <c r="CS85" s="175"/>
      <c r="CT85" s="38"/>
      <c r="CU85" s="38"/>
      <c r="CV85" s="71"/>
      <c r="CW85" s="79"/>
      <c r="CX85" s="84"/>
      <c r="CY85" s="84"/>
      <c r="CZ85" s="38"/>
      <c r="DA85" s="38"/>
      <c r="DB85" s="182"/>
      <c r="DC85" s="85"/>
      <c r="DD85" s="38"/>
      <c r="DE85" s="38"/>
      <c r="DF85" s="85"/>
      <c r="DG85" s="38"/>
      <c r="DH85" s="38"/>
      <c r="DI85" s="38"/>
      <c r="DJ85" s="38"/>
      <c r="DK85" s="38"/>
      <c r="DL85" s="38"/>
      <c r="DM85" s="119"/>
      <c r="DN85" s="120"/>
      <c r="DO85" s="84"/>
      <c r="DP85" s="84"/>
      <c r="DQ85" s="70"/>
      <c r="DR85" s="70"/>
      <c r="DS85" s="70"/>
      <c r="DT85" s="70"/>
      <c r="DU85" s="70"/>
      <c r="DV85" s="86"/>
      <c r="DW85" s="185"/>
      <c r="DX85" s="173"/>
      <c r="DY85" s="186"/>
      <c r="DZ85" s="186"/>
    </row>
    <row r="86" spans="1:132">
      <c r="A86" s="191"/>
      <c r="B86" s="191">
        <v>2</v>
      </c>
      <c r="C86" s="192">
        <v>3</v>
      </c>
      <c r="D86" s="192">
        <v>4</v>
      </c>
      <c r="E86" s="191">
        <v>5</v>
      </c>
      <c r="F86" s="192">
        <v>6</v>
      </c>
      <c r="G86" s="192">
        <v>7</v>
      </c>
      <c r="H86" s="191">
        <v>8</v>
      </c>
      <c r="I86" s="192">
        <v>9</v>
      </c>
      <c r="J86" s="192">
        <v>10</v>
      </c>
      <c r="K86" s="191">
        <v>11</v>
      </c>
      <c r="L86" s="192">
        <v>12</v>
      </c>
      <c r="M86" s="192">
        <v>13</v>
      </c>
      <c r="N86" s="191">
        <v>14</v>
      </c>
      <c r="O86" s="192">
        <v>15</v>
      </c>
      <c r="P86" s="192">
        <v>16</v>
      </c>
      <c r="Q86" s="191">
        <v>17</v>
      </c>
      <c r="R86" s="192">
        <v>18</v>
      </c>
      <c r="S86" s="192">
        <v>19</v>
      </c>
      <c r="T86" s="191">
        <v>20</v>
      </c>
      <c r="U86" s="192">
        <v>21</v>
      </c>
      <c r="V86" s="192">
        <v>22</v>
      </c>
      <c r="W86" s="191">
        <v>23</v>
      </c>
      <c r="X86" s="192">
        <v>24</v>
      </c>
      <c r="Y86" s="192">
        <v>25</v>
      </c>
      <c r="Z86" s="191">
        <v>26</v>
      </c>
      <c r="AA86" s="192">
        <v>27</v>
      </c>
      <c r="AB86" s="192">
        <v>28</v>
      </c>
      <c r="AC86" s="191">
        <v>29</v>
      </c>
      <c r="AD86" s="192">
        <v>30</v>
      </c>
      <c r="AE86" s="192">
        <v>31</v>
      </c>
      <c r="AF86" s="191">
        <v>32</v>
      </c>
      <c r="AG86" s="192">
        <v>33</v>
      </c>
      <c r="AH86" s="192">
        <v>34</v>
      </c>
      <c r="AI86" s="191">
        <v>35</v>
      </c>
      <c r="AJ86" s="192">
        <v>36</v>
      </c>
      <c r="AK86" s="192">
        <v>37</v>
      </c>
      <c r="AL86" s="191">
        <v>38</v>
      </c>
      <c r="AM86" s="192">
        <v>39</v>
      </c>
      <c r="AN86" s="192">
        <v>40</v>
      </c>
      <c r="AO86" s="191">
        <v>41</v>
      </c>
      <c r="AP86" s="192">
        <v>42</v>
      </c>
      <c r="AQ86" s="192">
        <v>43</v>
      </c>
      <c r="AR86" s="191">
        <v>44</v>
      </c>
      <c r="AS86" s="192">
        <v>45</v>
      </c>
      <c r="AT86" s="192">
        <v>46</v>
      </c>
      <c r="AU86" s="191">
        <v>47</v>
      </c>
      <c r="AV86" s="192">
        <v>48</v>
      </c>
      <c r="AW86" s="192">
        <v>49</v>
      </c>
      <c r="AX86" s="191">
        <v>50</v>
      </c>
      <c r="AY86" s="192">
        <v>51</v>
      </c>
      <c r="AZ86" s="192">
        <v>52</v>
      </c>
      <c r="BA86" s="191">
        <v>53</v>
      </c>
      <c r="BB86" s="192">
        <v>54</v>
      </c>
      <c r="BC86" s="192">
        <v>55</v>
      </c>
      <c r="BD86" s="191">
        <v>56</v>
      </c>
      <c r="BE86" s="192">
        <v>57</v>
      </c>
      <c r="BF86" s="192">
        <v>58</v>
      </c>
      <c r="BG86" s="191">
        <v>59</v>
      </c>
      <c r="BH86" s="192">
        <v>60</v>
      </c>
      <c r="BI86" s="192">
        <v>61</v>
      </c>
      <c r="BJ86" s="191">
        <v>62</v>
      </c>
      <c r="BK86" s="192">
        <v>63</v>
      </c>
      <c r="BL86" s="192">
        <v>64</v>
      </c>
      <c r="BM86" s="191">
        <v>65</v>
      </c>
      <c r="BN86" s="192">
        <v>66</v>
      </c>
      <c r="BO86" s="192">
        <v>67</v>
      </c>
      <c r="BP86" s="191">
        <v>68</v>
      </c>
      <c r="BQ86" s="192">
        <v>69</v>
      </c>
      <c r="BR86" s="192">
        <v>70</v>
      </c>
      <c r="BS86" s="191">
        <v>71</v>
      </c>
      <c r="BT86" s="192">
        <v>72</v>
      </c>
      <c r="BU86" s="192">
        <v>73</v>
      </c>
      <c r="BV86" s="191">
        <v>74</v>
      </c>
      <c r="BW86" s="192">
        <v>75</v>
      </c>
      <c r="BX86" s="192">
        <v>76</v>
      </c>
      <c r="BY86" s="191">
        <v>77</v>
      </c>
      <c r="BZ86" s="192">
        <v>78</v>
      </c>
      <c r="CA86" s="192">
        <v>79</v>
      </c>
      <c r="CB86" s="191">
        <v>80</v>
      </c>
      <c r="CC86" s="192">
        <v>81</v>
      </c>
      <c r="CD86" s="192">
        <v>82</v>
      </c>
      <c r="CE86" s="191">
        <v>83</v>
      </c>
      <c r="CF86" s="192">
        <v>84</v>
      </c>
      <c r="CG86" s="192">
        <v>85</v>
      </c>
      <c r="CH86" s="191">
        <v>86</v>
      </c>
      <c r="CI86" s="192">
        <v>87</v>
      </c>
      <c r="CJ86" s="192">
        <v>88</v>
      </c>
      <c r="CK86" s="191">
        <v>89</v>
      </c>
      <c r="CL86" s="192">
        <v>90</v>
      </c>
      <c r="CM86" s="192">
        <v>91</v>
      </c>
      <c r="CN86" s="191">
        <v>92</v>
      </c>
      <c r="CO86" s="192">
        <v>93</v>
      </c>
      <c r="CP86" s="192">
        <v>94</v>
      </c>
      <c r="CQ86" s="191">
        <v>95</v>
      </c>
      <c r="CR86" s="192">
        <v>96</v>
      </c>
      <c r="CS86" s="192">
        <v>97</v>
      </c>
      <c r="CT86" s="191">
        <v>98</v>
      </c>
      <c r="CU86" s="192">
        <v>99</v>
      </c>
      <c r="CV86" s="192">
        <v>100</v>
      </c>
      <c r="CW86" s="191">
        <v>101</v>
      </c>
      <c r="CX86" s="192">
        <v>102</v>
      </c>
      <c r="CY86" s="192">
        <v>103</v>
      </c>
      <c r="CZ86" s="191">
        <v>104</v>
      </c>
      <c r="DA86" s="192">
        <v>105</v>
      </c>
      <c r="DB86" s="192">
        <v>106</v>
      </c>
      <c r="DC86" s="191">
        <v>107</v>
      </c>
      <c r="DD86" s="192">
        <v>108</v>
      </c>
      <c r="DE86" s="192">
        <v>109</v>
      </c>
      <c r="DF86" s="191">
        <v>110</v>
      </c>
      <c r="DG86" s="192">
        <v>111</v>
      </c>
      <c r="DH86" s="192">
        <v>112</v>
      </c>
      <c r="DI86" s="191">
        <v>113</v>
      </c>
      <c r="DJ86" s="192">
        <v>114</v>
      </c>
      <c r="DK86" s="192">
        <v>115</v>
      </c>
      <c r="DL86" s="191">
        <v>116</v>
      </c>
      <c r="DM86" s="192">
        <v>117</v>
      </c>
      <c r="DN86" s="192">
        <v>118</v>
      </c>
      <c r="DO86" s="191">
        <v>119</v>
      </c>
      <c r="DP86" s="192">
        <v>120</v>
      </c>
      <c r="DQ86" s="192">
        <v>121</v>
      </c>
      <c r="DR86" s="191">
        <v>122</v>
      </c>
      <c r="DS86" s="192">
        <v>123</v>
      </c>
      <c r="DT86" s="192">
        <v>124</v>
      </c>
      <c r="DU86" s="191">
        <v>125</v>
      </c>
      <c r="DV86" s="192">
        <v>126</v>
      </c>
      <c r="DW86" s="192">
        <v>127</v>
      </c>
      <c r="DX86" s="191">
        <v>128</v>
      </c>
      <c r="DY86" s="192">
        <v>129</v>
      </c>
      <c r="DZ86" s="192">
        <v>130</v>
      </c>
      <c r="EA86" s="191">
        <v>131</v>
      </c>
      <c r="EB86" s="192">
        <v>132</v>
      </c>
    </row>
    <row r="87" spans="1:132">
      <c r="BT87" s="123"/>
      <c r="BU87" s="109"/>
      <c r="CL87" s="107"/>
      <c r="CO87" s="169"/>
      <c r="CX87" s="107"/>
      <c r="CZ87" s="108"/>
      <c r="DB87" s="143"/>
      <c r="DC87" s="108"/>
      <c r="DM87" s="124"/>
      <c r="DN87" s="120"/>
      <c r="DO87" s="107"/>
      <c r="DS87" s="109"/>
      <c r="DT87" s="114"/>
      <c r="DY87" s="145"/>
      <c r="DZ87" s="145"/>
    </row>
    <row r="88" spans="1:132">
      <c r="BT88" s="123"/>
      <c r="BU88" s="109"/>
      <c r="CL88" s="107"/>
      <c r="CO88" s="169"/>
      <c r="CX88" s="107"/>
      <c r="CZ88" s="108"/>
      <c r="DB88" s="143"/>
      <c r="DC88" s="108"/>
      <c r="DM88" s="124"/>
      <c r="DN88" s="120"/>
      <c r="DO88" s="107"/>
      <c r="DS88" s="109"/>
      <c r="DT88" s="114"/>
      <c r="DY88" s="145"/>
      <c r="DZ88" s="145"/>
    </row>
    <row r="89" spans="1:132" ht="15" thickBot="1">
      <c r="BT89" s="123"/>
      <c r="BU89" s="109"/>
      <c r="CL89" s="107"/>
      <c r="CO89" s="169"/>
      <c r="CX89" s="107"/>
      <c r="CZ89" s="108"/>
      <c r="DB89" s="143"/>
      <c r="DC89" s="108"/>
      <c r="DM89" s="124"/>
      <c r="DN89" s="120"/>
      <c r="DO89" s="107"/>
      <c r="DS89" s="109"/>
      <c r="DT89" s="114"/>
      <c r="DY89" s="145"/>
      <c r="DZ89" s="145"/>
    </row>
    <row r="90" spans="1:132" ht="15" thickBot="1">
      <c r="B90" s="88" t="s">
        <v>200</v>
      </c>
      <c r="C90" s="108">
        <f t="shared" ref="C90:AB90" si="118">AVERAGEIFS(C2:C83,$C2:$C83,"&gt;=2000",$C2:$C83,"&lt;=4999")</f>
        <v>4634</v>
      </c>
      <c r="D90" s="108">
        <f t="shared" si="118"/>
        <v>0</v>
      </c>
      <c r="E90" s="108">
        <f t="shared" si="118"/>
        <v>0</v>
      </c>
      <c r="F90" s="108">
        <f t="shared" si="118"/>
        <v>9366</v>
      </c>
      <c r="G90" s="32" t="e">
        <f t="shared" si="118"/>
        <v>#DIV/0!</v>
      </c>
      <c r="H90" s="108">
        <f t="shared" si="118"/>
        <v>9366</v>
      </c>
      <c r="I90" s="109">
        <f t="shared" si="118"/>
        <v>2.0312299999999999</v>
      </c>
      <c r="J90" s="125">
        <f t="shared" si="118"/>
        <v>195494</v>
      </c>
      <c r="K90" s="125">
        <f t="shared" si="118"/>
        <v>101394</v>
      </c>
      <c r="L90" s="125">
        <f t="shared" si="118"/>
        <v>296888</v>
      </c>
      <c r="M90" s="110">
        <f t="shared" si="118"/>
        <v>64.067328441950792</v>
      </c>
      <c r="N90" s="125">
        <f t="shared" si="118"/>
        <v>22754</v>
      </c>
      <c r="O90" s="125">
        <f t="shared" si="118"/>
        <v>5576</v>
      </c>
      <c r="P90" s="125">
        <f t="shared" si="118"/>
        <v>3600</v>
      </c>
      <c r="Q90" s="125">
        <f t="shared" si="118"/>
        <v>31930</v>
      </c>
      <c r="R90" s="110">
        <f t="shared" si="118"/>
        <v>6.8903754855416484</v>
      </c>
      <c r="S90" s="125">
        <f t="shared" si="118"/>
        <v>49501</v>
      </c>
      <c r="T90" s="125">
        <f t="shared" si="118"/>
        <v>378319</v>
      </c>
      <c r="U90" s="125">
        <f t="shared" si="118"/>
        <v>0</v>
      </c>
      <c r="V90" s="125">
        <f t="shared" si="118"/>
        <v>378319</v>
      </c>
      <c r="W90" s="110">
        <f t="shared" si="118"/>
        <v>81.639835994820885</v>
      </c>
      <c r="X90" s="126">
        <f t="shared" si="118"/>
        <v>0.78475572202294885</v>
      </c>
      <c r="Y90" s="126">
        <f t="shared" si="118"/>
        <v>8.4399673291587263E-2</v>
      </c>
      <c r="Z90" s="126">
        <f t="shared" si="118"/>
        <v>0.13084460468546386</v>
      </c>
      <c r="AA90" s="126">
        <f t="shared" si="118"/>
        <v>0</v>
      </c>
      <c r="AB90" s="125">
        <f t="shared" si="118"/>
        <v>442968</v>
      </c>
      <c r="AC90" s="125">
        <f>AVERAGEIFS(AF2:AF83,$C2:$C83,"&gt;=2000",$C2:$C83,"&lt;=4999")</f>
        <v>378319</v>
      </c>
      <c r="AD90" s="125">
        <f>AVERAGEIFS(AG2:AG83,$C2:$C83,"&gt;=2000",$C2:$C83,"&lt;=4999")</f>
        <v>10000</v>
      </c>
      <c r="AE90" s="125" t="e">
        <f>AVERAGEIFS(AE2:AE83,$C2:$C83,"&gt;=2000",$C2:$C83,"&lt;=4999")</f>
        <v>#DIV/0!</v>
      </c>
      <c r="AF90" s="125" t="e">
        <f>AVERAGEIFS(#REF!,$C2:$C83,"&gt;=2000",$C2:$C83,"&lt;=4999")</f>
        <v>#REF!</v>
      </c>
      <c r="AG90" s="125" t="e">
        <f>AVERAGEIFS(#REF!,$C2:$C83,"&gt;=2000",$C2:$C83,"&lt;=4999")</f>
        <v>#REF!</v>
      </c>
      <c r="AH90" s="125" t="e">
        <f t="shared" ref="AH90:BM90" si="119">AVERAGEIFS(AH2:AH83,$C2:$C83,"&gt;=2000",$C2:$C83,"&lt;=4999")</f>
        <v>#DIV/0!</v>
      </c>
      <c r="AI90" s="125">
        <f t="shared" si="119"/>
        <v>388319</v>
      </c>
      <c r="AJ90" s="110">
        <f t="shared" si="119"/>
        <v>83.797798877859307</v>
      </c>
      <c r="AK90" s="125">
        <f t="shared" si="119"/>
        <v>3601</v>
      </c>
      <c r="AL90" s="125">
        <f t="shared" si="119"/>
        <v>1488</v>
      </c>
      <c r="AM90" s="125">
        <f t="shared" si="119"/>
        <v>1100</v>
      </c>
      <c r="AN90" s="125" t="e">
        <f t="shared" si="119"/>
        <v>#DIV/0!</v>
      </c>
      <c r="AO90" s="125">
        <f t="shared" si="119"/>
        <v>1100</v>
      </c>
      <c r="AP90" s="125">
        <f t="shared" si="119"/>
        <v>384508</v>
      </c>
      <c r="AQ90" s="110">
        <f t="shared" si="119"/>
        <v>82.975399223133365</v>
      </c>
      <c r="AR90" s="125" t="e">
        <f t="shared" si="119"/>
        <v>#DIV/0!</v>
      </c>
      <c r="AS90" s="125">
        <f t="shared" si="119"/>
        <v>0</v>
      </c>
      <c r="AT90" s="125">
        <f t="shared" si="119"/>
        <v>0</v>
      </c>
      <c r="AU90" s="125">
        <f t="shared" si="119"/>
        <v>0</v>
      </c>
      <c r="AV90" s="125">
        <f t="shared" si="119"/>
        <v>0</v>
      </c>
      <c r="AW90" s="125" t="e">
        <f t="shared" si="119"/>
        <v>#DIV/0!</v>
      </c>
      <c r="AX90" s="125">
        <f t="shared" si="119"/>
        <v>421443</v>
      </c>
      <c r="AY90" s="125">
        <f t="shared" si="119"/>
        <v>421443</v>
      </c>
      <c r="AZ90" s="108">
        <f t="shared" si="119"/>
        <v>30107</v>
      </c>
      <c r="BA90" s="109">
        <f t="shared" si="119"/>
        <v>6.4969788519637461</v>
      </c>
      <c r="BB90" s="108">
        <f t="shared" si="119"/>
        <v>540</v>
      </c>
      <c r="BC90" s="108">
        <f t="shared" si="119"/>
        <v>540</v>
      </c>
      <c r="BD90" s="108">
        <f t="shared" si="119"/>
        <v>1490</v>
      </c>
      <c r="BE90" s="108">
        <f t="shared" si="119"/>
        <v>2067</v>
      </c>
      <c r="BF90" s="108">
        <f t="shared" si="119"/>
        <v>107790</v>
      </c>
      <c r="BG90" s="108">
        <f t="shared" si="119"/>
        <v>3</v>
      </c>
      <c r="BH90" s="108">
        <f t="shared" si="119"/>
        <v>89</v>
      </c>
      <c r="BI90" s="108">
        <f t="shared" si="119"/>
        <v>0</v>
      </c>
      <c r="BJ90" s="108">
        <f t="shared" si="119"/>
        <v>92</v>
      </c>
      <c r="BK90" s="108">
        <f t="shared" si="119"/>
        <v>159397</v>
      </c>
      <c r="BL90" s="109">
        <f t="shared" si="119"/>
        <v>34.397280966767369</v>
      </c>
      <c r="BM90" s="108">
        <f t="shared" si="119"/>
        <v>0</v>
      </c>
      <c r="BN90" s="108">
        <f t="shared" ref="BN90:CH90" si="120">AVERAGEIFS(BN2:BN83,$C2:$C83,"&gt;=2000",$C2:$C83,"&lt;=4999")</f>
        <v>4056</v>
      </c>
      <c r="BO90" s="109">
        <f t="shared" si="120"/>
        <v>0.87526974536037982</v>
      </c>
      <c r="BP90" s="108">
        <f t="shared" si="120"/>
        <v>12041</v>
      </c>
      <c r="BQ90" s="108">
        <f t="shared" si="120"/>
        <v>0</v>
      </c>
      <c r="BR90" s="108">
        <f t="shared" si="120"/>
        <v>16208</v>
      </c>
      <c r="BS90" s="108">
        <f t="shared" si="120"/>
        <v>14364</v>
      </c>
      <c r="BT90" s="108">
        <f t="shared" si="120"/>
        <v>30572</v>
      </c>
      <c r="BU90" s="109">
        <f t="shared" si="120"/>
        <v>6.5973241260250326</v>
      </c>
      <c r="BV90" s="108">
        <f t="shared" si="120"/>
        <v>6264.7540983606559</v>
      </c>
      <c r="BW90" s="109">
        <f t="shared" si="120"/>
        <v>13.86485260770975</v>
      </c>
      <c r="BX90" s="109">
        <f t="shared" si="120"/>
        <v>2.1119093672285163</v>
      </c>
      <c r="BY90" s="109">
        <f t="shared" si="120"/>
        <v>0.19179783810234821</v>
      </c>
      <c r="BZ90" s="108">
        <f t="shared" si="120"/>
        <v>170</v>
      </c>
      <c r="CA90" s="108">
        <f t="shared" si="120"/>
        <v>3</v>
      </c>
      <c r="CB90" s="108">
        <f t="shared" si="120"/>
        <v>82</v>
      </c>
      <c r="CC90" s="108">
        <f t="shared" si="120"/>
        <v>255</v>
      </c>
      <c r="CD90" s="108">
        <f t="shared" si="120"/>
        <v>2277</v>
      </c>
      <c r="CE90" s="108">
        <f t="shared" si="120"/>
        <v>36</v>
      </c>
      <c r="CF90" s="108">
        <f t="shared" si="120"/>
        <v>803</v>
      </c>
      <c r="CG90" s="108">
        <f t="shared" si="120"/>
        <v>3116</v>
      </c>
      <c r="CH90" s="109">
        <f t="shared" si="120"/>
        <v>0.67242123435476908</v>
      </c>
      <c r="CI90" s="108">
        <v>16991.18918918919</v>
      </c>
      <c r="CJ90" s="109">
        <f>AVERAGEIFS(CJ2:CJ83,$C2:$C83,"&gt;=2000",$C2:$C83,"&lt;=4999")</f>
        <v>3.1238670694864048</v>
      </c>
      <c r="CK90" s="108">
        <f>AVERAGEIFS(CK2:CK83,$C2:$C83,"&gt;=2000",$C2:$C83,"&lt;=4999")</f>
        <v>42896</v>
      </c>
      <c r="CL90" s="128">
        <f>COUNTIFS(CL2:CL83,"YES",$C2:$C83,"&gt;=2000",$C2:$C83,"&lt;=4999")</f>
        <v>1</v>
      </c>
      <c r="CM90" s="128">
        <f>COUNTIFS(CM2:CM83,"YES",$C2:$C83,"&gt;=2000",$C2:$C83,"&lt;=4999")</f>
        <v>1</v>
      </c>
      <c r="CN90" s="128">
        <f>COUNTIFS(CN2:CN83,"YES",$C2:$C83,"&gt;=2000",$C2:$C83,"&lt;=4999")</f>
        <v>1</v>
      </c>
      <c r="CO90" s="169">
        <f t="shared" ref="CO90:CW90" si="121">AVERAGEIFS(CO2:CO83,$C2:$C83,"&gt;=2000",$C2:$C83,"&lt;=4999")</f>
        <v>2</v>
      </c>
      <c r="CP90" s="108">
        <f t="shared" si="121"/>
        <v>0</v>
      </c>
      <c r="CQ90" s="169">
        <f t="shared" si="121"/>
        <v>0</v>
      </c>
      <c r="CR90" s="169">
        <f t="shared" si="121"/>
        <v>2.88</v>
      </c>
      <c r="CS90" s="169">
        <f t="shared" si="121"/>
        <v>4.88</v>
      </c>
      <c r="CT90" s="108">
        <f t="shared" si="121"/>
        <v>949.5901639344263</v>
      </c>
      <c r="CU90" s="108">
        <f t="shared" si="121"/>
        <v>100</v>
      </c>
      <c r="CV90" s="125">
        <f t="shared" si="121"/>
        <v>62874.239999999998</v>
      </c>
      <c r="CW90" s="109">
        <f t="shared" si="121"/>
        <v>28</v>
      </c>
      <c r="CX90" s="128">
        <f>COUNTIFS(CX2:CX83,"YES", $C2:$C83,"&gt;=2000",$C2:$C83,"&lt;=4999")</f>
        <v>1</v>
      </c>
      <c r="CY90" s="128">
        <f>COUNTIFS(CY2:CY83,"YES", $C2:$C83,"&gt;=2000",$C2:$C83,"&lt;=4999")</f>
        <v>1</v>
      </c>
      <c r="CZ90" s="108">
        <f t="shared" ref="CZ90:DL90" si="122">AVERAGEIFS(CZ2:CZ83,$C2:$C83,"&gt;=2000",$C2:$C83,"&lt;=4999")</f>
        <v>1087</v>
      </c>
      <c r="DA90" s="108">
        <f t="shared" si="122"/>
        <v>1304</v>
      </c>
      <c r="DB90" s="143">
        <f t="shared" si="122"/>
        <v>27</v>
      </c>
      <c r="DC90" s="108">
        <f t="shared" si="122"/>
        <v>2864</v>
      </c>
      <c r="DD90" s="108">
        <f t="shared" si="122"/>
        <v>11235</v>
      </c>
      <c r="DE90" s="108">
        <f t="shared" si="122"/>
        <v>10870</v>
      </c>
      <c r="DF90" s="108">
        <f t="shared" si="122"/>
        <v>3068</v>
      </c>
      <c r="DG90" s="108">
        <f t="shared" si="122"/>
        <v>52</v>
      </c>
      <c r="DH90" s="108">
        <f t="shared" si="122"/>
        <v>0.66206301251618471</v>
      </c>
      <c r="DI90" s="108">
        <f t="shared" si="122"/>
        <v>36</v>
      </c>
      <c r="DJ90" s="108">
        <f t="shared" si="122"/>
        <v>36</v>
      </c>
      <c r="DK90" s="108" t="e">
        <f t="shared" si="122"/>
        <v>#DIV/0!</v>
      </c>
      <c r="DL90" s="108">
        <f t="shared" si="122"/>
        <v>2205</v>
      </c>
      <c r="DM90" s="129"/>
      <c r="DN90" s="127"/>
      <c r="DO90" s="107"/>
      <c r="DS90" s="109"/>
      <c r="DT90" s="114"/>
      <c r="DW90" s="109">
        <f t="shared" ref="DW90:EB90" si="123">AVERAGEIFS(DW2:DW83,$C2:$C83,"&gt;=2000",$C2:$C83,"&lt;=4999")</f>
        <v>2.5984031074665515</v>
      </c>
      <c r="DX90" s="109">
        <f t="shared" si="123"/>
        <v>0</v>
      </c>
      <c r="DY90" s="109">
        <f t="shared" si="123"/>
        <v>3.4976262408286578</v>
      </c>
      <c r="DZ90" s="187">
        <f t="shared" si="123"/>
        <v>3.0996978851963748</v>
      </c>
      <c r="EA90" s="203">
        <f t="shared" si="123"/>
        <v>0.80547983999433603</v>
      </c>
      <c r="EB90" s="203">
        <f t="shared" si="123"/>
        <v>0.38819270398217764</v>
      </c>
    </row>
    <row r="91" spans="1:132" ht="15" thickBot="1">
      <c r="B91" s="88" t="s">
        <v>126</v>
      </c>
      <c r="C91" s="108">
        <f t="shared" ref="C91:AB91" si="124">AVERAGEIFS(C2:C83,$C2:$C83,"&gt;=5000",$C2:$C83,"&lt;=9999")</f>
        <v>7313.666666666667</v>
      </c>
      <c r="D91" s="108">
        <f t="shared" si="124"/>
        <v>0</v>
      </c>
      <c r="E91" s="108">
        <f t="shared" si="124"/>
        <v>0</v>
      </c>
      <c r="F91" s="108">
        <f t="shared" si="124"/>
        <v>6800</v>
      </c>
      <c r="G91" s="32" t="e">
        <f t="shared" si="124"/>
        <v>#DIV/0!</v>
      </c>
      <c r="H91" s="108">
        <f t="shared" si="124"/>
        <v>6800</v>
      </c>
      <c r="I91" s="109">
        <f t="shared" si="124"/>
        <v>0.92055666666666669</v>
      </c>
      <c r="J91" s="125">
        <f t="shared" si="124"/>
        <v>171581.33333333334</v>
      </c>
      <c r="K91" s="125">
        <f t="shared" si="124"/>
        <v>58411.333333333336</v>
      </c>
      <c r="L91" s="125">
        <f t="shared" si="124"/>
        <v>229992.66666666666</v>
      </c>
      <c r="M91" s="110">
        <f t="shared" si="124"/>
        <v>31.076185521989711</v>
      </c>
      <c r="N91" s="125">
        <f t="shared" si="124"/>
        <v>22417.366666666669</v>
      </c>
      <c r="O91" s="125">
        <f t="shared" si="124"/>
        <v>9226.1033333333344</v>
      </c>
      <c r="P91" s="125">
        <f t="shared" si="124"/>
        <v>7527</v>
      </c>
      <c r="Q91" s="125">
        <f t="shared" si="124"/>
        <v>39170.47</v>
      </c>
      <c r="R91" s="110">
        <f t="shared" si="124"/>
        <v>5.4179803143870258</v>
      </c>
      <c r="S91" s="125">
        <f t="shared" si="124"/>
        <v>50605.389999999992</v>
      </c>
      <c r="T91" s="125">
        <f t="shared" si="124"/>
        <v>319768.52666666667</v>
      </c>
      <c r="U91" s="125">
        <f t="shared" si="124"/>
        <v>0</v>
      </c>
      <c r="V91" s="125">
        <f t="shared" si="124"/>
        <v>319768.52666666667</v>
      </c>
      <c r="W91" s="110">
        <f t="shared" si="124"/>
        <v>42.637550923687137</v>
      </c>
      <c r="X91" s="126">
        <f t="shared" si="124"/>
        <v>0.74332722689960729</v>
      </c>
      <c r="Y91" s="126">
        <f t="shared" si="124"/>
        <v>0.12450489176816663</v>
      </c>
      <c r="Z91" s="126">
        <f t="shared" si="124"/>
        <v>0.13216788133222615</v>
      </c>
      <c r="AA91" s="126">
        <f t="shared" si="124"/>
        <v>0</v>
      </c>
      <c r="AB91" s="125">
        <f t="shared" si="124"/>
        <v>0</v>
      </c>
      <c r="AC91" s="125">
        <f>AVERAGEIFS(AF2:AF83,$C2:$C83,"&gt;=5000",$C2:$C83,"&lt;=9999")</f>
        <v>319768.52666666667</v>
      </c>
      <c r="AD91" s="125">
        <f>AVERAGEIFS(AG2:AG83,$C2:$C83,"&gt;=5000",$C2:$C83,"&lt;=9999")</f>
        <v>23500</v>
      </c>
      <c r="AE91" s="125" t="e">
        <f>AVERAGEIFS(AE2:AE83,$C2:$C83,"&gt;=5000",$C2:$C83,"&lt;=9999")</f>
        <v>#DIV/0!</v>
      </c>
      <c r="AF91" s="125" t="e">
        <f>AVERAGEIFS(#REF!,$C2:$C83,"&gt;=5000",$C2:$C83,"&lt;=9999")</f>
        <v>#REF!</v>
      </c>
      <c r="AG91" s="125" t="e">
        <f>AVERAGEIFS(#REF!,$C2:$C83,"&gt;=5000",$C2:$C83,"&lt;=9999")</f>
        <v>#REF!</v>
      </c>
      <c r="AH91" s="125" t="e">
        <f t="shared" ref="AH91:BM91" si="125">AVERAGEIFS(AH2:AH83,$C2:$C83,"&gt;=5000",$C2:$C83,"&lt;=9999")</f>
        <v>#DIV/0!</v>
      </c>
      <c r="AI91" s="125">
        <f t="shared" si="125"/>
        <v>343268.52666666667</v>
      </c>
      <c r="AJ91" s="110">
        <f t="shared" si="125"/>
        <v>46.097348648766378</v>
      </c>
      <c r="AK91" s="125">
        <f t="shared" si="125"/>
        <v>5727.666666666667</v>
      </c>
      <c r="AL91" s="125">
        <f t="shared" si="125"/>
        <v>0</v>
      </c>
      <c r="AM91" s="125">
        <f t="shared" si="125"/>
        <v>10435</v>
      </c>
      <c r="AN91" s="125" t="e">
        <f t="shared" si="125"/>
        <v>#DIV/0!</v>
      </c>
      <c r="AO91" s="125">
        <f t="shared" si="125"/>
        <v>10435</v>
      </c>
      <c r="AP91" s="125">
        <f t="shared" si="125"/>
        <v>348855</v>
      </c>
      <c r="AQ91" s="110">
        <f t="shared" si="125"/>
        <v>45.809799202297775</v>
      </c>
      <c r="AR91" s="125" t="e">
        <f t="shared" si="125"/>
        <v>#DIV/0!</v>
      </c>
      <c r="AS91" s="125">
        <f t="shared" si="125"/>
        <v>14526</v>
      </c>
      <c r="AT91" s="125">
        <f t="shared" si="125"/>
        <v>0</v>
      </c>
      <c r="AU91" s="125">
        <f t="shared" si="125"/>
        <v>0</v>
      </c>
      <c r="AV91" s="125">
        <f t="shared" si="125"/>
        <v>0</v>
      </c>
      <c r="AW91" s="125" t="e">
        <f t="shared" si="125"/>
        <v>#DIV/0!</v>
      </c>
      <c r="AX91" s="125">
        <f t="shared" si="125"/>
        <v>0</v>
      </c>
      <c r="AY91" s="125">
        <f t="shared" si="125"/>
        <v>14526</v>
      </c>
      <c r="AZ91" s="108">
        <f t="shared" si="125"/>
        <v>23306.666666666668</v>
      </c>
      <c r="BA91" s="109">
        <f t="shared" si="125"/>
        <v>3.0807431978021005</v>
      </c>
      <c r="BB91" s="108">
        <f t="shared" si="125"/>
        <v>760.66666666666663</v>
      </c>
      <c r="BC91" s="108">
        <f t="shared" si="125"/>
        <v>760.66666666666663</v>
      </c>
      <c r="BD91" s="108">
        <f t="shared" si="125"/>
        <v>1952</v>
      </c>
      <c r="BE91" s="108">
        <f t="shared" si="125"/>
        <v>1963.3333333333333</v>
      </c>
      <c r="BF91" s="108">
        <f t="shared" si="125"/>
        <v>95666.666666666672</v>
      </c>
      <c r="BG91" s="108">
        <f t="shared" si="125"/>
        <v>5</v>
      </c>
      <c r="BH91" s="108">
        <f t="shared" si="125"/>
        <v>89</v>
      </c>
      <c r="BI91" s="108">
        <f t="shared" si="125"/>
        <v>0</v>
      </c>
      <c r="BJ91" s="108">
        <f t="shared" si="125"/>
        <v>94</v>
      </c>
      <c r="BK91" s="108">
        <f t="shared" si="125"/>
        <v>139270.33333333334</v>
      </c>
      <c r="BL91" s="109">
        <f t="shared" si="125"/>
        <v>19.944570124628822</v>
      </c>
      <c r="BM91" s="108">
        <f t="shared" si="125"/>
        <v>10.666666666666666</v>
      </c>
      <c r="BN91" s="108">
        <f t="shared" ref="BN91:CH91" si="126">AVERAGEIFS(BN2:BN83,$C2:$C83,"&gt;=5000",$C2:$C83,"&lt;=9999")</f>
        <v>9112.6666666666661</v>
      </c>
      <c r="BO91" s="109">
        <f t="shared" si="126"/>
        <v>1.1114194877597667</v>
      </c>
      <c r="BP91" s="108">
        <f t="shared" si="126"/>
        <v>13616.666666666666</v>
      </c>
      <c r="BQ91" s="108">
        <f t="shared" si="126"/>
        <v>0</v>
      </c>
      <c r="BR91" s="108">
        <f t="shared" si="126"/>
        <v>32772.333333333336</v>
      </c>
      <c r="BS91" s="108">
        <f t="shared" si="126"/>
        <v>12606.333333333334</v>
      </c>
      <c r="BT91" s="108">
        <f t="shared" si="126"/>
        <v>45378.666666666664</v>
      </c>
      <c r="BU91" s="109">
        <f t="shared" si="126"/>
        <v>5.9857355966656192</v>
      </c>
      <c r="BV91" s="108">
        <f t="shared" si="126"/>
        <v>8130.6150387247171</v>
      </c>
      <c r="BW91" s="109">
        <f t="shared" si="126"/>
        <v>23.066940185901768</v>
      </c>
      <c r="BX91" s="109">
        <f t="shared" si="126"/>
        <v>1.2734145234398235</v>
      </c>
      <c r="BY91" s="109">
        <f t="shared" si="126"/>
        <v>0.30427200945151489</v>
      </c>
      <c r="BZ91" s="108">
        <f t="shared" si="126"/>
        <v>155.66666666666666</v>
      </c>
      <c r="CA91" s="108">
        <f t="shared" si="126"/>
        <v>25.333333333333332</v>
      </c>
      <c r="CB91" s="108">
        <f t="shared" si="126"/>
        <v>124.66666666666667</v>
      </c>
      <c r="CC91" s="108">
        <f t="shared" si="126"/>
        <v>305.66666666666669</v>
      </c>
      <c r="CD91" s="108">
        <f t="shared" si="126"/>
        <v>2408.3333333333335</v>
      </c>
      <c r="CE91" s="108">
        <f t="shared" si="126"/>
        <v>156.66666666666666</v>
      </c>
      <c r="CF91" s="108">
        <f t="shared" si="126"/>
        <v>1310.6666666666667</v>
      </c>
      <c r="CG91" s="108">
        <f t="shared" si="126"/>
        <v>3875.6666666666665</v>
      </c>
      <c r="CH91" s="109">
        <f t="shared" si="126"/>
        <v>0.53126186898280392</v>
      </c>
      <c r="CI91" s="108">
        <v>25748.146551724138</v>
      </c>
      <c r="CJ91" s="109">
        <f>AVERAGEIFS(CJ2:CJ83,$C2:$C83,"&gt;=5000",$C2:$C83,"&lt;=9999")</f>
        <v>4.8385504115905826</v>
      </c>
      <c r="CK91" s="108">
        <f>AVERAGEIFS(CK2:CK83,$C2:$C83,"&gt;=5000",$C2:$C83,"&lt;=9999")</f>
        <v>5575.333333333333</v>
      </c>
      <c r="CL91" s="128">
        <f>COUNTIFS(CL2:CL83,"YES",$C2:$C83,"&gt;=5000",$C2:$C83,"&lt;=9999")</f>
        <v>3</v>
      </c>
      <c r="CM91" s="128">
        <f>COUNTIFS(CM2:CM83,"YES",$C2:$C83,"&gt;=5000",$C2:$C83,"&lt;=9999")</f>
        <v>3</v>
      </c>
      <c r="CN91" s="128">
        <f>COUNTIFS(CN2:CN83,"YES",$C2:$C83,"&gt;=5000",$C2:$C83,"&lt;=9999")</f>
        <v>3</v>
      </c>
      <c r="CO91" s="169">
        <f t="shared" ref="CO91:CW91" si="127">AVERAGEIFS(CO2:CO83,$C2:$C83,"&gt;=5000",$C2:$C83,"&lt;=9999")</f>
        <v>1</v>
      </c>
      <c r="CP91" s="108">
        <f t="shared" si="127"/>
        <v>5567.333333333333</v>
      </c>
      <c r="CQ91" s="169">
        <f t="shared" si="127"/>
        <v>0</v>
      </c>
      <c r="CR91" s="169">
        <f t="shared" si="127"/>
        <v>4.2699999999999996</v>
      </c>
      <c r="CS91" s="169">
        <f t="shared" si="127"/>
        <v>5.27</v>
      </c>
      <c r="CT91" s="108">
        <f t="shared" si="127"/>
        <v>1629.6567711858036</v>
      </c>
      <c r="CU91" s="108">
        <f t="shared" si="127"/>
        <v>233.66666666666666</v>
      </c>
      <c r="CV91" s="125">
        <f t="shared" si="127"/>
        <v>54661.920000000006</v>
      </c>
      <c r="CW91" s="109">
        <f t="shared" si="127"/>
        <v>40</v>
      </c>
      <c r="CX91" s="128">
        <f>COUNTIFS(CX2:CX83,"YES", $C2:$C83,"&gt;=5000",$C2:$C83,"&lt;=9999")</f>
        <v>3</v>
      </c>
      <c r="CY91" s="128">
        <f>COUNTIFS(CY2:CY83,"YES", $C2:$C83,"&gt;=5000",$C2:$C83,"&lt;=9999")</f>
        <v>3</v>
      </c>
      <c r="CZ91" s="108">
        <f t="shared" ref="CZ91:DL91" si="128">AVERAGEIFS(CZ2:CZ83,$C2:$C83,"&gt;=5000",$C2:$C83,"&lt;=9999")</f>
        <v>2064.3333333333335</v>
      </c>
      <c r="DA91" s="108">
        <f t="shared" si="128"/>
        <v>1331.6666666666667</v>
      </c>
      <c r="DB91" s="143">
        <f t="shared" si="128"/>
        <v>19.666666666666668</v>
      </c>
      <c r="DC91" s="108">
        <f t="shared" si="128"/>
        <v>4199.666666666667</v>
      </c>
      <c r="DD91" s="108">
        <f t="shared" si="128"/>
        <v>21136.666666666668</v>
      </c>
      <c r="DE91" s="108">
        <f t="shared" si="128"/>
        <v>15755</v>
      </c>
      <c r="DF91" s="108">
        <f t="shared" si="128"/>
        <v>2694.3333333333335</v>
      </c>
      <c r="DG91" s="108">
        <f t="shared" si="128"/>
        <v>52</v>
      </c>
      <c r="DH91" s="108">
        <f t="shared" si="128"/>
        <v>0.38435992827506987</v>
      </c>
      <c r="DI91" s="108">
        <f t="shared" si="128"/>
        <v>50.333333333333336</v>
      </c>
      <c r="DJ91" s="108">
        <f t="shared" si="128"/>
        <v>50.333333333333336</v>
      </c>
      <c r="DK91" s="108">
        <f t="shared" si="128"/>
        <v>15137</v>
      </c>
      <c r="DL91" s="108">
        <f t="shared" si="128"/>
        <v>1984.6666666666667</v>
      </c>
      <c r="DM91" s="129"/>
      <c r="DN91" s="127"/>
      <c r="DO91" s="107"/>
      <c r="DS91" s="109"/>
      <c r="DT91" s="114"/>
      <c r="DW91" s="109">
        <f t="shared" ref="DW91:EB91" si="129">AVERAGEIFS(DW2:DW83,$C2:$C83,"&gt;=5000",$C2:$C83,"&lt;=9999")</f>
        <v>1.8643336985031906</v>
      </c>
      <c r="DX91" s="109">
        <f t="shared" si="129"/>
        <v>0</v>
      </c>
      <c r="DY91" s="109">
        <f t="shared" si="129"/>
        <v>4.4993212289905129</v>
      </c>
      <c r="DZ91" s="187">
        <f t="shared" si="129"/>
        <v>1.4864143676751065</v>
      </c>
      <c r="EA91" s="203">
        <f t="shared" si="129"/>
        <v>0.46966811956525328</v>
      </c>
      <c r="EB91" s="203">
        <f t="shared" si="129"/>
        <v>0.9681300664363951</v>
      </c>
    </row>
    <row r="92" spans="1:132" ht="15" thickBot="1">
      <c r="B92" s="88" t="s">
        <v>201</v>
      </c>
      <c r="C92" s="108">
        <f t="shared" ref="C92:AB92" si="130">AVERAGEIFS(C2:C83,$C2:$C83,"&gt;=10000",$C2:$C83,"&lt;=14999")</f>
        <v>13381</v>
      </c>
      <c r="D92" s="108">
        <f t="shared" si="130"/>
        <v>0</v>
      </c>
      <c r="E92" s="108">
        <f t="shared" si="130"/>
        <v>0</v>
      </c>
      <c r="F92" s="108">
        <f t="shared" si="130"/>
        <v>11919</v>
      </c>
      <c r="G92" s="32" t="e">
        <f t="shared" si="130"/>
        <v>#DIV/0!</v>
      </c>
      <c r="H92" s="108">
        <f t="shared" si="130"/>
        <v>11919</v>
      </c>
      <c r="I92" s="109">
        <f t="shared" si="130"/>
        <v>0.93049333333333328</v>
      </c>
      <c r="J92" s="125">
        <f t="shared" si="130"/>
        <v>318726.66666666669</v>
      </c>
      <c r="K92" s="125">
        <f t="shared" si="130"/>
        <v>109240.33333333333</v>
      </c>
      <c r="L92" s="125">
        <f t="shared" si="130"/>
        <v>427967</v>
      </c>
      <c r="M92" s="110">
        <f t="shared" si="130"/>
        <v>32.830242417937377</v>
      </c>
      <c r="N92" s="125">
        <f t="shared" si="130"/>
        <v>48536.666666666664</v>
      </c>
      <c r="O92" s="125">
        <f t="shared" si="130"/>
        <v>28310.666666666668</v>
      </c>
      <c r="P92" s="125">
        <f t="shared" si="130"/>
        <v>3164.3333333333335</v>
      </c>
      <c r="Q92" s="125">
        <f t="shared" si="130"/>
        <v>80011.666666666672</v>
      </c>
      <c r="R92" s="110">
        <f t="shared" si="130"/>
        <v>6.2927723174296348</v>
      </c>
      <c r="S92" s="125">
        <f t="shared" si="130"/>
        <v>136440.66666666666</v>
      </c>
      <c r="T92" s="125">
        <f t="shared" si="130"/>
        <v>644419.33333333337</v>
      </c>
      <c r="U92" s="125">
        <f t="shared" si="130"/>
        <v>0</v>
      </c>
      <c r="V92" s="125">
        <f t="shared" si="130"/>
        <v>644419.33333333337</v>
      </c>
      <c r="W92" s="110">
        <f t="shared" si="130"/>
        <v>49.493878181378442</v>
      </c>
      <c r="X92" s="126">
        <f t="shared" si="130"/>
        <v>0.66513189025524178</v>
      </c>
      <c r="Y92" s="126">
        <f t="shared" si="130"/>
        <v>0.12427730601150089</v>
      </c>
      <c r="Z92" s="126">
        <f t="shared" si="130"/>
        <v>0.21059080373325725</v>
      </c>
      <c r="AA92" s="126">
        <f t="shared" si="130"/>
        <v>0</v>
      </c>
      <c r="AB92" s="125">
        <f t="shared" si="130"/>
        <v>0</v>
      </c>
      <c r="AC92" s="125">
        <f>AVERAGEIFS(AF2:AF83,$C2:$C83,"&gt;=10000",$C2:$C83,"&lt;=14999")</f>
        <v>644419.33333333337</v>
      </c>
      <c r="AD92" s="125">
        <f>AVERAGEIFS(AG2:AG83,$C2:$C83,"&gt;=10000",$C2:$C83,"&lt;=14999")</f>
        <v>25000</v>
      </c>
      <c r="AE92" s="125" t="e">
        <f>AVERAGEIFS(AE2:AE83,$C2:$C83,"&gt;=10000",$C2:$C83,"&lt;=14999")</f>
        <v>#DIV/0!</v>
      </c>
      <c r="AF92" s="125" t="e">
        <f>AVERAGEIFS(#REF!,$C2:$C83,"&gt;=10000",$C2:$C83,"&lt;=14999")</f>
        <v>#REF!</v>
      </c>
      <c r="AG92" s="125" t="e">
        <f>AVERAGEIFS(#REF!,$C2:$C83,"&gt;=10000",$C2:$C83,"&lt;=14999")</f>
        <v>#REF!</v>
      </c>
      <c r="AH92" s="125" t="e">
        <f t="shared" ref="AH92:BM92" si="131">AVERAGEIFS(AH2:AH83,$C2:$C83,"&gt;=10000",$C2:$C83,"&lt;=14999")</f>
        <v>#DIV/0!</v>
      </c>
      <c r="AI92" s="125">
        <f t="shared" si="131"/>
        <v>669419.33333333337</v>
      </c>
      <c r="AJ92" s="110">
        <f t="shared" si="131"/>
        <v>51.773859941524357</v>
      </c>
      <c r="AK92" s="125">
        <f t="shared" si="131"/>
        <v>10112.333333333334</v>
      </c>
      <c r="AL92" s="125">
        <f t="shared" si="131"/>
        <v>11437</v>
      </c>
      <c r="AM92" s="125">
        <f t="shared" si="131"/>
        <v>21727.666666666668</v>
      </c>
      <c r="AN92" s="125" t="e">
        <f t="shared" si="131"/>
        <v>#DIV/0!</v>
      </c>
      <c r="AO92" s="125">
        <f t="shared" si="131"/>
        <v>21727.666666666668</v>
      </c>
      <c r="AP92" s="125">
        <f t="shared" si="131"/>
        <v>681842.66666666663</v>
      </c>
      <c r="AQ92" s="110">
        <f t="shared" si="131"/>
        <v>52.530929514545448</v>
      </c>
      <c r="AR92" s="125" t="e">
        <f t="shared" si="131"/>
        <v>#DIV/0!</v>
      </c>
      <c r="AS92" s="125">
        <f t="shared" si="131"/>
        <v>34589.333333333336</v>
      </c>
      <c r="AT92" s="125">
        <f t="shared" si="131"/>
        <v>0</v>
      </c>
      <c r="AU92" s="125">
        <f t="shared" si="131"/>
        <v>0</v>
      </c>
      <c r="AV92" s="125">
        <f t="shared" si="131"/>
        <v>0</v>
      </c>
      <c r="AW92" s="125" t="e">
        <f t="shared" si="131"/>
        <v>#DIV/0!</v>
      </c>
      <c r="AX92" s="125">
        <f t="shared" si="131"/>
        <v>0</v>
      </c>
      <c r="AY92" s="125">
        <f t="shared" si="131"/>
        <v>34589.333333333336</v>
      </c>
      <c r="AZ92" s="108">
        <f t="shared" si="131"/>
        <v>47365.333333333336</v>
      </c>
      <c r="BA92" s="109">
        <f t="shared" si="131"/>
        <v>3.5507310952547226</v>
      </c>
      <c r="BB92" s="108">
        <f t="shared" si="131"/>
        <v>1418.3333333333333</v>
      </c>
      <c r="BC92" s="108">
        <f t="shared" si="131"/>
        <v>1418.3333333333333</v>
      </c>
      <c r="BD92" s="108">
        <f t="shared" si="131"/>
        <v>2626</v>
      </c>
      <c r="BE92" s="108">
        <f t="shared" si="131"/>
        <v>2104.3333333333335</v>
      </c>
      <c r="BF92" s="108">
        <f t="shared" si="131"/>
        <v>120310.66666666667</v>
      </c>
      <c r="BG92" s="108">
        <f t="shared" si="131"/>
        <v>7.333333333333333</v>
      </c>
      <c r="BH92" s="108">
        <f t="shared" si="131"/>
        <v>89</v>
      </c>
      <c r="BI92" s="108">
        <f t="shared" si="131"/>
        <v>0</v>
      </c>
      <c r="BJ92" s="108">
        <f t="shared" si="131"/>
        <v>96.333333333333329</v>
      </c>
      <c r="BK92" s="108">
        <f t="shared" si="131"/>
        <v>198772</v>
      </c>
      <c r="BL92" s="109">
        <f t="shared" si="131"/>
        <v>14.951182048757607</v>
      </c>
      <c r="BM92" s="108">
        <f t="shared" si="131"/>
        <v>62</v>
      </c>
      <c r="BN92" s="108">
        <f t="shared" ref="BN92:CH92" si="132">AVERAGEIFS(BN2:BN83,$C2:$C83,"&gt;=10000",$C2:$C83,"&lt;=14999")</f>
        <v>8709</v>
      </c>
      <c r="BO92" s="109">
        <f t="shared" si="132"/>
        <v>0.39663000048493346</v>
      </c>
      <c r="BP92" s="108">
        <f t="shared" si="132"/>
        <v>26684.333333333332</v>
      </c>
      <c r="BQ92" s="108">
        <f t="shared" si="132"/>
        <v>0</v>
      </c>
      <c r="BR92" s="108">
        <f t="shared" si="132"/>
        <v>48344.333333333336</v>
      </c>
      <c r="BS92" s="108">
        <f t="shared" si="132"/>
        <v>33277.666666666664</v>
      </c>
      <c r="BT92" s="108">
        <f t="shared" si="132"/>
        <v>81622</v>
      </c>
      <c r="BU92" s="109">
        <f t="shared" si="132"/>
        <v>6.1167937225586044</v>
      </c>
      <c r="BV92" s="108">
        <f t="shared" si="132"/>
        <v>9903.9041302381665</v>
      </c>
      <c r="BW92" s="109">
        <f t="shared" si="132"/>
        <v>42.515011504381341</v>
      </c>
      <c r="BX92" s="109">
        <f t="shared" si="132"/>
        <v>1.6910837302428543</v>
      </c>
      <c r="BY92" s="109">
        <f t="shared" si="132"/>
        <v>0.37286952462952155</v>
      </c>
      <c r="BZ92" s="108">
        <f t="shared" si="132"/>
        <v>257.33333333333331</v>
      </c>
      <c r="CA92" s="108">
        <f t="shared" si="132"/>
        <v>23</v>
      </c>
      <c r="CB92" s="108">
        <f t="shared" si="132"/>
        <v>62.333333333333336</v>
      </c>
      <c r="CC92" s="108">
        <f t="shared" si="132"/>
        <v>342.66666666666669</v>
      </c>
      <c r="CD92" s="108">
        <f t="shared" si="132"/>
        <v>6301.666666666667</v>
      </c>
      <c r="CE92" s="108">
        <f t="shared" si="132"/>
        <v>359</v>
      </c>
      <c r="CF92" s="108">
        <f t="shared" si="132"/>
        <v>1101.3333333333333</v>
      </c>
      <c r="CG92" s="108">
        <f t="shared" si="132"/>
        <v>7762</v>
      </c>
      <c r="CH92" s="109">
        <f t="shared" si="132"/>
        <v>0.59419764497038263</v>
      </c>
      <c r="CI92" s="108">
        <v>34077.107142857145</v>
      </c>
      <c r="CJ92" s="109">
        <f>AVERAGEIFS(CJ2:CJ83,$C2:$C83,"&gt;=10000",$C2:$C83,"&lt;=14999")</f>
        <v>3.3640433253004396</v>
      </c>
      <c r="CK92" s="108">
        <f>AVERAGEIFS(CK2:CK83,$C2:$C83,"&gt;=10000",$C2:$C83,"&lt;=14999")</f>
        <v>5732.333333333333</v>
      </c>
      <c r="CL92" s="128">
        <f>COUNTIFS(CL2:CL83,"YES",$C2:$C83,"&gt;=10000",$C2:$C83,"&lt;=14999")</f>
        <v>3</v>
      </c>
      <c r="CM92" s="128">
        <f>COUNTIFS(CM2:CM83,"YES",$C2:$C83,"&gt;=10000",$C2:$C83,"&lt;=14999")</f>
        <v>3</v>
      </c>
      <c r="CN92" s="128">
        <f>COUNTIFS(CN2:CN83,"YES",$C2:$C83,"&gt;=10000",$C2:$C83,"&lt;=14999")</f>
        <v>3</v>
      </c>
      <c r="CO92" s="169">
        <f t="shared" ref="CO92:CW92" si="133">AVERAGEIFS(CO2:CO83,$C2:$C83,"&gt;=10000",$C2:$C83,"&lt;=14999")</f>
        <v>2.6666666666666665</v>
      </c>
      <c r="CP92" s="108">
        <f t="shared" si="133"/>
        <v>802.22222222222217</v>
      </c>
      <c r="CQ92" s="169">
        <f t="shared" si="133"/>
        <v>0</v>
      </c>
      <c r="CR92" s="169">
        <f t="shared" si="133"/>
        <v>4.4833333333333334</v>
      </c>
      <c r="CS92" s="169">
        <f t="shared" si="133"/>
        <v>7.1499999999999995</v>
      </c>
      <c r="CT92" s="108">
        <f t="shared" si="133"/>
        <v>2559.0126955414867</v>
      </c>
      <c r="CU92" s="108">
        <f t="shared" si="133"/>
        <v>262.33333333333331</v>
      </c>
      <c r="CV92" s="125">
        <f t="shared" si="133"/>
        <v>68183.666666666672</v>
      </c>
      <c r="CW92" s="109">
        <f t="shared" si="133"/>
        <v>40</v>
      </c>
      <c r="CX92" s="128">
        <f>COUNTIFS(CX2:CX83,"YES", $C2:$C83,"&gt;=10000",$C2:$C83,"&lt;=14999")</f>
        <v>3</v>
      </c>
      <c r="CY92" s="128">
        <f>COUNTIFS(CY2:CY83,"YES", $C2:$C83,"&gt;=10000",$C2:$C83,"&lt;=14999")</f>
        <v>3</v>
      </c>
      <c r="CZ92" s="108">
        <f t="shared" ref="CZ92:DL92" si="134">AVERAGEIFS(CZ2:CZ83,$C2:$C83,"&gt;=10000",$C2:$C83,"&lt;=14999")</f>
        <v>1272.6666666666667</v>
      </c>
      <c r="DA92" s="108">
        <f t="shared" si="134"/>
        <v>1174.6666666666667</v>
      </c>
      <c r="DB92" s="143">
        <f t="shared" si="134"/>
        <v>19</v>
      </c>
      <c r="DC92" s="108">
        <f t="shared" si="134"/>
        <v>7349.333333333333</v>
      </c>
      <c r="DD92" s="108">
        <f t="shared" si="134"/>
        <v>19593.5</v>
      </c>
      <c r="DE92" s="108">
        <f t="shared" si="134"/>
        <v>27933</v>
      </c>
      <c r="DF92" s="108">
        <f t="shared" si="134"/>
        <v>2586.3333333333335</v>
      </c>
      <c r="DG92" s="108">
        <f t="shared" si="134"/>
        <v>51.666666666666664</v>
      </c>
      <c r="DH92" s="108">
        <f t="shared" si="134"/>
        <v>0.197817622635755</v>
      </c>
      <c r="DI92" s="108">
        <f t="shared" si="134"/>
        <v>50.666666666666664</v>
      </c>
      <c r="DJ92" s="108">
        <f t="shared" si="134"/>
        <v>50.666666666666664</v>
      </c>
      <c r="DK92" s="108" t="e">
        <f t="shared" si="134"/>
        <v>#DIV/0!</v>
      </c>
      <c r="DL92" s="108">
        <f t="shared" si="134"/>
        <v>1823.3333333333333</v>
      </c>
      <c r="DM92" s="129"/>
      <c r="DN92" s="127"/>
      <c r="DO92" s="107"/>
      <c r="DS92" s="109"/>
      <c r="DT92" s="114"/>
      <c r="DW92" s="109">
        <f t="shared" ref="DW92:EB92" si="135">AVERAGEIFS(DW2:DW83,$C2:$C83,"&gt;=10000",$C2:$C83,"&lt;=14999")</f>
        <v>2.003163890549772</v>
      </c>
      <c r="DX92" s="109">
        <f t="shared" si="135"/>
        <v>0</v>
      </c>
      <c r="DY92" s="109">
        <f t="shared" si="135"/>
        <v>3.6991480799324727</v>
      </c>
      <c r="DZ92" s="187">
        <f t="shared" si="135"/>
        <v>2.4176456426261326</v>
      </c>
      <c r="EA92" s="203">
        <f t="shared" si="135"/>
        <v>0.7419971091497134</v>
      </c>
      <c r="EB92" s="203">
        <f t="shared" si="135"/>
        <v>1.4034002764092222</v>
      </c>
    </row>
    <row r="93" spans="1:132" ht="15" thickBot="1">
      <c r="B93" s="88" t="s">
        <v>202</v>
      </c>
      <c r="C93" s="108">
        <f t="shared" ref="C93:AB93" si="136">AVERAGEIFS(C2:C83,$C2:$C83,"&gt;=15000",$C2:$C83,"&lt;=24999")</f>
        <v>22250.799999999999</v>
      </c>
      <c r="D93" s="108">
        <f t="shared" si="136"/>
        <v>0.6</v>
      </c>
      <c r="E93" s="108">
        <f t="shared" si="136"/>
        <v>0</v>
      </c>
      <c r="F93" s="108">
        <f t="shared" si="136"/>
        <v>15297</v>
      </c>
      <c r="G93" s="32" t="e">
        <f t="shared" si="136"/>
        <v>#DIV/0!</v>
      </c>
      <c r="H93" s="108">
        <f t="shared" si="136"/>
        <v>15297</v>
      </c>
      <c r="I93" s="109">
        <f t="shared" si="136"/>
        <v>0.70420800000000006</v>
      </c>
      <c r="J93" s="125">
        <f t="shared" si="136"/>
        <v>287370.40000000002</v>
      </c>
      <c r="K93" s="125">
        <f t="shared" si="136"/>
        <v>99712.6</v>
      </c>
      <c r="L93" s="125">
        <f t="shared" si="136"/>
        <v>387083</v>
      </c>
      <c r="M93" s="110">
        <f t="shared" si="136"/>
        <v>17.465674255571511</v>
      </c>
      <c r="N93" s="125">
        <f t="shared" si="136"/>
        <v>27592.2</v>
      </c>
      <c r="O93" s="125">
        <f t="shared" si="136"/>
        <v>8740.6</v>
      </c>
      <c r="P93" s="125">
        <f t="shared" si="136"/>
        <v>5280.6</v>
      </c>
      <c r="Q93" s="125">
        <f t="shared" si="136"/>
        <v>41613.4</v>
      </c>
      <c r="R93" s="110">
        <f t="shared" si="136"/>
        <v>1.8620902725892001</v>
      </c>
      <c r="S93" s="125">
        <f t="shared" si="136"/>
        <v>80565.600000000006</v>
      </c>
      <c r="T93" s="125">
        <f t="shared" si="136"/>
        <v>509262</v>
      </c>
      <c r="U93" s="125">
        <f t="shared" si="136"/>
        <v>455.2</v>
      </c>
      <c r="V93" s="125">
        <f t="shared" si="136"/>
        <v>509262</v>
      </c>
      <c r="W93" s="110">
        <f t="shared" si="136"/>
        <v>22.95756034903356</v>
      </c>
      <c r="X93" s="126">
        <f t="shared" si="136"/>
        <v>0.76120016457547091</v>
      </c>
      <c r="Y93" s="126">
        <f t="shared" si="136"/>
        <v>8.0594418083851954E-2</v>
      </c>
      <c r="Z93" s="126">
        <f t="shared" si="136"/>
        <v>0.15820541734067711</v>
      </c>
      <c r="AA93" s="126">
        <f t="shared" si="136"/>
        <v>1.3073434677342921E-3</v>
      </c>
      <c r="AB93" s="125">
        <f t="shared" si="136"/>
        <v>538257.80000000005</v>
      </c>
      <c r="AC93" s="125">
        <f>AVERAGEIFS(AF2:AF83,$C2:$C83,"&gt;=15000",$C2:$C83,"&lt;=24999")</f>
        <v>509262</v>
      </c>
      <c r="AD93" s="125">
        <f>AVERAGEIFS(AG2:AG83,$C2:$C83,"&gt;=15000",$C2:$C83,"&lt;=24999")</f>
        <v>310494.8</v>
      </c>
      <c r="AE93" s="125" t="e">
        <f>AVERAGEIFS(AE2:AE83,$C2:$C83,"&gt;=15000",$C2:$C83,"&lt;=24999")</f>
        <v>#DIV/0!</v>
      </c>
      <c r="AF93" s="125" t="e">
        <f>AVERAGEIFS(#REF!,$C2:$C83,"&gt;=15000",$C2:$C83,"&lt;=24999")</f>
        <v>#REF!</v>
      </c>
      <c r="AG93" s="125" t="e">
        <f>AVERAGEIFS(#REF!,$C2:$C83,"&gt;=15000",$C2:$C83,"&lt;=24999")</f>
        <v>#REF!</v>
      </c>
      <c r="AH93" s="125" t="e">
        <f t="shared" ref="AH93:BM93" si="137">AVERAGEIFS(AH2:AH83,$C2:$C83,"&gt;=15000",$C2:$C83,"&lt;=24999")</f>
        <v>#DIV/0!</v>
      </c>
      <c r="AI93" s="125">
        <f t="shared" si="137"/>
        <v>819756.8</v>
      </c>
      <c r="AJ93" s="110">
        <f t="shared" si="137"/>
        <v>37.323110836562385</v>
      </c>
      <c r="AK93" s="125">
        <f t="shared" si="137"/>
        <v>67399.600000000006</v>
      </c>
      <c r="AL93" s="125">
        <f t="shared" si="137"/>
        <v>6617.2</v>
      </c>
      <c r="AM93" s="125">
        <f t="shared" si="137"/>
        <v>17832</v>
      </c>
      <c r="AN93" s="125" t="e">
        <f t="shared" si="137"/>
        <v>#DIV/0!</v>
      </c>
      <c r="AO93" s="125">
        <f t="shared" si="137"/>
        <v>17832</v>
      </c>
      <c r="AP93" s="125">
        <f t="shared" si="137"/>
        <v>530817</v>
      </c>
      <c r="AQ93" s="110">
        <f t="shared" si="137"/>
        <v>23.925739751698508</v>
      </c>
      <c r="AR93" s="125" t="e">
        <f t="shared" si="137"/>
        <v>#DIV/0!</v>
      </c>
      <c r="AS93" s="125">
        <f t="shared" si="137"/>
        <v>2647</v>
      </c>
      <c r="AT93" s="125">
        <f t="shared" si="137"/>
        <v>0</v>
      </c>
      <c r="AU93" s="125">
        <f t="shared" si="137"/>
        <v>0</v>
      </c>
      <c r="AV93" s="125">
        <f t="shared" si="137"/>
        <v>0</v>
      </c>
      <c r="AW93" s="125" t="e">
        <f t="shared" si="137"/>
        <v>#DIV/0!</v>
      </c>
      <c r="AX93" s="125">
        <f t="shared" si="137"/>
        <v>0</v>
      </c>
      <c r="AY93" s="125">
        <f t="shared" si="137"/>
        <v>2647</v>
      </c>
      <c r="AZ93" s="108">
        <f t="shared" si="137"/>
        <v>38476</v>
      </c>
      <c r="BA93" s="109">
        <f t="shared" si="137"/>
        <v>1.7295575686905462</v>
      </c>
      <c r="BB93" s="108">
        <f t="shared" si="137"/>
        <v>2064</v>
      </c>
      <c r="BC93" s="108">
        <f t="shared" si="137"/>
        <v>2064</v>
      </c>
      <c r="BD93" s="108">
        <f t="shared" si="137"/>
        <v>3978.8</v>
      </c>
      <c r="BE93" s="108">
        <f t="shared" si="137"/>
        <v>2026.2</v>
      </c>
      <c r="BF93" s="108">
        <f t="shared" si="137"/>
        <v>108918.6</v>
      </c>
      <c r="BG93" s="108">
        <f t="shared" si="137"/>
        <v>0.8</v>
      </c>
      <c r="BH93" s="108">
        <f t="shared" si="137"/>
        <v>89</v>
      </c>
      <c r="BI93" s="108">
        <f t="shared" si="137"/>
        <v>0</v>
      </c>
      <c r="BJ93" s="108">
        <f t="shared" si="137"/>
        <v>89.8</v>
      </c>
      <c r="BK93" s="108">
        <f t="shared" si="137"/>
        <v>175454.2</v>
      </c>
      <c r="BL93" s="109">
        <f t="shared" si="137"/>
        <v>7.8753631431239866</v>
      </c>
      <c r="BM93" s="108">
        <f t="shared" si="137"/>
        <v>22.2</v>
      </c>
      <c r="BN93" s="108">
        <f t="shared" ref="BN93:CH93" si="138">AVERAGEIFS(BN2:BN83,$C2:$C83,"&gt;=15000",$C2:$C83,"&lt;=24999")</f>
        <v>7668.4</v>
      </c>
      <c r="BO93" s="109">
        <f t="shared" si="138"/>
        <v>0.34786919463295357</v>
      </c>
      <c r="BP93" s="108">
        <f t="shared" si="138"/>
        <v>24217.200000000001</v>
      </c>
      <c r="BQ93" s="108">
        <f t="shared" si="138"/>
        <v>0</v>
      </c>
      <c r="BR93" s="108">
        <f t="shared" si="138"/>
        <v>59583.199999999997</v>
      </c>
      <c r="BS93" s="108">
        <f t="shared" si="138"/>
        <v>16728.2</v>
      </c>
      <c r="BT93" s="108">
        <f t="shared" si="138"/>
        <v>76311.399999999994</v>
      </c>
      <c r="BU93" s="109">
        <f t="shared" si="138"/>
        <v>3.4250528994921119</v>
      </c>
      <c r="BV93" s="108">
        <f t="shared" si="138"/>
        <v>7728.1213594593046</v>
      </c>
      <c r="BW93" s="109">
        <f t="shared" si="138"/>
        <v>23.398465512362968</v>
      </c>
      <c r="BX93" s="109">
        <f t="shared" si="138"/>
        <v>1.5203136426170438</v>
      </c>
      <c r="BY93" s="109">
        <f t="shared" si="138"/>
        <v>0.4111531488534183</v>
      </c>
      <c r="BZ93" s="108">
        <f t="shared" si="138"/>
        <v>185</v>
      </c>
      <c r="CA93" s="108">
        <f t="shared" si="138"/>
        <v>50.4</v>
      </c>
      <c r="CB93" s="108">
        <f t="shared" si="138"/>
        <v>115.2</v>
      </c>
      <c r="CC93" s="108">
        <f t="shared" si="138"/>
        <v>350.6</v>
      </c>
      <c r="CD93" s="108">
        <f t="shared" si="138"/>
        <v>4766.8</v>
      </c>
      <c r="CE93" s="108">
        <f t="shared" si="138"/>
        <v>759.6</v>
      </c>
      <c r="CF93" s="108">
        <f t="shared" si="138"/>
        <v>1972.2</v>
      </c>
      <c r="CG93" s="108">
        <f t="shared" si="138"/>
        <v>7498.6</v>
      </c>
      <c r="CH93" s="109">
        <f t="shared" si="138"/>
        <v>0.33517817656504623</v>
      </c>
      <c r="CI93" s="108">
        <v>66540.372881355928</v>
      </c>
      <c r="CJ93" s="109">
        <f>AVERAGEIFS(CJ2:CJ83,$C2:$C83,"&gt;=15000",$C2:$C83,"&lt;=24999")</f>
        <v>2.4286707232793328</v>
      </c>
      <c r="CK93" s="108">
        <f>AVERAGEIFS(CK2:CK83,$C2:$C83,"&gt;=15000",$C2:$C83,"&lt;=24999")</f>
        <v>8703</v>
      </c>
      <c r="CL93" s="128">
        <f>COUNTIFS(CL2:CL83,"YES",$C2:$C83,"&gt;=15000",$C2:$C83,"&lt;=24999")</f>
        <v>5</v>
      </c>
      <c r="CM93" s="128">
        <f>COUNTIFS(CM2:CM83,"YES",$C2:$C83,"&gt;=15000",$C2:$C83,"&lt;=24999")</f>
        <v>5</v>
      </c>
      <c r="CN93" s="128">
        <f>COUNTIFS(CN2:CN83,"YES",$C2:$C83,"&gt;=15000",$C2:$C83,"&lt;=24999")</f>
        <v>5</v>
      </c>
      <c r="CO93" s="169">
        <f t="shared" ref="CO93:CW93" si="139">AVERAGEIFS(CO2:CO83,$C2:$C83,"&gt;=15000",$C2:$C83,"&lt;=24999")</f>
        <v>1.762</v>
      </c>
      <c r="CP93" s="108">
        <f t="shared" si="139"/>
        <v>5559.2</v>
      </c>
      <c r="CQ93" s="169">
        <f t="shared" si="139"/>
        <v>0</v>
      </c>
      <c r="CR93" s="169">
        <f t="shared" si="139"/>
        <v>7.4680000000000009</v>
      </c>
      <c r="CS93" s="169">
        <f t="shared" si="139"/>
        <v>9.23</v>
      </c>
      <c r="CT93" s="108">
        <f t="shared" si="139"/>
        <v>2490.0125209988951</v>
      </c>
      <c r="CU93" s="108">
        <f t="shared" si="139"/>
        <v>833.6</v>
      </c>
      <c r="CV93" s="125">
        <f t="shared" si="139"/>
        <v>58557</v>
      </c>
      <c r="CW93" s="109">
        <f t="shared" si="139"/>
        <v>35.799999999999997</v>
      </c>
      <c r="CX93" s="128">
        <f>COUNTIFS(CX2:CX83,"YES", $C2:$C83,"&gt;=15000",$C2:$C83,"&lt;=24999")</f>
        <v>5</v>
      </c>
      <c r="CY93" s="128">
        <f>COUNTIFS(CY2:CY83,"YES", $C2:$C83,"&gt;=15000",$C2:$C83,"&lt;=24999")</f>
        <v>5</v>
      </c>
      <c r="CZ93" s="108">
        <f t="shared" ref="CZ93:DL93" si="140">AVERAGEIFS(CZ2:CZ83,$C2:$C83,"&gt;=15000",$C2:$C83,"&lt;=24999")</f>
        <v>3936.8</v>
      </c>
      <c r="DA93" s="108">
        <f t="shared" si="140"/>
        <v>3320.2</v>
      </c>
      <c r="DB93" s="143">
        <f t="shared" si="140"/>
        <v>29</v>
      </c>
      <c r="DC93" s="108">
        <f t="shared" si="140"/>
        <v>6714.6</v>
      </c>
      <c r="DD93" s="108">
        <f t="shared" si="140"/>
        <v>42809</v>
      </c>
      <c r="DE93" s="108">
        <f t="shared" si="140"/>
        <v>70236</v>
      </c>
      <c r="DF93" s="108">
        <f t="shared" si="140"/>
        <v>4048.4</v>
      </c>
      <c r="DG93" s="108">
        <f t="shared" si="140"/>
        <v>51.8</v>
      </c>
      <c r="DH93" s="108">
        <f t="shared" si="140"/>
        <v>0.18294637432900104</v>
      </c>
      <c r="DI93" s="108">
        <f t="shared" si="140"/>
        <v>39.6</v>
      </c>
      <c r="DJ93" s="108">
        <f t="shared" si="140"/>
        <v>39.6</v>
      </c>
      <c r="DK93" s="108" t="e">
        <f t="shared" si="140"/>
        <v>#DIV/0!</v>
      </c>
      <c r="DL93" s="108">
        <f t="shared" si="140"/>
        <v>3424</v>
      </c>
      <c r="DM93" s="129"/>
      <c r="DN93" s="127"/>
      <c r="DO93" s="107"/>
      <c r="DS93" s="109"/>
      <c r="DT93" s="114"/>
      <c r="DW93" s="109">
        <f t="shared" ref="DW93:EB93" si="141">AVERAGEIFS(DW2:DW83,$C2:$C83,"&gt;=15000",$C2:$C83,"&lt;=24999")</f>
        <v>1.0792689766521444</v>
      </c>
      <c r="DX93" s="109">
        <f t="shared" si="141"/>
        <v>0</v>
      </c>
      <c r="DY93" s="109">
        <f t="shared" si="141"/>
        <v>2.681967429356479</v>
      </c>
      <c r="DZ93" s="187">
        <f t="shared" si="141"/>
        <v>0.74308547013563264</v>
      </c>
      <c r="EA93" s="203">
        <f t="shared" si="141"/>
        <v>0.41575841491759091</v>
      </c>
      <c r="EB93" s="203">
        <f t="shared" si="141"/>
        <v>0.29278658025473209</v>
      </c>
    </row>
    <row r="94" spans="1:132" ht="15" thickBot="1">
      <c r="B94" s="88" t="s">
        <v>203</v>
      </c>
      <c r="C94" s="108">
        <f t="shared" ref="C94:AB94" si="142">AVERAGEIFS(C2:C83,$C2:$C83,"&gt;=25000",$C2:$C83,"&lt;=49999")</f>
        <v>41029.384615384617</v>
      </c>
      <c r="D94" s="108">
        <f t="shared" si="142"/>
        <v>1.4615384615384615</v>
      </c>
      <c r="E94" s="108">
        <f t="shared" si="142"/>
        <v>0.30769230769230771</v>
      </c>
      <c r="F94" s="108">
        <f t="shared" si="142"/>
        <v>26088.538461538461</v>
      </c>
      <c r="G94" s="32" t="e">
        <f t="shared" si="142"/>
        <v>#DIV/0!</v>
      </c>
      <c r="H94" s="108">
        <f t="shared" si="142"/>
        <v>26088.538461538461</v>
      </c>
      <c r="I94" s="109">
        <f t="shared" si="142"/>
        <v>0.65267076923076917</v>
      </c>
      <c r="J94" s="125">
        <f t="shared" si="142"/>
        <v>535332.23076923075</v>
      </c>
      <c r="K94" s="125">
        <f t="shared" si="142"/>
        <v>195839.61538461538</v>
      </c>
      <c r="L94" s="125">
        <f t="shared" si="142"/>
        <v>731171.84615384613</v>
      </c>
      <c r="M94" s="110">
        <f t="shared" si="142"/>
        <v>17.862449535952592</v>
      </c>
      <c r="N94" s="125">
        <f t="shared" si="142"/>
        <v>66725.307692307688</v>
      </c>
      <c r="O94" s="125">
        <f t="shared" si="142"/>
        <v>26069</v>
      </c>
      <c r="P94" s="125">
        <f t="shared" si="142"/>
        <v>11477.923076923076</v>
      </c>
      <c r="Q94" s="125">
        <f t="shared" si="142"/>
        <v>104272.23076923077</v>
      </c>
      <c r="R94" s="110">
        <f t="shared" si="142"/>
        <v>2.5445530085580548</v>
      </c>
      <c r="S94" s="125">
        <f t="shared" si="142"/>
        <v>184149.76923076922</v>
      </c>
      <c r="T94" s="125">
        <f t="shared" si="142"/>
        <v>1019593.8461538461</v>
      </c>
      <c r="U94" s="125">
        <f t="shared" si="142"/>
        <v>521.30769230769226</v>
      </c>
      <c r="V94" s="125">
        <f t="shared" si="142"/>
        <v>1019593.8461538461</v>
      </c>
      <c r="W94" s="110">
        <f t="shared" si="142"/>
        <v>24.76369444887434</v>
      </c>
      <c r="X94" s="126">
        <f t="shared" si="142"/>
        <v>0.72818534624901765</v>
      </c>
      <c r="Y94" s="126">
        <f t="shared" si="142"/>
        <v>9.7599074080917836E-2</v>
      </c>
      <c r="Z94" s="126">
        <f t="shared" si="142"/>
        <v>0.17421557967006437</v>
      </c>
      <c r="AA94" s="126">
        <f t="shared" si="142"/>
        <v>5.741122396629299E-4</v>
      </c>
      <c r="AB94" s="125">
        <f t="shared" si="142"/>
        <v>45156.153846153844</v>
      </c>
      <c r="AC94" s="125">
        <f>AVERAGEIFS(AF2:AF83,$C2:$C83,"&gt;=25000",$C2:$C83,"&lt;=49999")</f>
        <v>1019593.8461538461</v>
      </c>
      <c r="AD94" s="125">
        <f>AVERAGEIFS(AG2:AG83,$C2:$C83,"&gt;=25000",$C2:$C83,"&lt;=49999")</f>
        <v>643113.23076923075</v>
      </c>
      <c r="AE94" s="125" t="e">
        <f>AVERAGEIFS(AE2:AE83,$C2:$C83,"&gt;=25000",$C2:$C83,"&lt;=49999")</f>
        <v>#DIV/0!</v>
      </c>
      <c r="AF94" s="125" t="e">
        <f>AVERAGEIFS(#REF!,$C2:$C83,"&gt;=25000",$C2:$C83,"&lt;=49999")</f>
        <v>#REF!</v>
      </c>
      <c r="AG94" s="125" t="e">
        <f>AVERAGEIFS(#REF!,$C2:$C83,"&gt;=25000",$C2:$C83,"&lt;=49999")</f>
        <v>#REF!</v>
      </c>
      <c r="AH94" s="125" t="e">
        <f t="shared" ref="AH94:BM94" si="143">AVERAGEIFS(AH2:AH83,$C2:$C83,"&gt;=25000",$C2:$C83,"&lt;=49999")</f>
        <v>#DIV/0!</v>
      </c>
      <c r="AI94" s="125">
        <f t="shared" si="143"/>
        <v>1662707.076923077</v>
      </c>
      <c r="AJ94" s="110">
        <f t="shared" si="143"/>
        <v>40.696132694422765</v>
      </c>
      <c r="AK94" s="125">
        <f t="shared" si="143"/>
        <v>126110.92307692308</v>
      </c>
      <c r="AL94" s="125">
        <f t="shared" si="143"/>
        <v>22082.76923076923</v>
      </c>
      <c r="AM94" s="125">
        <f t="shared" si="143"/>
        <v>28174.153846153848</v>
      </c>
      <c r="AN94" s="125" t="e">
        <f t="shared" si="143"/>
        <v>#DIV/0!</v>
      </c>
      <c r="AO94" s="125">
        <f t="shared" si="143"/>
        <v>28174.153846153848</v>
      </c>
      <c r="AP94" s="125">
        <f t="shared" si="143"/>
        <v>1102804.3076923077</v>
      </c>
      <c r="AQ94" s="110">
        <f t="shared" si="143"/>
        <v>26.776643411410955</v>
      </c>
      <c r="AR94" s="125" t="e">
        <f t="shared" si="143"/>
        <v>#DIV/0!</v>
      </c>
      <c r="AS94" s="125">
        <f t="shared" si="143"/>
        <v>63737.538461538461</v>
      </c>
      <c r="AT94" s="125">
        <f t="shared" si="143"/>
        <v>0</v>
      </c>
      <c r="AU94" s="125">
        <f t="shared" si="143"/>
        <v>0</v>
      </c>
      <c r="AV94" s="125">
        <f t="shared" si="143"/>
        <v>7692.3076923076924</v>
      </c>
      <c r="AW94" s="125" t="e">
        <f t="shared" si="143"/>
        <v>#DIV/0!</v>
      </c>
      <c r="AX94" s="125">
        <f t="shared" si="143"/>
        <v>828</v>
      </c>
      <c r="AY94" s="125">
        <f t="shared" si="143"/>
        <v>72257.846153846156</v>
      </c>
      <c r="AZ94" s="108">
        <f t="shared" si="143"/>
        <v>83256</v>
      </c>
      <c r="BA94" s="109">
        <f t="shared" si="143"/>
        <v>2.0245170952927358</v>
      </c>
      <c r="BB94" s="108">
        <f t="shared" si="143"/>
        <v>4167.9230769230771</v>
      </c>
      <c r="BC94" s="108">
        <f t="shared" si="143"/>
        <v>4167.9230769230771</v>
      </c>
      <c r="BD94" s="108">
        <f t="shared" si="143"/>
        <v>6166.6923076923076</v>
      </c>
      <c r="BE94" s="108">
        <f t="shared" si="143"/>
        <v>2030.9230769230769</v>
      </c>
      <c r="BF94" s="108">
        <f t="shared" si="143"/>
        <v>108402.61538461539</v>
      </c>
      <c r="BG94" s="108">
        <f t="shared" si="143"/>
        <v>5.1538461538461542</v>
      </c>
      <c r="BH94" s="108">
        <f t="shared" si="143"/>
        <v>89</v>
      </c>
      <c r="BI94" s="108">
        <f t="shared" si="143"/>
        <v>0</v>
      </c>
      <c r="BJ94" s="108">
        <f t="shared" si="143"/>
        <v>94.15384615384616</v>
      </c>
      <c r="BK94" s="108">
        <f t="shared" si="143"/>
        <v>226286.92307692306</v>
      </c>
      <c r="BL94" s="109">
        <f t="shared" si="143"/>
        <v>5.5505931806045066</v>
      </c>
      <c r="BM94" s="108">
        <f t="shared" si="143"/>
        <v>72.230769230769226</v>
      </c>
      <c r="BN94" s="108">
        <f t="shared" ref="BN94:CH94" si="144">AVERAGEIFS(BN2:BN83,$C2:$C83,"&gt;=25000",$C2:$C83,"&lt;=49999")</f>
        <v>23182.384615384617</v>
      </c>
      <c r="BO94" s="109">
        <f t="shared" si="144"/>
        <v>0.53992693809261205</v>
      </c>
      <c r="BP94" s="108">
        <f t="shared" si="144"/>
        <v>53461.153846153844</v>
      </c>
      <c r="BQ94" s="108">
        <f t="shared" si="144"/>
        <v>0</v>
      </c>
      <c r="BR94" s="108">
        <f t="shared" si="144"/>
        <v>120353.61538461539</v>
      </c>
      <c r="BS94" s="108">
        <f t="shared" si="144"/>
        <v>38863.230769230766</v>
      </c>
      <c r="BT94" s="108">
        <f t="shared" si="144"/>
        <v>159216.84615384616</v>
      </c>
      <c r="BU94" s="109">
        <f t="shared" si="144"/>
        <v>3.8636115880492365</v>
      </c>
      <c r="BV94" s="108">
        <f t="shared" si="144"/>
        <v>9834.319095248271</v>
      </c>
      <c r="BW94" s="109">
        <f t="shared" si="144"/>
        <v>50.700833392712113</v>
      </c>
      <c r="BX94" s="109">
        <f t="shared" si="144"/>
        <v>1.5328419686809056</v>
      </c>
      <c r="BY94" s="109">
        <f t="shared" si="144"/>
        <v>0.62164142651283505</v>
      </c>
      <c r="BZ94" s="108">
        <f t="shared" si="144"/>
        <v>285.76923076923077</v>
      </c>
      <c r="CA94" s="108">
        <f t="shared" si="144"/>
        <v>33</v>
      </c>
      <c r="CB94" s="108">
        <f t="shared" si="144"/>
        <v>143.38461538461539</v>
      </c>
      <c r="CC94" s="108">
        <f t="shared" si="144"/>
        <v>462.15384615384613</v>
      </c>
      <c r="CD94" s="108">
        <f t="shared" si="144"/>
        <v>7287.9230769230771</v>
      </c>
      <c r="CE94" s="108">
        <f t="shared" si="144"/>
        <v>490.46153846153845</v>
      </c>
      <c r="CF94" s="108">
        <f t="shared" si="144"/>
        <v>2186.6153846153848</v>
      </c>
      <c r="CG94" s="108">
        <f t="shared" si="144"/>
        <v>9965</v>
      </c>
      <c r="CH94" s="109">
        <f t="shared" si="144"/>
        <v>0.24039086878400587</v>
      </c>
      <c r="CI94" s="108">
        <v>112978.4328358209</v>
      </c>
      <c r="CJ94" s="109">
        <f>AVERAGEIFS(CJ2:CJ83,$C2:$C83,"&gt;=25000",$C2:$C83,"&lt;=49999")</f>
        <v>2.2740736250069862</v>
      </c>
      <c r="CK94" s="108">
        <f>AVERAGEIFS(CK2:CK83,$C2:$C83,"&gt;=25000",$C2:$C83,"&lt;=49999")</f>
        <v>20745</v>
      </c>
      <c r="CL94" s="128">
        <f>COUNTIFS(CL2:CL83,"YES",$C2:$C83,"&gt;=25000",$C2:$C83,"&lt;=49999")</f>
        <v>13</v>
      </c>
      <c r="CM94" s="128">
        <f>COUNTIFS(CM2:CM83,"YES",$C2:$C83,"&gt;=25000",$C2:$C83,"&lt;=49999")</f>
        <v>13</v>
      </c>
      <c r="CN94" s="128">
        <f>COUNTIFS(CN2:CN83,"YES",$C2:$C83,"&gt;=25000",$C2:$C83,"&lt;=49999")</f>
        <v>13</v>
      </c>
      <c r="CO94" s="169">
        <f t="shared" ref="CO94:CW94" si="145">AVERAGEIFS(CO2:CO83,$C2:$C83,"&gt;=25000",$C2:$C83,"&lt;=49999")</f>
        <v>3.38</v>
      </c>
      <c r="CP94" s="108">
        <f t="shared" si="145"/>
        <v>9368.9305125703413</v>
      </c>
      <c r="CQ94" s="169">
        <f t="shared" si="145"/>
        <v>0.43769230769230766</v>
      </c>
      <c r="CR94" s="169">
        <f t="shared" si="145"/>
        <v>10.994615384615383</v>
      </c>
      <c r="CS94" s="169">
        <f t="shared" si="145"/>
        <v>14.812307692307693</v>
      </c>
      <c r="CT94" s="108">
        <f t="shared" si="145"/>
        <v>3343.7544031126881</v>
      </c>
      <c r="CU94" s="108">
        <f t="shared" si="145"/>
        <v>985.33333333333337</v>
      </c>
      <c r="CV94" s="125">
        <f t="shared" si="145"/>
        <v>66650.615769230775</v>
      </c>
      <c r="CW94" s="109">
        <f t="shared" si="145"/>
        <v>36.92307692307692</v>
      </c>
      <c r="CX94" s="128">
        <f>COUNTIFS(CX2:CX83,"YES", $C2:$C83,"&gt;=25000",$C2:$C83,"&lt;=49999")</f>
        <v>13</v>
      </c>
      <c r="CY94" s="128">
        <f>COUNTIFS(CY2:CY83,"YES", $C2:$C83,"&gt;=25000",$C2:$C83,"&lt;=49999")</f>
        <v>13</v>
      </c>
      <c r="CZ94" s="108">
        <f t="shared" ref="CZ94:DL94" si="146">AVERAGEIFS(CZ2:CZ83,$C2:$C83,"&gt;=25000",$C2:$C83,"&lt;=49999")</f>
        <v>2317.7692307692309</v>
      </c>
      <c r="DA94" s="108">
        <f t="shared" si="146"/>
        <v>1583.4615384615386</v>
      </c>
      <c r="DB94" s="143">
        <f t="shared" si="146"/>
        <v>43.307692307692307</v>
      </c>
      <c r="DC94" s="108">
        <f t="shared" si="146"/>
        <v>13378.384615384615</v>
      </c>
      <c r="DD94" s="108">
        <f t="shared" si="146"/>
        <v>22754.625</v>
      </c>
      <c r="DE94" s="108">
        <f t="shared" si="146"/>
        <v>60406.8</v>
      </c>
      <c r="DF94" s="108">
        <f t="shared" si="146"/>
        <v>5762.3846153846152</v>
      </c>
      <c r="DG94" s="108">
        <f t="shared" si="146"/>
        <v>51.153846153846153</v>
      </c>
      <c r="DH94" s="108">
        <f t="shared" si="146"/>
        <v>0.14085052690210065</v>
      </c>
      <c r="DI94" s="108">
        <f t="shared" si="146"/>
        <v>42.92307692307692</v>
      </c>
      <c r="DJ94" s="108">
        <f t="shared" si="146"/>
        <v>42.92307692307692</v>
      </c>
      <c r="DK94" s="108">
        <f t="shared" si="146"/>
        <v>4789</v>
      </c>
      <c r="DL94" s="108">
        <f t="shared" si="146"/>
        <v>4264.6923076923076</v>
      </c>
      <c r="DM94" s="129"/>
      <c r="DN94" s="127"/>
      <c r="DO94" s="107"/>
      <c r="DS94" s="109"/>
      <c r="DT94" s="114"/>
      <c r="DW94" s="109">
        <f t="shared" ref="DW94:EB94" si="147">AVERAGEIFS(DW2:DW83,$C2:$C83,"&gt;=25000",$C2:$C83,"&lt;=49999")</f>
        <v>1.3001897855155431</v>
      </c>
      <c r="DX94" s="109">
        <f t="shared" si="147"/>
        <v>0</v>
      </c>
      <c r="DY94" s="109">
        <f t="shared" si="147"/>
        <v>2.9156141079006144</v>
      </c>
      <c r="DZ94" s="187">
        <f t="shared" si="147"/>
        <v>0.94799748014862228</v>
      </c>
      <c r="EA94" s="203">
        <f t="shared" si="147"/>
        <v>0.55280875685976549</v>
      </c>
      <c r="EB94" s="203">
        <f t="shared" si="147"/>
        <v>0.64311455288347497</v>
      </c>
    </row>
    <row r="95" spans="1:132" ht="15" thickBot="1">
      <c r="B95" s="88" t="s">
        <v>204</v>
      </c>
      <c r="C95" s="108">
        <f t="shared" ref="C95:AB95" si="148">AVERAGEIFS(C2:C83,$C2:$C83,"&gt;=50000",$C2:$C83,"&lt;=99999")</f>
        <v>73266.269230769234</v>
      </c>
      <c r="D95" s="108">
        <f t="shared" si="148"/>
        <v>3.3076923076923075</v>
      </c>
      <c r="E95" s="108">
        <f t="shared" si="148"/>
        <v>0.19230769230769232</v>
      </c>
      <c r="F95" s="108">
        <f t="shared" si="148"/>
        <v>34481.076923076922</v>
      </c>
      <c r="G95" s="32" t="e">
        <f t="shared" si="148"/>
        <v>#DIV/0!</v>
      </c>
      <c r="H95" s="108">
        <f t="shared" si="148"/>
        <v>34481.076923076922</v>
      </c>
      <c r="I95" s="109">
        <f t="shared" si="148"/>
        <v>0.47907923076923087</v>
      </c>
      <c r="J95" s="125">
        <f t="shared" si="148"/>
        <v>769520.9615384615</v>
      </c>
      <c r="K95" s="125">
        <f t="shared" si="148"/>
        <v>291801.23076923075</v>
      </c>
      <c r="L95" s="125">
        <f t="shared" si="148"/>
        <v>1061322.1923076923</v>
      </c>
      <c r="M95" s="110">
        <f t="shared" si="148"/>
        <v>14.289502687760727</v>
      </c>
      <c r="N95" s="125">
        <f t="shared" si="148"/>
        <v>97853.346153846156</v>
      </c>
      <c r="O95" s="125">
        <f t="shared" si="148"/>
        <v>24871.192307692309</v>
      </c>
      <c r="P95" s="125">
        <f t="shared" si="148"/>
        <v>16370.653846153846</v>
      </c>
      <c r="Q95" s="125">
        <f t="shared" si="148"/>
        <v>139095.19230769231</v>
      </c>
      <c r="R95" s="110">
        <f t="shared" si="148"/>
        <v>1.8690050718375892</v>
      </c>
      <c r="S95" s="125">
        <f t="shared" si="148"/>
        <v>270502.23076923075</v>
      </c>
      <c r="T95" s="125">
        <f t="shared" si="148"/>
        <v>1470919.6153846155</v>
      </c>
      <c r="U95" s="125">
        <f t="shared" si="148"/>
        <v>628.19230769230774</v>
      </c>
      <c r="V95" s="125">
        <f t="shared" si="148"/>
        <v>1470919.6153846155</v>
      </c>
      <c r="W95" s="110">
        <f t="shared" si="148"/>
        <v>19.767974557983923</v>
      </c>
      <c r="X95" s="126">
        <f t="shared" si="148"/>
        <v>0.72416676603678287</v>
      </c>
      <c r="Y95" s="126">
        <f t="shared" si="148"/>
        <v>9.9459882205380268E-2</v>
      </c>
      <c r="Z95" s="126">
        <f t="shared" si="148"/>
        <v>0.1763733517578368</v>
      </c>
      <c r="AA95" s="126">
        <f t="shared" si="148"/>
        <v>4.2987191585237893E-4</v>
      </c>
      <c r="AB95" s="125">
        <f t="shared" si="148"/>
        <v>74448.230769230766</v>
      </c>
      <c r="AC95" s="125">
        <f>AVERAGEIFS(AF2:AF83,$C2:$C83,"&gt;=50000",$C2:$C83,"&lt;=99999")</f>
        <v>1470919.6153846155</v>
      </c>
      <c r="AD95" s="125">
        <f>AVERAGEIFS(AG2:AG83,$C2:$C83,"&gt;=50000",$C2:$C83,"&lt;=99999")</f>
        <v>1116892.076923077</v>
      </c>
      <c r="AE95" s="125" t="e">
        <f>AVERAGEIFS(AE2:AE83,$C2:$C83,"&gt;=50000",$C2:$C83,"&lt;=99999")</f>
        <v>#DIV/0!</v>
      </c>
      <c r="AF95" s="125" t="e">
        <f>AVERAGEIFS(#REF!,$C2:$C83,"&gt;=50000",$C2:$C83,"&lt;=99999")</f>
        <v>#REF!</v>
      </c>
      <c r="AG95" s="125" t="e">
        <f>AVERAGEIFS(#REF!,$C2:$C83,"&gt;=50000",$C2:$C83,"&lt;=99999")</f>
        <v>#REF!</v>
      </c>
      <c r="AH95" s="125" t="e">
        <f t="shared" ref="AH95:BM95" si="149">AVERAGEIFS(AH2:AH83,$C2:$C83,"&gt;=50000",$C2:$C83,"&lt;=99999")</f>
        <v>#DIV/0!</v>
      </c>
      <c r="AI95" s="125">
        <f t="shared" si="149"/>
        <v>2587811.6923076925</v>
      </c>
      <c r="AJ95" s="110">
        <f t="shared" si="149"/>
        <v>34.690487886390457</v>
      </c>
      <c r="AK95" s="125">
        <f t="shared" si="149"/>
        <v>155929.76923076922</v>
      </c>
      <c r="AL95" s="125">
        <f t="shared" si="149"/>
        <v>12979</v>
      </c>
      <c r="AM95" s="125">
        <f t="shared" si="149"/>
        <v>101827.42307692308</v>
      </c>
      <c r="AN95" s="125" t="e">
        <f t="shared" si="149"/>
        <v>#DIV/0!</v>
      </c>
      <c r="AO95" s="125">
        <f t="shared" si="149"/>
        <v>101827.42307692308</v>
      </c>
      <c r="AP95" s="125">
        <f t="shared" si="149"/>
        <v>1547953.5</v>
      </c>
      <c r="AQ95" s="110">
        <f t="shared" si="149"/>
        <v>20.82360550025626</v>
      </c>
      <c r="AR95" s="125" t="e">
        <f t="shared" si="149"/>
        <v>#DIV/0!</v>
      </c>
      <c r="AS95" s="125">
        <f t="shared" si="149"/>
        <v>45066.384615384617</v>
      </c>
      <c r="AT95" s="125">
        <f t="shared" si="149"/>
        <v>0</v>
      </c>
      <c r="AU95" s="125">
        <f t="shared" si="149"/>
        <v>15384.615384615385</v>
      </c>
      <c r="AV95" s="125">
        <f t="shared" si="149"/>
        <v>0</v>
      </c>
      <c r="AW95" s="125" t="e">
        <f t="shared" si="149"/>
        <v>#DIV/0!</v>
      </c>
      <c r="AX95" s="125">
        <f t="shared" si="149"/>
        <v>1630.9615384615386</v>
      </c>
      <c r="AY95" s="125">
        <f t="shared" si="149"/>
        <v>62081.961538461539</v>
      </c>
      <c r="AZ95" s="108">
        <f t="shared" si="149"/>
        <v>125516.03846153847</v>
      </c>
      <c r="BA95" s="109">
        <f t="shared" si="149"/>
        <v>1.7487882430240338</v>
      </c>
      <c r="BB95" s="108">
        <f t="shared" si="149"/>
        <v>4183.4230769230771</v>
      </c>
      <c r="BC95" s="108">
        <f t="shared" si="149"/>
        <v>4183.4230769230771</v>
      </c>
      <c r="BD95" s="108">
        <f t="shared" si="149"/>
        <v>7662.2307692307695</v>
      </c>
      <c r="BE95" s="108">
        <f t="shared" si="149"/>
        <v>2032.3076923076924</v>
      </c>
      <c r="BF95" s="108">
        <f t="shared" si="149"/>
        <v>110607.26923076923</v>
      </c>
      <c r="BG95" s="108">
        <f t="shared" si="149"/>
        <v>3.2307692307692308</v>
      </c>
      <c r="BH95" s="108">
        <f t="shared" si="149"/>
        <v>89</v>
      </c>
      <c r="BI95" s="108">
        <f t="shared" si="149"/>
        <v>0</v>
      </c>
      <c r="BJ95" s="108">
        <f t="shared" si="149"/>
        <v>92.230769230769226</v>
      </c>
      <c r="BK95" s="108">
        <f t="shared" si="149"/>
        <v>272752.38461538462</v>
      </c>
      <c r="BL95" s="109">
        <f t="shared" si="149"/>
        <v>3.8217905445914564</v>
      </c>
      <c r="BM95" s="108">
        <f t="shared" si="149"/>
        <v>169.65384615384616</v>
      </c>
      <c r="BN95" s="108">
        <f t="shared" ref="BN95:CH95" si="150">AVERAGEIFS(BN2:BN83,$C2:$C83,"&gt;=50000",$C2:$C83,"&lt;=99999")</f>
        <v>31369.538461538461</v>
      </c>
      <c r="BO95" s="109">
        <f t="shared" si="150"/>
        <v>0.40168632799996307</v>
      </c>
      <c r="BP95" s="108">
        <f t="shared" si="150"/>
        <v>77249.576923076922</v>
      </c>
      <c r="BQ95" s="108">
        <f t="shared" si="150"/>
        <v>0</v>
      </c>
      <c r="BR95" s="108">
        <f t="shared" si="150"/>
        <v>172802.19230769231</v>
      </c>
      <c r="BS95" s="108">
        <f t="shared" si="150"/>
        <v>59030.769230769234</v>
      </c>
      <c r="BT95" s="108">
        <f t="shared" si="150"/>
        <v>231832.96153846153</v>
      </c>
      <c r="BU95" s="109">
        <f t="shared" si="150"/>
        <v>3.2157099566838125</v>
      </c>
      <c r="BV95" s="108">
        <f t="shared" si="150"/>
        <v>10351.431343447561</v>
      </c>
      <c r="BW95" s="109">
        <f t="shared" si="150"/>
        <v>50.270643796148747</v>
      </c>
      <c r="BX95" s="109">
        <f t="shared" si="150"/>
        <v>1.8670656462185455</v>
      </c>
      <c r="BY95" s="109">
        <f t="shared" si="150"/>
        <v>0.8105329478582749</v>
      </c>
      <c r="BZ95" s="108">
        <f t="shared" si="150"/>
        <v>403.69230769230768</v>
      </c>
      <c r="CA95" s="108">
        <f t="shared" si="150"/>
        <v>37.5</v>
      </c>
      <c r="CB95" s="108">
        <f t="shared" si="150"/>
        <v>182.46153846153845</v>
      </c>
      <c r="CC95" s="108">
        <f t="shared" si="150"/>
        <v>623.65384615384619</v>
      </c>
      <c r="CD95" s="108">
        <f t="shared" si="150"/>
        <v>9679.5769230769238</v>
      </c>
      <c r="CE95" s="108">
        <f t="shared" si="150"/>
        <v>618.46153846153845</v>
      </c>
      <c r="CF95" s="108">
        <f t="shared" si="150"/>
        <v>2455.9230769230771</v>
      </c>
      <c r="CG95" s="108">
        <f t="shared" si="150"/>
        <v>12753.961538461539</v>
      </c>
      <c r="CH95" s="109">
        <f t="shared" si="150"/>
        <v>0.16885491921672363</v>
      </c>
      <c r="CI95" s="108">
        <v>186963.25806451612</v>
      </c>
      <c r="CJ95" s="109">
        <f>AVERAGEIFS(CJ2:CJ83,$C2:$C83,"&gt;=50000",$C2:$C83,"&lt;=99999")</f>
        <v>1.72529621748582</v>
      </c>
      <c r="CK95" s="108">
        <f>AVERAGEIFS(CK2:CK83,$C2:$C83,"&gt;=50000",$C2:$C83,"&lt;=99999")</f>
        <v>35027.461538461539</v>
      </c>
      <c r="CL95" s="128">
        <f>COUNTIFS(CL2:CL83,"YES",$C2:$C83,"&gt;=50000",$C2:$C83,"&lt;=99999")</f>
        <v>26</v>
      </c>
      <c r="CM95" s="128">
        <f>COUNTIFS(CM2:CM83,"YES",$C2:$C83,"&gt;=50000",$C2:$C83,"&lt;=99999")</f>
        <v>26</v>
      </c>
      <c r="CN95" s="128">
        <f>COUNTIFS(CN2:CN83,"YES",$C2:$C83,"&gt;=50000",$C2:$C83,"&lt;=99999")</f>
        <v>26</v>
      </c>
      <c r="CO95" s="169">
        <f t="shared" ref="CO95:CW95" si="151">AVERAGEIFS(CO2:CO83,$C2:$C83,"&gt;=50000",$C2:$C83,"&lt;=99999")</f>
        <v>3.9569230769230765</v>
      </c>
      <c r="CP95" s="108">
        <f t="shared" si="151"/>
        <v>16440.680587999341</v>
      </c>
      <c r="CQ95" s="169">
        <f t="shared" si="151"/>
        <v>0.57692307692307687</v>
      </c>
      <c r="CR95" s="169">
        <f t="shared" si="151"/>
        <v>16.486153846153847</v>
      </c>
      <c r="CS95" s="169">
        <f t="shared" si="151"/>
        <v>21.02</v>
      </c>
      <c r="CT95" s="108">
        <f t="shared" si="151"/>
        <v>3691.6172863139095</v>
      </c>
      <c r="CU95" s="108">
        <f t="shared" si="151"/>
        <v>809.28</v>
      </c>
      <c r="CV95" s="125">
        <f t="shared" si="151"/>
        <v>74927.423076923078</v>
      </c>
      <c r="CW95" s="109">
        <f t="shared" si="151"/>
        <v>36.192307692307693</v>
      </c>
      <c r="CX95" s="128">
        <f>COUNTIFS(CX2:CX83,"YES", $C2:$C83,"&gt;=50000",$C2:$C83,"&lt;=99999")</f>
        <v>26</v>
      </c>
      <c r="CY95" s="128">
        <f>COUNTIFS(CY2:CY83,"YES", $C2:$C83,"&gt;=50000",$C2:$C83,"&lt;=99999")</f>
        <v>25</v>
      </c>
      <c r="CZ95" s="108">
        <f t="shared" ref="CZ95:DL95" si="152">AVERAGEIFS(CZ2:CZ83,$C2:$C83,"&gt;=50000",$C2:$C83,"&lt;=99999")</f>
        <v>4732.0384615384619</v>
      </c>
      <c r="DA95" s="108">
        <f t="shared" si="152"/>
        <v>3110.5769230769229</v>
      </c>
      <c r="DB95" s="143">
        <f t="shared" si="152"/>
        <v>60</v>
      </c>
      <c r="DC95" s="108">
        <f t="shared" si="152"/>
        <v>24626.923076923078</v>
      </c>
      <c r="DD95" s="108">
        <f t="shared" si="152"/>
        <v>43318.941176470587</v>
      </c>
      <c r="DE95" s="108">
        <f t="shared" si="152"/>
        <v>117389.75</v>
      </c>
      <c r="DF95" s="108">
        <f t="shared" si="152"/>
        <v>8884.7307692307695</v>
      </c>
      <c r="DG95" s="108">
        <f t="shared" si="152"/>
        <v>49.46153846153846</v>
      </c>
      <c r="DH95" s="108">
        <f t="shared" si="152"/>
        <v>0.12366762386009746</v>
      </c>
      <c r="DI95" s="108">
        <f t="shared" si="152"/>
        <v>43.46153846153846</v>
      </c>
      <c r="DJ95" s="108">
        <f t="shared" si="152"/>
        <v>43.192307692307693</v>
      </c>
      <c r="DK95" s="108">
        <f t="shared" si="152"/>
        <v>6246.8888888888887</v>
      </c>
      <c r="DL95" s="108">
        <f t="shared" si="152"/>
        <v>7156.7692307692305</v>
      </c>
      <c r="DM95" s="129"/>
      <c r="DN95" s="127"/>
      <c r="DO95" s="107"/>
      <c r="DS95" s="109"/>
      <c r="DT95" s="114"/>
      <c r="DW95" s="109">
        <f t="shared" ref="DW95:EB95" si="153">AVERAGEIFS(DW2:DW83,$C2:$C83,"&gt;=50000",$C2:$C83,"&lt;=99999")</f>
        <v>1.0886479537592331</v>
      </c>
      <c r="DX95" s="109">
        <f t="shared" si="153"/>
        <v>0</v>
      </c>
      <c r="DY95" s="109">
        <f t="shared" si="153"/>
        <v>2.4091934254591392</v>
      </c>
      <c r="DZ95" s="187">
        <f t="shared" si="153"/>
        <v>0.80651653122467348</v>
      </c>
      <c r="EA95" s="203">
        <f t="shared" si="153"/>
        <v>0.62637272026908142</v>
      </c>
      <c r="EB95" s="203">
        <f t="shared" si="153"/>
        <v>0.57401234551153957</v>
      </c>
    </row>
    <row r="96" spans="1:132" ht="15" thickBot="1">
      <c r="B96" s="88" t="s">
        <v>205</v>
      </c>
      <c r="C96" s="108">
        <f t="shared" ref="C96:AB96" si="154">AVERAGEIFS(C2:C83,$C2:$C83,"&gt;=100000",$C2:$C83,"&lt;=249999")</f>
        <v>165548.625</v>
      </c>
      <c r="D96" s="108">
        <f t="shared" si="154"/>
        <v>5.25</v>
      </c>
      <c r="E96" s="108">
        <f t="shared" si="154"/>
        <v>0.33333333333333331</v>
      </c>
      <c r="F96" s="108">
        <f t="shared" si="154"/>
        <v>68232.083333333328</v>
      </c>
      <c r="G96" s="32" t="e">
        <f t="shared" si="154"/>
        <v>#DIV/0!</v>
      </c>
      <c r="H96" s="108">
        <f t="shared" si="154"/>
        <v>68232.083333333328</v>
      </c>
      <c r="I96" s="109">
        <f t="shared" si="154"/>
        <v>0.42757249999999997</v>
      </c>
      <c r="J96" s="125">
        <f t="shared" si="154"/>
        <v>1575814.5833333333</v>
      </c>
      <c r="K96" s="125">
        <f t="shared" si="154"/>
        <v>620257</v>
      </c>
      <c r="L96" s="125">
        <f t="shared" si="154"/>
        <v>2196071.5833333335</v>
      </c>
      <c r="M96" s="110">
        <f t="shared" si="154"/>
        <v>13.720047088437587</v>
      </c>
      <c r="N96" s="125">
        <f t="shared" si="154"/>
        <v>176257.5</v>
      </c>
      <c r="O96" s="125">
        <f t="shared" si="154"/>
        <v>68205.75</v>
      </c>
      <c r="P96" s="125">
        <f t="shared" si="154"/>
        <v>33299.692916666667</v>
      </c>
      <c r="Q96" s="125">
        <f t="shared" si="154"/>
        <v>277762.94291666668</v>
      </c>
      <c r="R96" s="110">
        <f t="shared" si="154"/>
        <v>1.722334056377534</v>
      </c>
      <c r="S96" s="125">
        <f t="shared" si="154"/>
        <v>482811.74541666667</v>
      </c>
      <c r="T96" s="125">
        <f t="shared" si="154"/>
        <v>2956646.2716666665</v>
      </c>
      <c r="U96" s="125">
        <f t="shared" si="154"/>
        <v>2992.0416666666665</v>
      </c>
      <c r="V96" s="125">
        <f t="shared" si="154"/>
        <v>2956646.2716666665</v>
      </c>
      <c r="W96" s="110">
        <f t="shared" si="154"/>
        <v>18.478046288518531</v>
      </c>
      <c r="X96" s="126">
        <f t="shared" si="154"/>
        <v>0.74852267925595217</v>
      </c>
      <c r="Y96" s="126">
        <f t="shared" si="154"/>
        <v>9.401925443605634E-2</v>
      </c>
      <c r="Z96" s="126">
        <f t="shared" si="154"/>
        <v>0.15745806630799139</v>
      </c>
      <c r="AA96" s="126">
        <f t="shared" si="154"/>
        <v>1.2556713525236935E-3</v>
      </c>
      <c r="AB96" s="125">
        <f t="shared" si="154"/>
        <v>55820.625</v>
      </c>
      <c r="AC96" s="125">
        <f>AVERAGEIFS(AF2:AF83,$C2:$C83,"&gt;=100000",$C2:$C83,"&lt;=249999")</f>
        <v>2956646.2716666665</v>
      </c>
      <c r="AD96" s="125">
        <f>AVERAGEIFS(AG2:AG83,$C2:$C83,"&gt;=100000",$C2:$C83,"&lt;=249999")</f>
        <v>2361370.7916666665</v>
      </c>
      <c r="AE96" s="125" t="e">
        <f>AVERAGEIFS(AE2:AE83,$C2:$C83,"&gt;=100000",$C2:$C83,"&lt;=249999")</f>
        <v>#DIV/0!</v>
      </c>
      <c r="AF96" s="125" t="e">
        <f>AVERAGEIFS(#REF!,$C2:$C83,"&gt;=100000",$C2:$C83,"&lt;=249999")</f>
        <v>#REF!</v>
      </c>
      <c r="AG96" s="125" t="e">
        <f>AVERAGEIFS(#REF!,$C2:$C83,"&gt;=100000",$C2:$C83,"&lt;=249999")</f>
        <v>#REF!</v>
      </c>
      <c r="AH96" s="125" t="e">
        <f t="shared" ref="AH96:BM96" si="155">AVERAGEIFS(AH2:AH83,$C2:$C83,"&gt;=100000",$C2:$C83,"&lt;=249999")</f>
        <v>#DIV/0!</v>
      </c>
      <c r="AI96" s="125">
        <f t="shared" si="155"/>
        <v>5318017.0633333335</v>
      </c>
      <c r="AJ96" s="110">
        <f t="shared" si="155"/>
        <v>32.822363974254081</v>
      </c>
      <c r="AK96" s="125">
        <f t="shared" si="155"/>
        <v>235492.20833333334</v>
      </c>
      <c r="AL96" s="125">
        <f t="shared" si="155"/>
        <v>19227.208333333332</v>
      </c>
      <c r="AM96" s="125">
        <f t="shared" si="155"/>
        <v>88028.791666666672</v>
      </c>
      <c r="AN96" s="125" t="e">
        <f t="shared" si="155"/>
        <v>#DIV/0!</v>
      </c>
      <c r="AO96" s="125">
        <f t="shared" si="155"/>
        <v>88028.791666666672</v>
      </c>
      <c r="AP96" s="125">
        <f t="shared" si="155"/>
        <v>3083201.1666666665</v>
      </c>
      <c r="AQ96" s="110">
        <f t="shared" si="155"/>
        <v>19.285854137757056</v>
      </c>
      <c r="AR96" s="125" t="e">
        <f t="shared" si="155"/>
        <v>#DIV/0!</v>
      </c>
      <c r="AS96" s="125">
        <f t="shared" si="155"/>
        <v>43481.666666666664</v>
      </c>
      <c r="AT96" s="125">
        <f t="shared" si="155"/>
        <v>0</v>
      </c>
      <c r="AU96" s="125">
        <f t="shared" si="155"/>
        <v>2083.3333333333335</v>
      </c>
      <c r="AV96" s="125">
        <f t="shared" si="155"/>
        <v>0</v>
      </c>
      <c r="AW96" s="125" t="e">
        <f t="shared" si="155"/>
        <v>#DIV/0!</v>
      </c>
      <c r="AX96" s="125">
        <f t="shared" si="155"/>
        <v>1809.125</v>
      </c>
      <c r="AY96" s="125">
        <f t="shared" si="155"/>
        <v>47374.125</v>
      </c>
      <c r="AZ96" s="108">
        <f t="shared" si="155"/>
        <v>217878.66666666666</v>
      </c>
      <c r="BA96" s="109">
        <f t="shared" si="155"/>
        <v>1.353937380980045</v>
      </c>
      <c r="BB96" s="108">
        <f t="shared" si="155"/>
        <v>8176.083333333333</v>
      </c>
      <c r="BC96" s="108">
        <f t="shared" si="155"/>
        <v>8176.083333333333</v>
      </c>
      <c r="BD96" s="108">
        <f t="shared" si="155"/>
        <v>15198.541666666666</v>
      </c>
      <c r="BE96" s="108">
        <f t="shared" si="155"/>
        <v>5216.666666666667</v>
      </c>
      <c r="BF96" s="108">
        <f t="shared" si="155"/>
        <v>135921.625</v>
      </c>
      <c r="BG96" s="108">
        <f t="shared" si="155"/>
        <v>8.125</v>
      </c>
      <c r="BH96" s="108">
        <f t="shared" si="155"/>
        <v>89</v>
      </c>
      <c r="BI96" s="108">
        <f t="shared" si="155"/>
        <v>0</v>
      </c>
      <c r="BJ96" s="108">
        <f t="shared" si="155"/>
        <v>97.125</v>
      </c>
      <c r="BK96" s="108">
        <f t="shared" si="155"/>
        <v>421730.25</v>
      </c>
      <c r="BL96" s="109">
        <f t="shared" si="155"/>
        <v>2.7500328671032648</v>
      </c>
      <c r="BM96" s="108">
        <f t="shared" si="155"/>
        <v>146.875</v>
      </c>
      <c r="BN96" s="108">
        <f t="shared" ref="BN96:CH96" si="156">AVERAGEIFS(BN2:BN83,$C2:$C83,"&gt;=100000",$C2:$C83,"&lt;=249999")</f>
        <v>74174.458333333328</v>
      </c>
      <c r="BO96" s="109">
        <f t="shared" si="156"/>
        <v>0.44934793434668524</v>
      </c>
      <c r="BP96" s="108">
        <f t="shared" si="156"/>
        <v>160510</v>
      </c>
      <c r="BQ96" s="108">
        <f t="shared" si="156"/>
        <v>0</v>
      </c>
      <c r="BR96" s="108">
        <f t="shared" si="156"/>
        <v>376799.875</v>
      </c>
      <c r="BS96" s="108">
        <f t="shared" si="156"/>
        <v>206387.79166666666</v>
      </c>
      <c r="BT96" s="108">
        <f t="shared" si="156"/>
        <v>583187.66666666663</v>
      </c>
      <c r="BU96" s="109">
        <f t="shared" si="156"/>
        <v>3.5021155279095377</v>
      </c>
      <c r="BV96" s="108">
        <f t="shared" si="156"/>
        <v>13595.517467432559</v>
      </c>
      <c r="BW96" s="109">
        <f t="shared" si="156"/>
        <v>66.54990145825353</v>
      </c>
      <c r="BX96" s="109">
        <f t="shared" si="156"/>
        <v>2.1053671909785132</v>
      </c>
      <c r="BY96" s="109">
        <f t="shared" si="156"/>
        <v>1.4846750649894689</v>
      </c>
      <c r="BZ96" s="108">
        <f t="shared" si="156"/>
        <v>944.79166666666663</v>
      </c>
      <c r="CA96" s="108">
        <f t="shared" si="156"/>
        <v>116.5</v>
      </c>
      <c r="CB96" s="108">
        <f t="shared" si="156"/>
        <v>483.33333333333331</v>
      </c>
      <c r="CC96" s="108">
        <f t="shared" si="156"/>
        <v>1544.625</v>
      </c>
      <c r="CD96" s="108">
        <f t="shared" si="156"/>
        <v>27250.083333333332</v>
      </c>
      <c r="CE96" s="108">
        <f t="shared" si="156"/>
        <v>2038.3333333333333</v>
      </c>
      <c r="CF96" s="108">
        <f t="shared" si="156"/>
        <v>9233.0833333333339</v>
      </c>
      <c r="CG96" s="108">
        <f t="shared" si="156"/>
        <v>38521.5</v>
      </c>
      <c r="CH96" s="109">
        <f t="shared" si="156"/>
        <v>0.23074686824273882</v>
      </c>
      <c r="CI96" s="108">
        <v>430873.56666666665</v>
      </c>
      <c r="CJ96" s="109">
        <f>AVERAGEIFS(CJ2:CJ83,$C2:$C83,"&gt;=100000",$C2:$C83,"&lt;=249999")</f>
        <v>1.6639782871533297</v>
      </c>
      <c r="CK96" s="108">
        <f>AVERAGEIFS(CK2:CK83,$C2:$C83,"&gt;=100000",$C2:$C83,"&lt;=249999")</f>
        <v>86891.666666666672</v>
      </c>
      <c r="CL96" s="128">
        <f>COUNTIFS(CL2:CL83,"YES",$C2:$C83,"&gt;=100000",$C2:$C83,"&lt;=249999")</f>
        <v>23</v>
      </c>
      <c r="CM96" s="128">
        <f>COUNTIFS(CM2:CM83,"YES",$C2:$C83,"&gt;=100000",$C2:$C83,"&lt;=249999")</f>
        <v>24</v>
      </c>
      <c r="CN96" s="128">
        <f>COUNTIFS(CN2:CN83,"YES",$C2:$C83,"&gt;=100000",$C2:$C83,"&lt;=249999")</f>
        <v>24</v>
      </c>
      <c r="CO96" s="169">
        <f t="shared" ref="CO96:CW96" si="157">AVERAGEIFS(CO2:CO83,$C2:$C83,"&gt;=100000",$C2:$C83,"&lt;=249999")</f>
        <v>8.3733333333333331</v>
      </c>
      <c r="CP96" s="108">
        <f t="shared" si="157"/>
        <v>25745.827152042777</v>
      </c>
      <c r="CQ96" s="169">
        <f t="shared" si="157"/>
        <v>1.2725</v>
      </c>
      <c r="CR96" s="169">
        <f t="shared" si="157"/>
        <v>33.805416666666666</v>
      </c>
      <c r="CS96" s="169">
        <f t="shared" si="157"/>
        <v>43.451249999999995</v>
      </c>
      <c r="CT96" s="108">
        <f t="shared" si="157"/>
        <v>4202.2161852560521</v>
      </c>
      <c r="CU96" s="108">
        <f t="shared" si="157"/>
        <v>2612.0279166666664</v>
      </c>
      <c r="CV96" s="125">
        <f t="shared" si="157"/>
        <v>88203.291666666672</v>
      </c>
      <c r="CW96" s="109">
        <f t="shared" si="157"/>
        <v>37.966666666666669</v>
      </c>
      <c r="CX96" s="128">
        <f>COUNTIFS(CX2:CX83,"YES", $C2:$C83,"&gt;=100000",$C2:$C83,"&lt;=249999")</f>
        <v>23</v>
      </c>
      <c r="CY96" s="128">
        <f>COUNTIFS(CY2:CY83,"YES", $C2:$C83,"&gt;=100000",$C2:$C83,"&lt;=249999")</f>
        <v>23</v>
      </c>
      <c r="CZ96" s="108">
        <f t="shared" ref="CZ96:DL96" si="158">AVERAGEIFS(CZ2:CZ83,$C2:$C83,"&gt;=100000",$C2:$C83,"&lt;=249999")</f>
        <v>5871.166666666667</v>
      </c>
      <c r="DA96" s="108">
        <f t="shared" si="158"/>
        <v>6012</v>
      </c>
      <c r="DB96" s="143">
        <f t="shared" si="158"/>
        <v>107.58333333333333</v>
      </c>
      <c r="DC96" s="108">
        <f t="shared" si="158"/>
        <v>40301.708333333336</v>
      </c>
      <c r="DD96" s="108">
        <f t="shared" si="158"/>
        <v>38556.058823529413</v>
      </c>
      <c r="DE96" s="108">
        <f t="shared" si="158"/>
        <v>174723.23809523811</v>
      </c>
      <c r="DF96" s="108">
        <f t="shared" si="158"/>
        <v>14431.708333333334</v>
      </c>
      <c r="DG96" s="108">
        <f t="shared" si="158"/>
        <v>50.291666666666664</v>
      </c>
      <c r="DH96" s="108">
        <f t="shared" si="158"/>
        <v>8.9568463410892071E-2</v>
      </c>
      <c r="DI96" s="108">
        <f t="shared" si="158"/>
        <v>47.916666666666664</v>
      </c>
      <c r="DJ96" s="108">
        <f t="shared" si="158"/>
        <v>47.541666666666664</v>
      </c>
      <c r="DK96" s="108">
        <f t="shared" si="158"/>
        <v>3667</v>
      </c>
      <c r="DL96" s="108">
        <f t="shared" si="158"/>
        <v>11262.541666666666</v>
      </c>
      <c r="DM96" s="129"/>
      <c r="DN96" s="127"/>
      <c r="DO96" s="107"/>
      <c r="DS96" s="109"/>
      <c r="DT96" s="114"/>
      <c r="DW96" s="109">
        <f t="shared" ref="DW96:EB96" si="159">AVERAGEIFS(DW2:DW83,$C2:$C83,"&gt;=100000",$C2:$C83,"&lt;=249999")</f>
        <v>0.96047249373955401</v>
      </c>
      <c r="DX96" s="109">
        <f t="shared" si="159"/>
        <v>0</v>
      </c>
      <c r="DY96" s="109">
        <f t="shared" si="159"/>
        <v>2.3027078441627311</v>
      </c>
      <c r="DZ96" s="187">
        <f t="shared" si="159"/>
        <v>1.1994076837468073</v>
      </c>
      <c r="EA96" s="203">
        <f t="shared" si="159"/>
        <v>0.35300887941788955</v>
      </c>
      <c r="EB96" s="203">
        <f t="shared" si="159"/>
        <v>0.35750312901273357</v>
      </c>
    </row>
    <row r="97" spans="1:132">
      <c r="B97" s="89" t="s">
        <v>206</v>
      </c>
      <c r="C97" s="130">
        <f t="shared" ref="C97:AB97" si="160">AVERAGEIFS(C2:C83,$C2:$C83,"&gt;=250000")</f>
        <v>556826.42857142852</v>
      </c>
      <c r="D97" s="130">
        <f t="shared" si="160"/>
        <v>11.714285714285714</v>
      </c>
      <c r="E97" s="130">
        <f t="shared" si="160"/>
        <v>0.42857142857142855</v>
      </c>
      <c r="F97" s="130">
        <f t="shared" si="160"/>
        <v>241058</v>
      </c>
      <c r="G97" s="215" t="e">
        <f t="shared" si="160"/>
        <v>#DIV/0!</v>
      </c>
      <c r="H97" s="130">
        <f t="shared" si="160"/>
        <v>241058</v>
      </c>
      <c r="I97" s="139">
        <f t="shared" si="160"/>
        <v>0.4996557142857142</v>
      </c>
      <c r="J97" s="131">
        <f t="shared" si="160"/>
        <v>7949926.2857142854</v>
      </c>
      <c r="K97" s="131">
        <f t="shared" si="160"/>
        <v>3496569</v>
      </c>
      <c r="L97" s="131">
        <f t="shared" si="160"/>
        <v>11446495.285714285</v>
      </c>
      <c r="M97" s="132">
        <f t="shared" si="160"/>
        <v>20.209232054649267</v>
      </c>
      <c r="N97" s="131">
        <f t="shared" si="160"/>
        <v>1181144.857142857</v>
      </c>
      <c r="O97" s="131">
        <f t="shared" si="160"/>
        <v>908385.28571428568</v>
      </c>
      <c r="P97" s="131">
        <f t="shared" si="160"/>
        <v>99731.28571428571</v>
      </c>
      <c r="Q97" s="131">
        <f t="shared" si="160"/>
        <v>2189261.4285714286</v>
      </c>
      <c r="R97" s="132">
        <f t="shared" si="160"/>
        <v>3.5790816076344805</v>
      </c>
      <c r="S97" s="131">
        <f t="shared" si="160"/>
        <v>3029143.4285714286</v>
      </c>
      <c r="T97" s="131">
        <f t="shared" si="160"/>
        <v>16664900.142857144</v>
      </c>
      <c r="U97" s="131">
        <f t="shared" si="160"/>
        <v>0</v>
      </c>
      <c r="V97" s="131">
        <f t="shared" si="160"/>
        <v>16664900.142857144</v>
      </c>
      <c r="W97" s="132">
        <f t="shared" si="160"/>
        <v>28.321637806360577</v>
      </c>
      <c r="X97" s="133">
        <f t="shared" si="160"/>
        <v>0.71413403431647049</v>
      </c>
      <c r="Y97" s="133">
        <f t="shared" si="160"/>
        <v>0.12574163564181831</v>
      </c>
      <c r="Z97" s="133">
        <f t="shared" si="160"/>
        <v>0.16012433004171109</v>
      </c>
      <c r="AA97" s="133">
        <f t="shared" si="160"/>
        <v>0</v>
      </c>
      <c r="AB97" s="131">
        <f t="shared" si="160"/>
        <v>5292544.2857142854</v>
      </c>
      <c r="AC97" s="131">
        <f>AVERAGEIFS(AF2:AF83,$C2:$C83,"&gt;=250000")</f>
        <v>16664900.142857144</v>
      </c>
      <c r="AD97" s="131">
        <f>AVERAGEIFS(AG2:AG83,$C2:$C83,"&gt;=250000")</f>
        <v>15320612.857142856</v>
      </c>
      <c r="AE97" s="131" t="e">
        <f>AVERAGEIFS(AE2:AE83,$C2:$C83,"&gt;=250000")</f>
        <v>#DIV/0!</v>
      </c>
      <c r="AF97" s="131" t="e">
        <f>AVERAGEIFS(#REF!,$C2:$C83,"&gt;=250000")</f>
        <v>#REF!</v>
      </c>
      <c r="AG97" s="131" t="e">
        <f>AVERAGEIFS(#REF!,$C2:$C83,"&gt;=250000")</f>
        <v>#REF!</v>
      </c>
      <c r="AH97" s="131" t="e">
        <f t="shared" ref="AH97:BM97" si="161">AVERAGEIFS(AH2:AH83,$C2:$C83,"&gt;=250000")</f>
        <v>#DIV/0!</v>
      </c>
      <c r="AI97" s="131">
        <f t="shared" si="161"/>
        <v>31985513</v>
      </c>
      <c r="AJ97" s="132">
        <f t="shared" si="161"/>
        <v>53.938158497983061</v>
      </c>
      <c r="AK97" s="131">
        <f t="shared" si="161"/>
        <v>383165.57142857142</v>
      </c>
      <c r="AL97" s="131">
        <f t="shared" si="161"/>
        <v>59343.428571428572</v>
      </c>
      <c r="AM97" s="131">
        <f t="shared" si="161"/>
        <v>1395603.7142857143</v>
      </c>
      <c r="AN97" s="131" t="e">
        <f t="shared" si="161"/>
        <v>#DIV/0!</v>
      </c>
      <c r="AO97" s="131">
        <f t="shared" si="161"/>
        <v>1395603.7142857143</v>
      </c>
      <c r="AP97" s="131">
        <f t="shared" si="161"/>
        <v>18290761.142857142</v>
      </c>
      <c r="AQ97" s="132">
        <f t="shared" si="161"/>
        <v>30.672738363041663</v>
      </c>
      <c r="AR97" s="131" t="e">
        <f t="shared" si="161"/>
        <v>#DIV/0!</v>
      </c>
      <c r="AS97" s="131">
        <f t="shared" si="161"/>
        <v>2075234.857142857</v>
      </c>
      <c r="AT97" s="131">
        <f t="shared" si="161"/>
        <v>0</v>
      </c>
      <c r="AU97" s="131">
        <f t="shared" si="161"/>
        <v>0</v>
      </c>
      <c r="AV97" s="131">
        <f t="shared" si="161"/>
        <v>6305.1428571428569</v>
      </c>
      <c r="AW97" s="131" t="e">
        <f t="shared" si="161"/>
        <v>#DIV/0!</v>
      </c>
      <c r="AX97" s="131">
        <f t="shared" si="161"/>
        <v>64251.142857142855</v>
      </c>
      <c r="AY97" s="131">
        <f t="shared" si="161"/>
        <v>2145791.1428571427</v>
      </c>
      <c r="AZ97" s="130">
        <f t="shared" si="161"/>
        <v>714591.85714285716</v>
      </c>
      <c r="BA97" s="139">
        <f t="shared" si="161"/>
        <v>1.3942443450836077</v>
      </c>
      <c r="BB97" s="130">
        <f t="shared" si="161"/>
        <v>34472.142857142855</v>
      </c>
      <c r="BC97" s="130">
        <f t="shared" si="161"/>
        <v>34472.142857142855</v>
      </c>
      <c r="BD97" s="130">
        <f t="shared" si="161"/>
        <v>35724.857142857145</v>
      </c>
      <c r="BE97" s="130">
        <f t="shared" si="161"/>
        <v>2157.2857142857142</v>
      </c>
      <c r="BF97" s="130">
        <f t="shared" si="161"/>
        <v>156252.85714285713</v>
      </c>
      <c r="BG97" s="130">
        <f t="shared" si="161"/>
        <v>17</v>
      </c>
      <c r="BH97" s="130">
        <f t="shared" si="161"/>
        <v>89</v>
      </c>
      <c r="BI97" s="130">
        <f t="shared" si="161"/>
        <v>0</v>
      </c>
      <c r="BJ97" s="130">
        <f t="shared" si="161"/>
        <v>106</v>
      </c>
      <c r="BK97" s="130">
        <f t="shared" si="161"/>
        <v>1005018.2857142857</v>
      </c>
      <c r="BL97" s="139">
        <f t="shared" si="161"/>
        <v>2.0704473901077654</v>
      </c>
      <c r="BM97" s="130">
        <f t="shared" si="161"/>
        <v>735.14285714285711</v>
      </c>
      <c r="BN97" s="130">
        <f t="shared" ref="BN97:CH97" si="162">AVERAGEIFS(BN2:BN83,$C2:$C83,"&gt;=250000")</f>
        <v>363449</v>
      </c>
      <c r="BO97" s="139">
        <f t="shared" si="162"/>
        <v>0.5385787462691366</v>
      </c>
      <c r="BP97" s="130">
        <f t="shared" si="162"/>
        <v>1527831.7142857143</v>
      </c>
      <c r="BQ97" s="130">
        <f t="shared" si="162"/>
        <v>0</v>
      </c>
      <c r="BR97" s="130">
        <f t="shared" si="162"/>
        <v>2493598.4285714286</v>
      </c>
      <c r="BS97" s="130">
        <f t="shared" si="162"/>
        <v>3141101.2857142859</v>
      </c>
      <c r="BT97" s="130">
        <f t="shared" si="162"/>
        <v>5634699.7142857146</v>
      </c>
      <c r="BU97" s="139">
        <f t="shared" si="162"/>
        <v>9.2164885930043567</v>
      </c>
      <c r="BV97" s="130">
        <f t="shared" si="162"/>
        <v>28263.516543714974</v>
      </c>
      <c r="BW97" s="139">
        <f t="shared" si="162"/>
        <v>199.03676696926141</v>
      </c>
      <c r="BX97" s="139">
        <f t="shared" si="162"/>
        <v>3.5369989957984282</v>
      </c>
      <c r="BY97" s="139">
        <f t="shared" si="162"/>
        <v>5.0714955612759747</v>
      </c>
      <c r="BZ97" s="130">
        <f t="shared" si="162"/>
        <v>4166.1428571428569</v>
      </c>
      <c r="CA97" s="130">
        <f t="shared" si="162"/>
        <v>720.28571428571433</v>
      </c>
      <c r="CB97" s="130">
        <f t="shared" si="162"/>
        <v>1665.8571428571429</v>
      </c>
      <c r="CC97" s="130">
        <f t="shared" si="162"/>
        <v>6552.2857142857147</v>
      </c>
      <c r="CD97" s="130">
        <f t="shared" si="162"/>
        <v>131302.85714285713</v>
      </c>
      <c r="CE97" s="130">
        <f t="shared" si="162"/>
        <v>9866.7142857142862</v>
      </c>
      <c r="CF97" s="130">
        <f t="shared" si="162"/>
        <v>22278.857142857141</v>
      </c>
      <c r="CG97" s="130">
        <f t="shared" si="162"/>
        <v>163448.42857142858</v>
      </c>
      <c r="CH97" s="139">
        <f t="shared" si="162"/>
        <v>0.25036129503770904</v>
      </c>
      <c r="CI97" s="130">
        <v>2028440.8125</v>
      </c>
      <c r="CJ97" s="139">
        <f>AVERAGEIFS(CJ2:CJ83,$C2:$C83,"&gt;=250000")</f>
        <v>2.6957009621189703</v>
      </c>
      <c r="CK97" s="130">
        <f>AVERAGEIFS(CK2:CK83,$C2:$C83,"&gt;=250000")</f>
        <v>346810</v>
      </c>
      <c r="CL97" s="135">
        <f>COUNTIFS(CL2:CL83,"YES",$C2:$C83,"&gt;=250000")</f>
        <v>7</v>
      </c>
      <c r="CM97" s="135">
        <f>COUNTIFS(CM2:CM83,"YES",$C2:$C83,"&gt;=250000")</f>
        <v>7</v>
      </c>
      <c r="CN97" s="135">
        <f>COUNTIFS(CN2:CN83,"YES",$C2:$C83,"&gt;=250000")</f>
        <v>7</v>
      </c>
      <c r="CO97" s="176">
        <f t="shared" ref="CO97:CW97" si="163">AVERAGEIFS(CO2:CO83,$C2:$C83,"&gt;=250000")</f>
        <v>57.34571428571428</v>
      </c>
      <c r="CP97" s="130">
        <f t="shared" si="163"/>
        <v>17472.685149364959</v>
      </c>
      <c r="CQ97" s="176">
        <f t="shared" si="163"/>
        <v>1.1342857142857141</v>
      </c>
      <c r="CR97" s="176">
        <f t="shared" si="163"/>
        <v>120.13428571428571</v>
      </c>
      <c r="CS97" s="176">
        <f t="shared" si="163"/>
        <v>178.6142857142857</v>
      </c>
      <c r="CT97" s="130">
        <f t="shared" si="163"/>
        <v>3262.8726784522282</v>
      </c>
      <c r="CU97" s="130">
        <f t="shared" si="163"/>
        <v>10871.666666666666</v>
      </c>
      <c r="CV97" s="131">
        <f t="shared" si="163"/>
        <v>135307.71428571429</v>
      </c>
      <c r="CW97" s="139">
        <f t="shared" si="163"/>
        <v>40</v>
      </c>
      <c r="CX97" s="135">
        <f>COUNTIFS(CX2:CX83,"YES", $C2:$C83,"&gt;250000")</f>
        <v>7</v>
      </c>
      <c r="CY97" s="135">
        <f>COUNTIFS(CY2:CY83,"YES", $C2:$C83,"&gt;250000")</f>
        <v>7</v>
      </c>
      <c r="CZ97" s="130">
        <f t="shared" ref="CZ97:DL97" si="164">AVERAGEIFS(CZ2:CZ83,$C2:$C83,"&gt;=250000")</f>
        <v>15798</v>
      </c>
      <c r="DA97" s="130">
        <f t="shared" si="164"/>
        <v>21568.142857142859</v>
      </c>
      <c r="DB97" s="183">
        <f t="shared" si="164"/>
        <v>363.71428571428572</v>
      </c>
      <c r="DC97" s="130">
        <f t="shared" si="164"/>
        <v>198531.57142857142</v>
      </c>
      <c r="DD97" s="130">
        <f t="shared" si="164"/>
        <v>610206.6</v>
      </c>
      <c r="DE97" s="130">
        <f t="shared" si="164"/>
        <v>4319581.5714285718</v>
      </c>
      <c r="DF97" s="130">
        <f t="shared" si="164"/>
        <v>37071.857142857145</v>
      </c>
      <c r="DG97" s="130">
        <f t="shared" si="164"/>
        <v>51.857142857142854</v>
      </c>
      <c r="DH97" s="130">
        <f t="shared" si="164"/>
        <v>7.3938086116316762E-2</v>
      </c>
      <c r="DI97" s="130">
        <f t="shared" si="164"/>
        <v>56.428571428571431</v>
      </c>
      <c r="DJ97" s="130">
        <f t="shared" si="164"/>
        <v>56.428571428571431</v>
      </c>
      <c r="DK97" s="130">
        <f t="shared" si="164"/>
        <v>30331</v>
      </c>
      <c r="DL97" s="130">
        <f t="shared" si="164"/>
        <v>28152.071428571428</v>
      </c>
      <c r="DM97" s="136"/>
      <c r="DN97" s="134"/>
      <c r="DO97" s="137"/>
      <c r="DP97" s="137"/>
      <c r="DQ97" s="138"/>
      <c r="DR97" s="138"/>
      <c r="DS97" s="139"/>
      <c r="DT97" s="138"/>
      <c r="DU97" s="138"/>
      <c r="DV97" s="138"/>
      <c r="DW97" s="139">
        <f t="shared" ref="DW97:EB97" si="165">AVERAGEIFS(DW2:DW83,$C2:$C83,"&gt;=250000")</f>
        <v>2.1762741821930818</v>
      </c>
      <c r="DX97" s="139">
        <f t="shared" si="165"/>
        <v>0</v>
      </c>
      <c r="DY97" s="139">
        <f t="shared" si="165"/>
        <v>3.9083963977011109</v>
      </c>
      <c r="DZ97" s="188">
        <f t="shared" si="165"/>
        <v>5.3080921953032458</v>
      </c>
      <c r="EA97" s="204">
        <f t="shared" si="165"/>
        <v>0.36035068614976684</v>
      </c>
      <c r="EB97" s="204">
        <f t="shared" si="165"/>
        <v>0.37609383017709569</v>
      </c>
    </row>
    <row r="98" spans="1:132">
      <c r="G98" s="52"/>
      <c r="AB98" s="125">
        <f>SUM(AB2:AB97)</f>
        <v>94538115.095329672</v>
      </c>
      <c r="BT98" s="123"/>
      <c r="BU98" s="109"/>
      <c r="CL98" s="107"/>
      <c r="CO98" s="169"/>
      <c r="CX98" s="107"/>
      <c r="CZ98" s="108"/>
      <c r="DB98" s="143"/>
      <c r="DC98" s="108"/>
      <c r="DM98" s="124"/>
      <c r="DN98" s="120"/>
      <c r="DO98" s="107"/>
      <c r="DS98" s="109"/>
      <c r="DT98" s="114"/>
    </row>
    <row r="99" spans="1:132" ht="15" thickBot="1">
      <c r="BT99" s="123"/>
      <c r="BU99" s="109"/>
      <c r="CL99" s="107"/>
      <c r="CO99" s="169"/>
      <c r="CX99" s="107"/>
      <c r="CZ99" s="108"/>
      <c r="DB99" s="143"/>
      <c r="DC99" s="108"/>
      <c r="DM99" s="124"/>
      <c r="DN99" s="120"/>
      <c r="DO99" s="107"/>
      <c r="DS99" s="109"/>
      <c r="DT99" s="114"/>
    </row>
    <row r="100" spans="1:132" s="107" customFormat="1" ht="66.5" customHeight="1" thickBot="1">
      <c r="A100" s="90" t="s">
        <v>901</v>
      </c>
      <c r="B100" s="90"/>
      <c r="C100" s="36" t="s">
        <v>12</v>
      </c>
      <c r="D100" s="36" t="s">
        <v>19</v>
      </c>
      <c r="E100" s="36" t="s">
        <v>20</v>
      </c>
      <c r="F100" s="36" t="s">
        <v>21</v>
      </c>
      <c r="G100" s="36" t="s">
        <v>119</v>
      </c>
      <c r="H100" s="36" t="s">
        <v>120</v>
      </c>
      <c r="I100" s="37" t="s">
        <v>121</v>
      </c>
      <c r="J100" s="165" t="s">
        <v>22</v>
      </c>
      <c r="K100" s="165" t="s">
        <v>23</v>
      </c>
      <c r="L100" s="165" t="s">
        <v>24</v>
      </c>
      <c r="M100" s="163" t="s">
        <v>98</v>
      </c>
      <c r="N100" s="165" t="s">
        <v>25</v>
      </c>
      <c r="O100" s="165" t="s">
        <v>26</v>
      </c>
      <c r="P100" s="165" t="s">
        <v>27</v>
      </c>
      <c r="Q100" s="165" t="s">
        <v>28</v>
      </c>
      <c r="R100" s="163" t="s">
        <v>99</v>
      </c>
      <c r="S100" s="165" t="s">
        <v>29</v>
      </c>
      <c r="T100" s="165" t="s">
        <v>30</v>
      </c>
      <c r="U100" s="165" t="s">
        <v>31</v>
      </c>
      <c r="V100" s="165" t="s">
        <v>32</v>
      </c>
      <c r="W100" s="163" t="s">
        <v>100</v>
      </c>
      <c r="X100" s="93" t="s">
        <v>115</v>
      </c>
      <c r="Y100" s="93" t="s">
        <v>116</v>
      </c>
      <c r="Z100" s="93" t="s">
        <v>117</v>
      </c>
      <c r="AA100" s="93" t="s">
        <v>118</v>
      </c>
      <c r="AB100" s="165" t="s">
        <v>33</v>
      </c>
      <c r="AC100" s="165" t="s">
        <v>34</v>
      </c>
      <c r="AD100" s="165" t="s">
        <v>35</v>
      </c>
      <c r="AE100" s="165" t="s">
        <v>36</v>
      </c>
      <c r="AF100" s="165" t="s">
        <v>37</v>
      </c>
      <c r="AG100" s="165" t="s">
        <v>38</v>
      </c>
      <c r="AH100" s="165" t="s">
        <v>39</v>
      </c>
      <c r="AI100" s="165" t="s">
        <v>40</v>
      </c>
      <c r="AJ100" s="163" t="s">
        <v>101</v>
      </c>
      <c r="AK100" s="165" t="s">
        <v>41</v>
      </c>
      <c r="AL100" s="165" t="s">
        <v>42</v>
      </c>
      <c r="AM100" s="165" t="s">
        <v>43</v>
      </c>
      <c r="AN100" s="165" t="s">
        <v>44</v>
      </c>
      <c r="AO100" s="165" t="s">
        <v>45</v>
      </c>
      <c r="AP100" s="165" t="s">
        <v>46</v>
      </c>
      <c r="AQ100" s="163" t="s">
        <v>102</v>
      </c>
      <c r="AR100" s="165" t="s">
        <v>47</v>
      </c>
      <c r="AS100" s="165" t="s">
        <v>48</v>
      </c>
      <c r="AT100" s="165" t="s">
        <v>49</v>
      </c>
      <c r="AU100" s="165" t="s">
        <v>50</v>
      </c>
      <c r="AV100" s="165" t="s">
        <v>51</v>
      </c>
      <c r="AW100" s="165" t="s">
        <v>52</v>
      </c>
      <c r="AX100" s="165" t="s">
        <v>53</v>
      </c>
      <c r="AY100" s="165" t="s">
        <v>54</v>
      </c>
      <c r="AZ100" s="36" t="s">
        <v>55</v>
      </c>
      <c r="BA100" s="92" t="s">
        <v>103</v>
      </c>
      <c r="BB100" s="36" t="s">
        <v>56</v>
      </c>
      <c r="BC100" s="36" t="s">
        <v>57</v>
      </c>
      <c r="BD100" s="36" t="s">
        <v>58</v>
      </c>
      <c r="BE100" s="36" t="s">
        <v>59</v>
      </c>
      <c r="BF100" s="36" t="s">
        <v>60</v>
      </c>
      <c r="BG100" s="36" t="s">
        <v>61</v>
      </c>
      <c r="BH100" s="36" t="s">
        <v>62</v>
      </c>
      <c r="BI100" s="36" t="s">
        <v>63</v>
      </c>
      <c r="BJ100" s="36" t="s">
        <v>64</v>
      </c>
      <c r="BK100" s="36" t="s">
        <v>65</v>
      </c>
      <c r="BL100" s="92" t="s">
        <v>104</v>
      </c>
      <c r="BM100" s="36" t="s">
        <v>66</v>
      </c>
      <c r="BN100" s="36" t="s">
        <v>67</v>
      </c>
      <c r="BO100" s="92" t="s">
        <v>110</v>
      </c>
      <c r="BP100" s="36" t="s">
        <v>885</v>
      </c>
      <c r="BQ100" s="36" t="s">
        <v>886</v>
      </c>
      <c r="BR100" s="36" t="s">
        <v>887</v>
      </c>
      <c r="BS100" s="36" t="s">
        <v>888</v>
      </c>
      <c r="BT100" s="36" t="s">
        <v>889</v>
      </c>
      <c r="BU100" s="92" t="s">
        <v>105</v>
      </c>
      <c r="BV100" s="36" t="s">
        <v>106</v>
      </c>
      <c r="BW100" s="94" t="s">
        <v>107</v>
      </c>
      <c r="BX100" s="37" t="s">
        <v>108</v>
      </c>
      <c r="BY100" s="37" t="s">
        <v>109</v>
      </c>
      <c r="BZ100" s="36" t="s">
        <v>73</v>
      </c>
      <c r="CA100" s="36" t="s">
        <v>74</v>
      </c>
      <c r="CB100" s="36" t="s">
        <v>75</v>
      </c>
      <c r="CC100" s="36" t="s">
        <v>76</v>
      </c>
      <c r="CD100" s="36" t="s">
        <v>77</v>
      </c>
      <c r="CE100" s="36" t="s">
        <v>78</v>
      </c>
      <c r="CF100" s="36" t="s">
        <v>79</v>
      </c>
      <c r="CG100" s="36" t="s">
        <v>80</v>
      </c>
      <c r="CH100" s="92" t="s">
        <v>111</v>
      </c>
      <c r="CI100" s="36" t="s">
        <v>890</v>
      </c>
      <c r="CJ100" s="92" t="s">
        <v>112</v>
      </c>
      <c r="CK100" s="36" t="s">
        <v>891</v>
      </c>
      <c r="CL100" s="91" t="s">
        <v>892</v>
      </c>
      <c r="CM100" s="91" t="s">
        <v>208</v>
      </c>
      <c r="CN100" s="91" t="s">
        <v>207</v>
      </c>
      <c r="CO100" s="95" t="s">
        <v>81</v>
      </c>
      <c r="CP100" s="36" t="s">
        <v>113</v>
      </c>
      <c r="CQ100" s="95" t="s">
        <v>82</v>
      </c>
      <c r="CR100" s="95" t="s">
        <v>83</v>
      </c>
      <c r="CS100" s="95" t="s">
        <v>84</v>
      </c>
      <c r="CT100" s="36" t="s">
        <v>114</v>
      </c>
      <c r="CU100" s="36" t="s">
        <v>85</v>
      </c>
      <c r="CV100" s="165" t="s">
        <v>86</v>
      </c>
      <c r="CW100" s="92" t="s">
        <v>87</v>
      </c>
      <c r="CX100" s="91" t="s">
        <v>88</v>
      </c>
      <c r="CY100" s="91" t="s">
        <v>209</v>
      </c>
      <c r="CZ100" s="36" t="s">
        <v>90</v>
      </c>
      <c r="DA100" s="36" t="s">
        <v>91</v>
      </c>
      <c r="DB100" s="36" t="s">
        <v>210</v>
      </c>
      <c r="DC100" s="36" t="s">
        <v>211</v>
      </c>
      <c r="DD100" s="36" t="s">
        <v>92</v>
      </c>
      <c r="DE100" s="36" t="s">
        <v>93</v>
      </c>
      <c r="DF100" s="36" t="s">
        <v>94</v>
      </c>
      <c r="DG100" s="36" t="s">
        <v>95</v>
      </c>
      <c r="DH100" s="36" t="s">
        <v>910</v>
      </c>
      <c r="DI100" s="36" t="s">
        <v>212</v>
      </c>
      <c r="DJ100" s="36" t="s">
        <v>213</v>
      </c>
      <c r="DK100" s="67" t="s">
        <v>122</v>
      </c>
      <c r="DL100" s="67" t="s">
        <v>123</v>
      </c>
      <c r="DM100" s="91" t="s">
        <v>14</v>
      </c>
      <c r="DN100" s="90" t="s">
        <v>10</v>
      </c>
      <c r="DO100" s="90" t="s">
        <v>11</v>
      </c>
      <c r="DP100" s="90" t="s">
        <v>6</v>
      </c>
      <c r="DQ100" s="90" t="s">
        <v>13</v>
      </c>
      <c r="DR100" s="90" t="s">
        <v>15</v>
      </c>
      <c r="DS100" s="90" t="s">
        <v>16</v>
      </c>
      <c r="DT100" s="91" t="s">
        <v>17</v>
      </c>
      <c r="DU100" s="91" t="s">
        <v>18</v>
      </c>
      <c r="DV100" s="68" t="s">
        <v>4</v>
      </c>
      <c r="DW100" s="37" t="s">
        <v>127</v>
      </c>
      <c r="DX100" s="37" t="s">
        <v>128</v>
      </c>
      <c r="DY100" s="37" t="s">
        <v>129</v>
      </c>
      <c r="DZ100" s="37" t="s">
        <v>130</v>
      </c>
      <c r="EA100" s="201" t="s">
        <v>929</v>
      </c>
      <c r="EB100" s="201" t="s">
        <v>930</v>
      </c>
    </row>
    <row r="101" spans="1:132">
      <c r="B101" s="96" t="s">
        <v>0</v>
      </c>
      <c r="BT101" s="123"/>
      <c r="BU101" s="109"/>
      <c r="CL101" s="107"/>
      <c r="CO101" s="169"/>
      <c r="CX101" s="107"/>
      <c r="CZ101" s="108"/>
      <c r="DB101" s="143"/>
      <c r="DC101" s="108"/>
      <c r="DM101" s="124"/>
      <c r="DN101" s="120"/>
      <c r="DO101" s="107"/>
      <c r="DS101" s="109"/>
      <c r="DT101" s="114"/>
    </row>
    <row r="102" spans="1:132">
      <c r="B102" s="114" t="e">
        <f>VLOOKUP(Input!$C$11,'2020Data'!$A2:$DX83,122,FALSE)</f>
        <v>#N/A</v>
      </c>
      <c r="C102" s="108" t="e">
        <f>VLOOKUP(Input!$C11,'2020Data'!$A2:$DX83,3,0)</f>
        <v>#N/A</v>
      </c>
      <c r="D102" s="108" t="e">
        <f>VLOOKUP(Input!$C11,'2020Data'!$A2:$DX83,4,0)</f>
        <v>#N/A</v>
      </c>
      <c r="E102" s="108" t="e">
        <f>VLOOKUP(Input!$C11,'2020Data'!$A1:$DX83,5,0)</f>
        <v>#N/A</v>
      </c>
      <c r="F102" s="108" t="e">
        <f>VLOOKUP(Input!$C11,'2020Data'!$A1:$DX83,6,0)</f>
        <v>#N/A</v>
      </c>
      <c r="G102" s="32" t="e">
        <f>VLOOKUP(Input!$C11,'2020Data'!$A1:$DX83,7,0)</f>
        <v>#N/A</v>
      </c>
      <c r="H102" s="108" t="e">
        <f>VLOOKUP(Input!$C11,'2020Data'!$A1:$DX83,8,0)</f>
        <v>#N/A</v>
      </c>
      <c r="I102" s="109" t="e">
        <f>VLOOKUP(Input!$C11,'2020Data'!$A1:$DX83,9,0)</f>
        <v>#N/A</v>
      </c>
      <c r="J102" s="125" t="e">
        <f>VLOOKUP(Input!$C11,'2020Data'!$A1:$DX83,10,0)</f>
        <v>#N/A</v>
      </c>
      <c r="K102" s="125" t="e">
        <f>VLOOKUP(Input!$C11,'2020Data'!$A1:$DX83,11,0)</f>
        <v>#N/A</v>
      </c>
      <c r="L102" s="125" t="e">
        <f>VLOOKUP(Input!$C11,'2020Data'!$A1:$DX83,12,0)</f>
        <v>#N/A</v>
      </c>
      <c r="M102" s="110" t="e">
        <f>VLOOKUP(Input!$C11,'2020Data'!$A1:$DX83,13,0)</f>
        <v>#N/A</v>
      </c>
      <c r="N102" s="125" t="e">
        <f>VLOOKUP(Input!$C11,'2020Data'!$A1:$DX83,14,0)</f>
        <v>#N/A</v>
      </c>
      <c r="O102" s="125" t="e">
        <f>VLOOKUP(Input!$C11,'2020Data'!$A1:$DX83,15,0)</f>
        <v>#N/A</v>
      </c>
      <c r="P102" s="125" t="e">
        <f>VLOOKUP(Input!$C11,'2020Data'!$A1:$DX83,16,0)</f>
        <v>#N/A</v>
      </c>
      <c r="Q102" s="125" t="e">
        <f>VLOOKUP(Input!$C11,'2020Data'!$A1:$DX83,17,0)</f>
        <v>#N/A</v>
      </c>
      <c r="R102" s="110" t="e">
        <f>VLOOKUP(Input!$C11,'2020Data'!$A1:$DX83,18,0)</f>
        <v>#N/A</v>
      </c>
      <c r="S102" s="125" t="e">
        <f>VLOOKUP(Input!$C11,'2020Data'!$A1:$DX83,19,0)</f>
        <v>#N/A</v>
      </c>
      <c r="T102" s="125" t="e">
        <f>VLOOKUP(Input!$C11,'2020Data'!$A1:$DX83,20,0)</f>
        <v>#N/A</v>
      </c>
      <c r="U102" s="125" t="e">
        <f>VLOOKUP(Input!$C11,'2020Data'!$A1:$DX83,21,0)</f>
        <v>#N/A</v>
      </c>
      <c r="V102" s="125" t="e">
        <f>VLOOKUP(Input!$C11,'2020Data'!$A1:$DX83,22,0)</f>
        <v>#N/A</v>
      </c>
      <c r="W102" s="110" t="e">
        <f>VLOOKUP(Input!$C11,'2020Data'!$A1:$DX83,23,0)</f>
        <v>#N/A</v>
      </c>
      <c r="X102" s="126" t="e">
        <f>VLOOKUP(Input!$C11,'2020Data'!$A1:$DX83,24,0)</f>
        <v>#N/A</v>
      </c>
      <c r="Y102" s="126" t="e">
        <f>VLOOKUP(Input!$C11,'2020Data'!$A1:$DX83,25,0)</f>
        <v>#N/A</v>
      </c>
      <c r="Z102" s="126" t="e">
        <f>VLOOKUP(Input!$C11,'2020Data'!$A1:$DX83,26,0)</f>
        <v>#N/A</v>
      </c>
      <c r="AA102" s="126" t="e">
        <f>VLOOKUP(Input!$C11,'2020Data'!$A1:$DX83,27,0)</f>
        <v>#N/A</v>
      </c>
      <c r="AB102" s="125" t="e">
        <f>VLOOKUP(Input!$C11,'2020Data'!$A1:$DX83,28,0)</f>
        <v>#N/A</v>
      </c>
      <c r="AC102" s="125" t="e">
        <f>VLOOKUP(Input!$C11,'2020Data'!$A1:$DX83,29,0)</f>
        <v>#N/A</v>
      </c>
      <c r="AD102" s="125" t="e">
        <f>VLOOKUP(Input!$C11,'2020Data'!$A1:$DX83,30,0)</f>
        <v>#N/A</v>
      </c>
      <c r="AE102" s="125" t="e">
        <f>VLOOKUP(Input!$C11,'2020Data'!$A1:$DX83,31,0)</f>
        <v>#N/A</v>
      </c>
      <c r="AF102" s="125" t="e">
        <f>VLOOKUP(Input!$C11,'2020Data'!$A1:$DX83,32,0)</f>
        <v>#N/A</v>
      </c>
      <c r="AG102" s="125" t="e">
        <f>VLOOKUP(Input!$C11,'2020Data'!$A1:$DX83,33,0)</f>
        <v>#N/A</v>
      </c>
      <c r="AH102" s="125" t="e">
        <f>VLOOKUP(Input!$C11,'2020Data'!$A1:$DX83,34,0)</f>
        <v>#N/A</v>
      </c>
      <c r="AI102" s="125" t="e">
        <f>VLOOKUP(Input!$C11,'2020Data'!$A1:$DX83,35,0)</f>
        <v>#N/A</v>
      </c>
      <c r="AJ102" s="110" t="e">
        <f>VLOOKUP(Input!$C11,'2020Data'!$A1:$DX83,36,0)</f>
        <v>#N/A</v>
      </c>
      <c r="AK102" s="125" t="e">
        <f>VLOOKUP(Input!$C11,'2020Data'!$A1:$DX83,37,0)</f>
        <v>#N/A</v>
      </c>
      <c r="AL102" s="125" t="e">
        <f>VLOOKUP(Input!$C11,'2020Data'!$A1:$DX83,38,0)</f>
        <v>#N/A</v>
      </c>
      <c r="AM102" s="125" t="e">
        <f>VLOOKUP(Input!$C11,'2020Data'!$A1:$DX83,39,0)</f>
        <v>#N/A</v>
      </c>
      <c r="AN102" s="125" t="e">
        <f>VLOOKUP(Input!$C11,'2020Data'!$A1:$DX83,40,0)</f>
        <v>#N/A</v>
      </c>
      <c r="AO102" s="125" t="e">
        <f>VLOOKUP(Input!$C11,'2020Data'!$A1:$DX83,41,0)</f>
        <v>#N/A</v>
      </c>
      <c r="AP102" s="125" t="e">
        <f>VLOOKUP(Input!$C11,'2020Data'!$A1:$DX83,42,0)</f>
        <v>#N/A</v>
      </c>
      <c r="AQ102" s="110" t="e">
        <f>VLOOKUP(Input!$C11,'2020Data'!$A1:$DX83,43,0)</f>
        <v>#N/A</v>
      </c>
      <c r="AR102" s="125" t="e">
        <f>VLOOKUP(Input!$C11,'2020Data'!$A1:$DX83,44,0)</f>
        <v>#N/A</v>
      </c>
      <c r="AS102" s="125" t="e">
        <f>VLOOKUP(Input!$C11,'2020Data'!$A1:$DX83,45,0)</f>
        <v>#N/A</v>
      </c>
      <c r="AT102" s="125" t="e">
        <f>VLOOKUP(Input!$C11,'2020Data'!$A1:$DX83,46,0)</f>
        <v>#N/A</v>
      </c>
      <c r="AU102" s="125" t="e">
        <f>VLOOKUP(Input!$C11,'2020Data'!$A1:$DX83,47,0)</f>
        <v>#N/A</v>
      </c>
      <c r="AV102" s="125" t="e">
        <f>VLOOKUP(Input!$C11,'2020Data'!$A1:$DX83,48,0)</f>
        <v>#N/A</v>
      </c>
      <c r="AW102" s="125" t="e">
        <f>VLOOKUP(Input!$C11,'2020Data'!$A1:$DX83,49,0)</f>
        <v>#N/A</v>
      </c>
      <c r="AX102" s="125" t="e">
        <f>VLOOKUP(Input!$C11,'2020Data'!$A1:$DX83,50,0)</f>
        <v>#N/A</v>
      </c>
      <c r="AY102" s="125" t="e">
        <f>VLOOKUP(Input!$C11,'2020Data'!$A1:$DX83,51,0)</f>
        <v>#N/A</v>
      </c>
      <c r="AZ102" s="108" t="e">
        <f>VLOOKUP(Input!$C11,'2020Data'!$A1:$DX83,52,0)</f>
        <v>#N/A</v>
      </c>
      <c r="BA102" s="109" t="e">
        <f>VLOOKUP(Input!$C11,'2020Data'!$A1:$DX83,53,0)</f>
        <v>#N/A</v>
      </c>
      <c r="BB102" s="108" t="e">
        <f>VLOOKUP(Input!$C11,'2020Data'!$A1:$DX83,54,0)</f>
        <v>#N/A</v>
      </c>
      <c r="BC102" s="108" t="e">
        <f>VLOOKUP(Input!$C11,'2020Data'!$A1:$DX83,55,0)</f>
        <v>#N/A</v>
      </c>
      <c r="BD102" s="108" t="e">
        <f>VLOOKUP(Input!$C11,'2020Data'!$A1:$DX83,56,0)</f>
        <v>#N/A</v>
      </c>
      <c r="BE102" s="108" t="e">
        <f>VLOOKUP(Input!$C11,'2020Data'!$A1:$DX83,57,0)</f>
        <v>#N/A</v>
      </c>
      <c r="BF102" s="108" t="e">
        <f>VLOOKUP(Input!$C11,'2020Data'!$A1:$DX83,58,0)</f>
        <v>#N/A</v>
      </c>
      <c r="BG102" s="108" t="e">
        <f>VLOOKUP(Input!$C11,'2020Data'!$A1:$DX83,59,0)</f>
        <v>#N/A</v>
      </c>
      <c r="BH102" s="108" t="e">
        <f>VLOOKUP(Input!$C11,'2020Data'!$A1:$DX83,60,0)</f>
        <v>#N/A</v>
      </c>
      <c r="BI102" s="108" t="e">
        <f>VLOOKUP(Input!$C11,'2020Data'!$A1:$DX83,61,0)</f>
        <v>#N/A</v>
      </c>
      <c r="BJ102" s="108" t="e">
        <f>VLOOKUP(Input!$C11,'2020Data'!$A1:$DX83,62,0)</f>
        <v>#N/A</v>
      </c>
      <c r="BK102" s="108" t="e">
        <f>VLOOKUP(Input!$C11,'2020Data'!$A1:$DX83,63,0)</f>
        <v>#N/A</v>
      </c>
      <c r="BL102" s="109" t="e">
        <f>VLOOKUP(Input!$C11,'2020Data'!$A1:$DX83,64,0)</f>
        <v>#N/A</v>
      </c>
      <c r="BM102" s="108" t="e">
        <f>VLOOKUP(Input!$C11,'2020Data'!$A1:$DX83,65,0)</f>
        <v>#N/A</v>
      </c>
      <c r="BN102" s="108" t="e">
        <f>VLOOKUP(Input!$C11,'2020Data'!$A1:$DX83,66,0)</f>
        <v>#N/A</v>
      </c>
      <c r="BO102" s="109" t="e">
        <f>VLOOKUP(Input!$C11,'2020Data'!$A1:$DX83,67,0)</f>
        <v>#N/A</v>
      </c>
      <c r="BP102" s="108" t="e">
        <f>VLOOKUP(Input!$C11,'2020Data'!$A1:$DX83,68,0)</f>
        <v>#N/A</v>
      </c>
      <c r="BQ102" s="108" t="e">
        <f>VLOOKUP(Input!$C11,'2020Data'!$A1:$DX83,69,0)</f>
        <v>#N/A</v>
      </c>
      <c r="BR102" s="108" t="e">
        <f>VLOOKUP(Input!$C11,'2020Data'!$A1:$DX83,70,0)</f>
        <v>#N/A</v>
      </c>
      <c r="BS102" s="108" t="e">
        <f>VLOOKUP(Input!$C11,'2020Data'!$A1:$DX83,71,0)</f>
        <v>#N/A</v>
      </c>
      <c r="BT102" s="108" t="e">
        <f>VLOOKUP(Input!$C11,'2020Data'!$A1:$DX83,72,0)</f>
        <v>#N/A</v>
      </c>
      <c r="BU102" s="109" t="e">
        <f>VLOOKUP(Input!$C11,'2020Data'!$A1:$DX83,73,0)</f>
        <v>#N/A</v>
      </c>
      <c r="BV102" s="108" t="e">
        <f>VLOOKUP(Input!$C11,'2020Data'!$A1:$DX83,74,0)</f>
        <v>#N/A</v>
      </c>
      <c r="BW102" s="109" t="e">
        <f>VLOOKUP(Input!$C11,'2020Data'!$A1:$DX83,75,0)</f>
        <v>#N/A</v>
      </c>
      <c r="BX102" s="109" t="e">
        <f>VLOOKUP(Input!$C11,'2020Data'!$A1:$DX83,76,0)</f>
        <v>#N/A</v>
      </c>
      <c r="BY102" s="109" t="e">
        <f>VLOOKUP(Input!$C11,'2020Data'!$A1:$DX83,77,0)</f>
        <v>#N/A</v>
      </c>
      <c r="BZ102" s="108" t="e">
        <f>VLOOKUP(Input!$C11,'2020Data'!$A1:$DX83,78,0)</f>
        <v>#N/A</v>
      </c>
      <c r="CA102" s="108" t="e">
        <f>VLOOKUP(Input!$C11,'2020Data'!$A1:$DX83,79,0)</f>
        <v>#N/A</v>
      </c>
      <c r="CB102" s="108" t="e">
        <f>VLOOKUP(Input!$C11,'2020Data'!$A1:$DX83,80,0)</f>
        <v>#N/A</v>
      </c>
      <c r="CC102" s="108" t="e">
        <f>VLOOKUP(Input!$C11,'2020Data'!$A1:$DX83,81,0)</f>
        <v>#N/A</v>
      </c>
      <c r="CD102" s="108" t="e">
        <f>VLOOKUP(Input!$C11,'2020Data'!$A1:$DX83,82,0)</f>
        <v>#N/A</v>
      </c>
      <c r="CE102" s="108" t="e">
        <f>VLOOKUP(Input!$C11,'2020Data'!$A1:$DX83,83,0)</f>
        <v>#N/A</v>
      </c>
      <c r="CF102" s="108" t="e">
        <f>VLOOKUP(Input!$C11,'2020Data'!$A1:$DX83,84,0)</f>
        <v>#N/A</v>
      </c>
      <c r="CG102" s="108" t="e">
        <f>VLOOKUP(Input!$C11,'2020Data'!$A1:$DX83,85,0)</f>
        <v>#N/A</v>
      </c>
      <c r="CH102" s="109" t="e">
        <f>VLOOKUP(Input!$C11,'2020Data'!$A1:$DX83,86,0)</f>
        <v>#N/A</v>
      </c>
      <c r="CI102" s="108" t="e">
        <f>VLOOKUP(Input!$C11,'2020Data'!$A1:$DX83,87,0)</f>
        <v>#N/A</v>
      </c>
      <c r="CJ102" s="109" t="e">
        <f>VLOOKUP(Input!$C11,'2020Data'!$A1:$DX83,88,0)</f>
        <v>#N/A</v>
      </c>
      <c r="CK102" s="108" t="e">
        <f>VLOOKUP(Input!$C11,'2020Data'!$A1:$DX83,89,0)</f>
        <v>#N/A</v>
      </c>
      <c r="CL102" s="107" t="e">
        <f>VLOOKUP(Input!$C11,'2020Data'!$A1:$DX83,90,0)</f>
        <v>#N/A</v>
      </c>
      <c r="CM102" s="107" t="e">
        <f>VLOOKUP(Input!$C11,'2020Data'!$A1:$DX83,91,0)</f>
        <v>#N/A</v>
      </c>
      <c r="CN102" s="107" t="e">
        <f>VLOOKUP(Input!$C11,'2020Data'!$A1:$DX83,92,0)</f>
        <v>#N/A</v>
      </c>
      <c r="CO102" s="169" t="e">
        <f>VLOOKUP(Input!$C11,'2020Data'!$A1:$DX83,93,0)</f>
        <v>#N/A</v>
      </c>
      <c r="CP102" s="108" t="e">
        <f>VLOOKUP(Input!$C11,'2020Data'!$A1:$DX83,94,0)</f>
        <v>#N/A</v>
      </c>
      <c r="CQ102" s="169" t="e">
        <f>VLOOKUP(Input!$C11,'2020Data'!$A1:$DX83,95,0)</f>
        <v>#N/A</v>
      </c>
      <c r="CR102" s="169" t="e">
        <f>VLOOKUP(Input!$C11,'2020Data'!$A1:$DX83,96,0)</f>
        <v>#N/A</v>
      </c>
      <c r="CS102" s="169" t="e">
        <f>VLOOKUP(Input!$C11,'2020Data'!$A1:$DX83,97,0)</f>
        <v>#N/A</v>
      </c>
      <c r="CT102" s="108" t="e">
        <f>VLOOKUP(Input!$C11,'2020Data'!$A1:$DX83,98,0)</f>
        <v>#N/A</v>
      </c>
      <c r="CU102" s="108" t="e">
        <f>VLOOKUP(Input!$C11,'2020Data'!$A1:$DX83,99,0)</f>
        <v>#N/A</v>
      </c>
      <c r="CV102" s="125" t="e">
        <f>VLOOKUP(Input!$C11,'2020Data'!$A1:$DX83,100,0)</f>
        <v>#N/A</v>
      </c>
      <c r="CW102" s="109" t="e">
        <f>VLOOKUP(Input!$C11,'2020Data'!$A1:$DX83,101,0)</f>
        <v>#N/A</v>
      </c>
      <c r="CX102" s="107" t="e">
        <f>VLOOKUP(Input!$C11,'2020Data'!$A1:$DX83,102,0)</f>
        <v>#N/A</v>
      </c>
      <c r="CY102" s="107" t="e">
        <f>VLOOKUP(Input!$C11,'2020Data'!$A1:$DX83,103,0)</f>
        <v>#N/A</v>
      </c>
      <c r="CZ102" s="108" t="e">
        <f>VLOOKUP(Input!$C11,'2020Data'!$A1:$DX83,104,0)</f>
        <v>#N/A</v>
      </c>
      <c r="DA102" s="108" t="e">
        <f>VLOOKUP(Input!$C11,'2020Data'!$A1:$DX83,105,0)</f>
        <v>#N/A</v>
      </c>
      <c r="DB102" s="143" t="e">
        <f>VLOOKUP(Input!$C11,'2020Data'!$A1:$DX83,106,0)</f>
        <v>#N/A</v>
      </c>
      <c r="DC102" s="108" t="e">
        <f>VLOOKUP(Input!$C11,'2020Data'!$A1:$DX83,107,0)</f>
        <v>#N/A</v>
      </c>
      <c r="DD102" s="141" t="e">
        <f>VLOOKUP(Input!$C11,'2020Data'!$A1:$DX83,108,0)</f>
        <v>#N/A</v>
      </c>
      <c r="DE102" s="108" t="e">
        <f>VLOOKUP(Input!$C11,'2020Data'!$A1:$DX83,109,0)</f>
        <v>#N/A</v>
      </c>
      <c r="DF102" s="108" t="e">
        <f>VLOOKUP(Input!$C11,'2020Data'!$A1:$DX83,110,0)</f>
        <v>#N/A</v>
      </c>
      <c r="DG102" s="108" t="e">
        <f>VLOOKUP(Input!$C11,'2020Data'!$A1:$DX83,111,0)</f>
        <v>#N/A</v>
      </c>
      <c r="DH102" s="108" t="e">
        <f>VLOOKUP(Input!$C11,'2020Data'!$A1:$DX83,112,0)</f>
        <v>#N/A</v>
      </c>
      <c r="DI102" s="108" t="e">
        <f>VLOOKUP(Input!$C11,'2020Data'!$A1:$DX83,113,0)</f>
        <v>#N/A</v>
      </c>
      <c r="DJ102" s="108" t="e">
        <f>VLOOKUP(Input!$C11,'2020Data'!$A1:$DX83,114,0)</f>
        <v>#N/A</v>
      </c>
      <c r="DK102" s="108" t="e">
        <f>VLOOKUP(Input!$C11,'2020Data'!$A1:$DX83,115,0)</f>
        <v>#N/A</v>
      </c>
      <c r="DL102" s="108" t="e">
        <f>VLOOKUP(Input!$C11,'2020Data'!$A1:$DX83,116,0)</f>
        <v>#N/A</v>
      </c>
      <c r="DM102" s="108" t="e">
        <f>VLOOKUP(Input!$C11,'2020Data'!$A1:$DX83,117,0)</f>
        <v>#N/A</v>
      </c>
      <c r="DN102" s="108" t="e">
        <f>VLOOKUP(Input!$C11,'2020Data'!$A1:$DX83,118,0)</f>
        <v>#N/A</v>
      </c>
      <c r="DO102" s="212" t="e">
        <f>VLOOKUP(Input!$C11,'2020Data'!$A1:$DX83,119,0)</f>
        <v>#N/A</v>
      </c>
      <c r="DP102" s="108" t="e">
        <f>VLOOKUP(Input!$C11,'2020Data'!$A1:$DX83,120,0)</f>
        <v>#N/A</v>
      </c>
      <c r="DQ102" s="108" t="e">
        <f>VLOOKUP(Input!$C11,'2020Data'!$A1:$DX83,121,0)</f>
        <v>#N/A</v>
      </c>
      <c r="DR102" s="108" t="e">
        <f>VLOOKUP(Input!$C11,'2020Data'!$A1:$DX83,122,0)</f>
        <v>#N/A</v>
      </c>
      <c r="DS102" s="108" t="e">
        <f>VLOOKUP(Input!$C11,'2020Data'!$A1:$DX83,123,0)</f>
        <v>#N/A</v>
      </c>
      <c r="DT102" s="198" t="e">
        <f>VLOOKUP(Input!$C11,'2020Data'!$A1:$DX83,124,0)</f>
        <v>#N/A</v>
      </c>
      <c r="DU102" s="198" t="e">
        <f>VLOOKUP(Input!$C11,'2020Data'!$A1:$DX83,125,0)</f>
        <v>#N/A</v>
      </c>
      <c r="DW102" s="109" t="e">
        <f>VLOOKUP(Input!$C11,'2020Data'!$A2:$DZ83,127,0)</f>
        <v>#N/A</v>
      </c>
      <c r="DX102" s="109" t="e">
        <f>VLOOKUP(Input!$C11,'2020Data'!$A2:$DZ83,128,0)</f>
        <v>#N/A</v>
      </c>
      <c r="DY102" s="109" t="e">
        <f>VLOOKUP(Input!$C11,'2020Data'!$A2:$DZ83,129,0)</f>
        <v>#N/A</v>
      </c>
      <c r="DZ102" s="109" t="e">
        <f>VLOOKUP(Input!$C11,'2020Data'!$A2:$DZ83,130,0)</f>
        <v>#N/A</v>
      </c>
      <c r="EA102" s="110" t="e">
        <f>VLOOKUP(Input!$C11,'2020Data'!$A2:$EB83,131,0)</f>
        <v>#N/A</v>
      </c>
      <c r="EB102" s="110" t="e">
        <f>VLOOKUP(Input!$C11,'2020Data'!$A2:$EB83,132,0)</f>
        <v>#N/A</v>
      </c>
    </row>
    <row r="103" spans="1:132" ht="15" thickBot="1">
      <c r="B103" s="114" t="e">
        <f>IF($C102&lt;1999,#REF!,(IF($C102&lt;4999,B90,(IF($C102&lt;9999,B91,(IF($C102&lt;14999,B92,(IF($C102&lt;24999,B93,(IF($C102&lt;49999,B94,(IF($C102&lt;99999,B95,(IF($C102&lt;249999,B96,B97)))))))))))))))</f>
        <v>#N/A</v>
      </c>
      <c r="C103" s="108" t="e">
        <f>IF($C102&lt;1999,#REF!,(IF($C102&lt;4999,C90,(IF($C102&lt;9999,C91,(IF($C102&lt;14999,C92,(IF($C102&lt;24999,C93,(IF($C102&lt;49999,C94,(IF($C102&lt;99999,C95,(IF($C102&lt;249999,C96,C97)))))))))))))))</f>
        <v>#N/A</v>
      </c>
      <c r="D103" s="108" t="e">
        <f>IF($C102&lt;1999,#REF!,(IF($C102&lt;4999,D90,(IF($C102&lt;9999,D91,(IF($C102&lt;14999,D92,(IF($C102&lt;24999,D93,(IF($C102&lt;49999,D94,(IF($C102&lt;99999,D95,(IF($C102&lt;249999,D96,D97)))))))))))))))</f>
        <v>#N/A</v>
      </c>
      <c r="E103" s="108" t="e">
        <f>IF($C102&lt;1999,#REF!,(IF($C102&lt;4999,E90,(IF($C102&lt;9999,E91,(IF($C102&lt;14999,E92,(IF($C102&lt;24999,E93,(IF($C102&lt;49999,E94,(IF($C102&lt;99999,E95,(IF($C102&lt;249999,E96,E97)))))))))))))))</f>
        <v>#N/A</v>
      </c>
      <c r="F103" s="108" t="e">
        <f>IF($C102&lt;1999,#REF!,(IF($C102&lt;4999,F90,(IF($C102&lt;9999,F91,(IF($C102&lt;14999,F92,(IF($C102&lt;24999,F93,(IF($C102&lt;49999,F94,(IF($C102&lt;99999,F95,(IF($C102&lt;249999,F96,F97)))))))))))))))</f>
        <v>#N/A</v>
      </c>
      <c r="G103" s="32" t="e">
        <f>IF($C102&lt;1999,#REF!,(IF($C102&lt;4999,G90,(IF($C102&lt;9999,G91,(IF($C102&lt;14999,G92,(IF($C102&lt;24999,G93,(IF($C102&lt;49999,G94,(IF($C102&lt;99999,G95,(IF($C102&lt;249999,G96,G97)))))))))))))))</f>
        <v>#N/A</v>
      </c>
      <c r="H103" s="108" t="e">
        <f>IF($C102&lt;1999,#REF!,(IF($C102&lt;4999,H90,(IF($C102&lt;9999,H91,(IF($C102&lt;14999,H92,(IF($C102&lt;24999,H93,(IF($C102&lt;49999,H94,(IF($C102&lt;99999,H95,(IF($C102&lt;249999,H96,H97)))))))))))))))</f>
        <v>#N/A</v>
      </c>
      <c r="I103" s="109" t="e">
        <f>IF($C102&lt;1999,#REF!,(IF($C102&lt;4999,I90,(IF($C102&lt;9999,I91,(IF($C102&lt;14999,I92,(IF($C102&lt;24999,I93,(IF($C102&lt;49999,I94,(IF($C102&lt;99999,I95,(IF($C102&lt;249999,I96,I97)))))))))))))))</f>
        <v>#N/A</v>
      </c>
      <c r="J103" s="125" t="e">
        <f>IF($C102&lt;1999,#REF!,(IF($C102&lt;4999,J90,(IF($C102&lt;9999,J91,(IF($C102&lt;14999,J92,(IF($C102&lt;24999,J93,(IF($C102&lt;49999,J94,(IF($C102&lt;99999,J95,(IF($C102&lt;249999,J96,J97)))))))))))))))</f>
        <v>#N/A</v>
      </c>
      <c r="K103" s="125" t="e">
        <f>IF($C102&lt;1999,#REF!,(IF($C102&lt;4999,K90,(IF($C102&lt;9999,K91,(IF($C102&lt;14999,K92,(IF($C102&lt;24999,K93,(IF($C102&lt;49999,K94,(IF($C102&lt;99999,K95,(IF($C102&lt;249999,K96,K97)))))))))))))))</f>
        <v>#N/A</v>
      </c>
      <c r="L103" s="125" t="e">
        <f>IF($C102&lt;1999,#REF!,(IF($C102&lt;4999,L90,(IF($C102&lt;9999,L91,(IF($C102&lt;14999,L92,(IF($C102&lt;24999,L93,(IF($C102&lt;49999,L94,(IF($C102&lt;99999,L95,(IF($C102&lt;249999,L96,L97)))))))))))))))</f>
        <v>#N/A</v>
      </c>
      <c r="M103" s="110" t="e">
        <f>IF($C102&lt;1999,#REF!,(IF($C102&lt;4999,M90,(IF($C102&lt;9999,M91,(IF($C102&lt;14999,M92,(IF($C102&lt;24999,M93,(IF($C102&lt;49999,M94,(IF($C102&lt;99999,M95,(IF($C102&lt;249999,M96,M97)))))))))))))))</f>
        <v>#N/A</v>
      </c>
      <c r="N103" s="125" t="e">
        <f>IF($C102&lt;1999,#REF!,(IF($C102&lt;4999,N90,(IF($C102&lt;9999,N91,(IF($C102&lt;14999,N92,(IF($C102&lt;24999,N93,(IF($C102&lt;49999,N94,(IF($C102&lt;99999,N95,(IF($C102&lt;249999,N96,N97)))))))))))))))</f>
        <v>#N/A</v>
      </c>
      <c r="O103" s="125" t="e">
        <f>IF($C102&lt;1999,#REF!,(IF($C102&lt;4999,O90,(IF($C102&lt;9999,O91,(IF($C102&lt;14999,O92,(IF($C102&lt;24999,O93,(IF($C102&lt;49999,O94,(IF($C102&lt;99999,O95,(IF($C102&lt;249999,O96,O97)))))))))))))))</f>
        <v>#N/A</v>
      </c>
      <c r="P103" s="125" t="e">
        <f>IF($C102&lt;1999,#REF!,(IF($C102&lt;4999,P90,(IF($C102&lt;9999,P91,(IF($C102&lt;14999,P92,(IF($C102&lt;24999,P93,(IF($C102&lt;49999,P94,(IF($C102&lt;99999,P95,(IF($C102&lt;249999,P96,P97)))))))))))))))</f>
        <v>#N/A</v>
      </c>
      <c r="Q103" s="125" t="e">
        <f>IF($C102&lt;1999,#REF!,(IF($C102&lt;4999,Q90,(IF($C102&lt;9999,Q91,(IF($C102&lt;14999,Q92,(IF($C102&lt;24999,Q93,(IF($C102&lt;49999,Q94,(IF($C102&lt;99999,Q95,(IF($C102&lt;249999,Q96,Q97)))))))))))))))</f>
        <v>#N/A</v>
      </c>
      <c r="R103" s="110" t="e">
        <f>IF($C102&lt;1999,#REF!,(IF($C102&lt;4999,R90,(IF($C102&lt;9999,R91,(IF($C102&lt;14999,R92,(IF($C102&lt;24999,R93,(IF($C102&lt;49999,R94,(IF($C102&lt;99999,R95,(IF($C102&lt;249999,R96,R97)))))))))))))))</f>
        <v>#N/A</v>
      </c>
      <c r="S103" s="125" t="e">
        <f>IF($C102&lt;1999,#REF!,(IF($C102&lt;4999,S90,(IF($C102&lt;9999,S91,(IF($C102&lt;14999,S92,(IF($C102&lt;24999,S93,(IF($C102&lt;49999,S94,(IF($C102&lt;99999,S95,(IF($C102&lt;249999,S96,S97)))))))))))))))</f>
        <v>#N/A</v>
      </c>
      <c r="T103" s="125" t="e">
        <f>IF($C102&lt;1999,#REF!,(IF($C102&lt;4999,T90,(IF($C102&lt;9999,T91,(IF($C102&lt;14999,T92,(IF($C102&lt;24999,T93,(IF($C102&lt;49999,T94,(IF($C102&lt;99999,T95,(IF($C102&lt;249999,T96,T97)))))))))))))))</f>
        <v>#N/A</v>
      </c>
      <c r="U103" s="125" t="e">
        <f>IF($C102&lt;1999,#REF!,(IF($C102&lt;4999,U90,(IF($C102&lt;9999,U91,(IF($C102&lt;14999,U92,(IF($C102&lt;24999,U93,(IF($C102&lt;49999,U94,(IF($C102&lt;99999,U95,(IF($C102&lt;249999,U96,U97)))))))))))))))</f>
        <v>#N/A</v>
      </c>
      <c r="V103" s="125" t="e">
        <f>IF($C102&lt;1999,#REF!,(IF($C102&lt;4999,V90,(IF($C102&lt;9999,V91,(IF($C102&lt;14999,V92,(IF($C102&lt;24999,V93,(IF($C102&lt;49999,V94,(IF($C102&lt;99999,V95,(IF($C102&lt;249999,V96,V97)))))))))))))))</f>
        <v>#N/A</v>
      </c>
      <c r="W103" s="110" t="e">
        <f>IF($C102&lt;1999,#REF!,(IF($C102&lt;4999,W90,(IF($C102&lt;9999,W91,(IF($C102&lt;14999,W92,(IF($C102&lt;24999,W93,(IF($C102&lt;49999,W94,(IF($C102&lt;99999,W95,(IF($C102&lt;249999,W96,W97)))))))))))))))</f>
        <v>#N/A</v>
      </c>
      <c r="X103" s="126" t="e">
        <f>IF($C102&lt;1999,#REF!,(IF($C102&lt;4999,X90,(IF($C102&lt;9999,X91,(IF($C102&lt;14999,X92,(IF($C102&lt;24999,X93,(IF($C102&lt;49999,X94,(IF($C102&lt;99999,X95,(IF($C102&lt;249999,X96,X97)))))))))))))))</f>
        <v>#N/A</v>
      </c>
      <c r="Y103" s="126" t="e">
        <f>IF($C102&lt;1999,#REF!,(IF($C102&lt;4999,Y90,(IF($C102&lt;9999,Y91,(IF($C102&lt;14999,Y92,(IF($C102&lt;24999,Y93,(IF($C102&lt;49999,Y94,(IF($C102&lt;99999,Y95,(IF($C102&lt;249999,Y96,Y97)))))))))))))))</f>
        <v>#N/A</v>
      </c>
      <c r="Z103" s="126" t="e">
        <f>IF($C102&lt;1999,#REF!,(IF($C102&lt;4999,Z90,(IF($C102&lt;9999,Z91,(IF($C102&lt;14999,Z92,(IF($C102&lt;24999,Z93,(IF($C102&lt;49999,Z94,(IF($C102&lt;99999,Z95,(IF($C102&lt;249999,Z96,Z97)))))))))))))))</f>
        <v>#N/A</v>
      </c>
      <c r="AA103" s="126" t="e">
        <f>IF($C102&lt;1999,#REF!,(IF($C102&lt;4999,AA90,(IF($C102&lt;9999,AA91,(IF($C102&lt;14999,AA92,(IF($C102&lt;24999,AA93,(IF($C102&lt;49999,AA94,(IF($C102&lt;99999,AA95,(IF($C102&lt;249999,AA96,AA97)))))))))))))))</f>
        <v>#N/A</v>
      </c>
      <c r="AB103" s="125" t="e">
        <f>IF($C102&lt;1999,#REF!,(IF($C102&lt;4999,AB90,(IF($C102&lt;9999,AB91,(IF($C102&lt;14999,AB92,(IF($C102&lt;24999,AB93,(IF($C102&lt;49999,AB94,(IF($C102&lt;99999,AB95,(IF($C102&lt;249999,AB96,AB97)))))))))))))))</f>
        <v>#N/A</v>
      </c>
      <c r="AC103" s="125" t="e">
        <f>IF($C102&lt;1999,#REF!,(IF($C102&lt;4999,AC90,(IF($C102&lt;9999,AC91,(IF($C102&lt;14999,AC92,(IF($C102&lt;24999,AC93,(IF($C102&lt;49999,AC94,(IF($C102&lt;99999,AC95,(IF($C102&lt;249999,AC96,AC97)))))))))))))))</f>
        <v>#N/A</v>
      </c>
      <c r="AD103" s="125" t="e">
        <f>IF($C102&lt;1999,#REF!,(IF($C102&lt;4999,AD90,(IF($C102&lt;9999,AD91,(IF($C102&lt;14999,AD92,(IF($C102&lt;24999,AD93,(IF($C102&lt;49999,AD94,(IF($C102&lt;99999,AD95,(IF($C102&lt;249999,AD96,AD97)))))))))))))))</f>
        <v>#N/A</v>
      </c>
      <c r="AE103" s="125" t="e">
        <f>IF($C102&lt;1999,#REF!,(IF($C102&lt;4999,AE90,(IF($C102&lt;9999,AE91,(IF($C102&lt;14999,AE92,(IF($C102&lt;24999,AE93,(IF($C102&lt;49999,AE94,(IF($C102&lt;99999,AE95,(IF($C102&lt;249999,AE96,AE97)))))))))))))))</f>
        <v>#N/A</v>
      </c>
      <c r="AF103" s="125" t="e">
        <f>IF($C102&lt;1999,#REF!,(IF($C102&lt;4999,AF90,(IF($C102&lt;9999,AF91,(IF($C102&lt;14999,AF92,(IF($C102&lt;24999,AF93,(IF($C102&lt;49999,AF94,(IF($C102&lt;99999,AF95,(IF($C102&lt;249999,AF96,AF97)))))))))))))))</f>
        <v>#N/A</v>
      </c>
      <c r="AG103" s="125" t="e">
        <f>IF($C102&lt;1999,#REF!,(IF($C102&lt;4999,AG90,(IF($C102&lt;9999,AG91,(IF($C102&lt;14999,AG92,(IF($C102&lt;24999,AG93,(IF($C102&lt;49999,AG94,(IF($C102&lt;99999,AG95,(IF($C102&lt;249999,AG96,AG97)))))))))))))))</f>
        <v>#N/A</v>
      </c>
      <c r="AH103" s="125" t="e">
        <f>IF($C102&lt;1999,#REF!,(IF($C102&lt;4999,AH90,(IF($C102&lt;9999,AH91,(IF($C102&lt;14999,AH92,(IF($C102&lt;24999,AH93,(IF($C102&lt;49999,AH94,(IF($C102&lt;99999,AH95,(IF($C102&lt;249999,AH96,AH97)))))))))))))))</f>
        <v>#N/A</v>
      </c>
      <c r="AI103" s="125" t="e">
        <f>IF($C102&lt;1999,#REF!,(IF($C102&lt;4999,AI90,(IF($C102&lt;9999,AI91,(IF($C102&lt;14999,AI92,(IF($C102&lt;24999,AI93,(IF($C102&lt;49999,AI94,(IF($C102&lt;99999,AI95,(IF($C102&lt;249999,AI96,AI97)))))))))))))))</f>
        <v>#N/A</v>
      </c>
      <c r="AJ103" s="110" t="e">
        <f>IF($C102&lt;1999,#REF!,(IF($C102&lt;4999,AJ90,(IF($C102&lt;9999,AJ91,(IF($C102&lt;14999,AJ92,(IF($C102&lt;24999,AJ93,(IF($C102&lt;49999,AJ94,(IF($C102&lt;99999,AJ95,(IF($C102&lt;249999,AJ96,AJ97)))))))))))))))</f>
        <v>#N/A</v>
      </c>
      <c r="AK103" s="125" t="e">
        <f>IF($C102&lt;1999,#REF!,(IF($C102&lt;4999,AK90,(IF($C102&lt;9999,AK91,(IF($C102&lt;14999,AK92,(IF($C102&lt;24999,AK93,(IF($C102&lt;49999,AK94,(IF($C102&lt;99999,AK95,(IF($C102&lt;249999,AK96,AK97)))))))))))))))</f>
        <v>#N/A</v>
      </c>
      <c r="AL103" s="125" t="e">
        <f>IF($C102&lt;1999,#REF!,(IF($C102&lt;4999,AL90,(IF($C102&lt;9999,AL91,(IF($C102&lt;14999,AL92,(IF($C102&lt;24999,AL93,(IF($C102&lt;49999,AL94,(IF($C102&lt;99999,AL95,(IF($C102&lt;249999,AL96,AL97)))))))))))))))</f>
        <v>#N/A</v>
      </c>
      <c r="AM103" s="125" t="e">
        <f>IF($C102&lt;1999,#REF!,(IF($C102&lt;4999,AM90,(IF($C102&lt;9999,AM91,(IF($C102&lt;14999,AM92,(IF($C102&lt;24999,AM93,(IF($C102&lt;49999,AM94,(IF($C102&lt;99999,AM95,(IF($C102&lt;249999,AM96,AM97)))))))))))))))</f>
        <v>#N/A</v>
      </c>
      <c r="AN103" s="125" t="e">
        <f>IF($C102&lt;1999,#REF!,(IF($C102&lt;4999,AN90,(IF($C102&lt;9999,AN91,(IF($C102&lt;14999,AN92,(IF($C102&lt;24999,AN93,(IF($C102&lt;49999,AN94,(IF($C102&lt;99999,AN95,(IF($C102&lt;249999,AN96,AN97)))))))))))))))</f>
        <v>#N/A</v>
      </c>
      <c r="AO103" s="125" t="e">
        <f>IF($C102&lt;1999,#REF!,(IF($C102&lt;4999,AO90,(IF($C102&lt;9999,AO91,(IF($C102&lt;14999,AO92,(IF($C102&lt;24999,AO93,(IF($C102&lt;49999,AO94,(IF($C102&lt;99999,AO95,(IF($C102&lt;249999,AO96,AO97)))))))))))))))</f>
        <v>#N/A</v>
      </c>
      <c r="AP103" s="125" t="e">
        <f>IF($C102&lt;1999,#REF!,(IF($C102&lt;4999,AP90,(IF($C102&lt;9999,AP91,(IF($C102&lt;14999,AP92,(IF($C102&lt;24999,AP93,(IF($C102&lt;49999,AP94,(IF($C102&lt;99999,AP95,(IF($C102&lt;249999,AP96,AP97)))))))))))))))</f>
        <v>#N/A</v>
      </c>
      <c r="AQ103" s="110" t="e">
        <f>IF($C102&lt;1999,#REF!,(IF($C102&lt;4999,AQ90,(IF($C102&lt;9999,AQ91,(IF($C102&lt;14999,AQ92,(IF($C102&lt;24999,AQ93,(IF($C102&lt;49999,AQ94,(IF($C102&lt;99999,AQ95,(IF($C102&lt;249999,AQ96,AQ97)))))))))))))))</f>
        <v>#N/A</v>
      </c>
      <c r="AR103" s="125" t="e">
        <f>IF($C102&lt;1999,#REF!,(IF($C102&lt;4999,AR90,(IF($C102&lt;9999,AR91,(IF($C102&lt;14999,AR92,(IF($C102&lt;24999,AR93,(IF($C102&lt;49999,AR94,(IF($C102&lt;99999,AR95,(IF($C102&lt;249999,AR96,AR97)))))))))))))))</f>
        <v>#N/A</v>
      </c>
      <c r="AS103" s="125" t="e">
        <f>IF($C102&lt;1999,#REF!,(IF($C102&lt;4999,AS90,(IF($C102&lt;9999,AS91,(IF($C102&lt;14999,AS92,(IF($C102&lt;24999,AS93,(IF($C102&lt;49999,AS94,(IF($C102&lt;99999,AS95,(IF($C102&lt;249999,AS96,AS97)))))))))))))))</f>
        <v>#N/A</v>
      </c>
      <c r="AT103" s="125" t="e">
        <f>IF($C102&lt;1999,#REF!,(IF($C102&lt;4999,AT90,(IF($C102&lt;9999,AT91,(IF($C102&lt;14999,AT92,(IF($C102&lt;24999,AT93,(IF($C102&lt;49999,AT94,(IF($C102&lt;99999,AT95,(IF($C102&lt;249999,AT96,AT97)))))))))))))))</f>
        <v>#N/A</v>
      </c>
      <c r="AU103" s="125" t="e">
        <f>IF($C102&lt;1999,#REF!,(IF($C102&lt;4999,AU90,(IF($C102&lt;9999,AU91,(IF($C102&lt;14999,AU92,(IF($C102&lt;24999,AU93,(IF($C102&lt;49999,AU94,(IF($C102&lt;99999,AU95,(IF($C102&lt;249999,AU96,AU97)))))))))))))))</f>
        <v>#N/A</v>
      </c>
      <c r="AV103" s="125" t="e">
        <f>IF($C102&lt;1999,#REF!,(IF($C102&lt;4999,AV90,(IF($C102&lt;9999,AV91,(IF($C102&lt;14999,AV92,(IF($C102&lt;24999,AV93,(IF($C102&lt;49999,AV94,(IF($C102&lt;99999,AV95,(IF($C102&lt;249999,AV96,AV97)))))))))))))))</f>
        <v>#N/A</v>
      </c>
      <c r="AW103" s="125" t="e">
        <f>IF($C102&lt;1999,#REF!,(IF($C102&lt;4999,AW90,(IF($C102&lt;9999,AW91,(IF($C102&lt;14999,AW92,(IF($C102&lt;24999,AW93,(IF($C102&lt;49999,AW94,(IF($C102&lt;99999,AW95,(IF($C102&lt;249999,AW96,AW97)))))))))))))))</f>
        <v>#N/A</v>
      </c>
      <c r="AX103" s="125" t="e">
        <f>IF($C102&lt;1999,#REF!,(IF($C102&lt;4999,AX90,(IF($C102&lt;9999,AX91,(IF($C102&lt;14999,AX92,(IF($C102&lt;24999,AX93,(IF($C102&lt;49999,AX94,(IF($C102&lt;99999,AX95,(IF($C102&lt;249999,AX96,AX97)))))))))))))))</f>
        <v>#N/A</v>
      </c>
      <c r="AY103" s="125" t="e">
        <f>IF($C102&lt;1999,#REF!,(IF($C102&lt;4999,AY90,(IF($C102&lt;9999,AY91,(IF($C102&lt;14999,AY92,(IF($C102&lt;24999,AY93,(IF($C102&lt;49999,AY94,(IF($C102&lt;99999,AY95,(IF($C102&lt;249999,AY96,AY97)))))))))))))))</f>
        <v>#N/A</v>
      </c>
      <c r="AZ103" s="108" t="e">
        <f>IF($C102&lt;1999,#REF!,(IF($C102&lt;4999,AZ90,(IF($C102&lt;9999,AZ91,(IF($C102&lt;14999,AZ92,(IF($C102&lt;24999,AZ93,(IF($C102&lt;49999,AZ94,(IF($C102&lt;99999,AZ95,(IF($C102&lt;249999,AZ96,AZ97)))))))))))))))</f>
        <v>#N/A</v>
      </c>
      <c r="BA103" s="109" t="e">
        <f>IF($C102&lt;1999,#REF!,(IF($C102&lt;4999,BA90,(IF($C102&lt;9999,BA91,(IF($C102&lt;14999,BA92,(IF($C102&lt;24999,BA93,(IF($C102&lt;49999,BA94,(IF($C102&lt;99999,BA95,(IF($C102&lt;249999,BA96,BA97)))))))))))))))</f>
        <v>#N/A</v>
      </c>
      <c r="BB103" s="108" t="e">
        <f>IF($C102&lt;1999,#REF!,(IF($C102&lt;4999,BB90,(IF($C102&lt;9999,BB91,(IF($C102&lt;14999,BB92,(IF($C102&lt;24999,BB93,(IF($C102&lt;49999,BB94,(IF($C102&lt;99999,BB95,(IF($C102&lt;249999,BB96,BB97)))))))))))))))</f>
        <v>#N/A</v>
      </c>
      <c r="BC103" s="108" t="e">
        <f>IF($C102&lt;1999,#REF!,(IF($C102&lt;4999,BC90,(IF($C102&lt;9999,BC91,(IF($C102&lt;14999,BC92,(IF($C102&lt;24999,BC93,(IF($C102&lt;49999,BC94,(IF($C102&lt;99999,BC95,(IF($C102&lt;249999,BC96,BC97)))))))))))))))</f>
        <v>#N/A</v>
      </c>
      <c r="BD103" s="108" t="e">
        <f>IF($C102&lt;1999,#REF!,(IF($C102&lt;4999,BD90,(IF($C102&lt;9999,BD91,(IF($C102&lt;14999,BD92,(IF($C102&lt;24999,BD93,(IF($C102&lt;49999,BD94,(IF($C102&lt;99999,BD95,(IF($C102&lt;249999,BD96,BD97)))))))))))))))</f>
        <v>#N/A</v>
      </c>
      <c r="BE103" s="108" t="e">
        <f>IF($C102&lt;1999,#REF!,(IF($C102&lt;4999,BE90,(IF($C102&lt;9999,BE91,(IF($C102&lt;14999,BE92,(IF($C102&lt;24999,BE93,(IF($C102&lt;49999,BE94,(IF($C102&lt;99999,BE95,(IF($C102&lt;249999,BE96,BE97)))))))))))))))</f>
        <v>#N/A</v>
      </c>
      <c r="BF103" s="108" t="e">
        <f>IF($C102&lt;1999,#REF!,(IF($C102&lt;4999,BF90,(IF($C102&lt;9999,BF91,(IF($C102&lt;14999,BF92,(IF($C102&lt;24999,BF93,(IF($C102&lt;49999,BF94,(IF($C102&lt;99999,BF95,(IF($C102&lt;249999,BF96,BF97)))))))))))))))</f>
        <v>#N/A</v>
      </c>
      <c r="BG103" s="108" t="e">
        <f>IF($C102&lt;1999,#REF!,(IF($C102&lt;4999,BG90,(IF($C102&lt;9999,BG91,(IF($C102&lt;14999,BG92,(IF($C102&lt;24999,BG93,(IF($C102&lt;49999,BG94,(IF($C102&lt;99999,BG95,(IF($C102&lt;249999,BG96,BG97)))))))))))))))</f>
        <v>#N/A</v>
      </c>
      <c r="BH103" s="108" t="e">
        <f>IF($C102&lt;1999,#REF!,(IF($C102&lt;4999,BH90,(IF($C102&lt;9999,BH91,(IF($C102&lt;14999,BH92,(IF($C102&lt;24999,BH93,(IF($C102&lt;49999,BH94,(IF($C102&lt;99999,BH95,(IF($C102&lt;249999,BH96,BH97)))))))))))))))</f>
        <v>#N/A</v>
      </c>
      <c r="BI103" s="108" t="e">
        <f>IF($C102&lt;1999,#REF!,(IF($C102&lt;4999,BI90,(IF($C102&lt;9999,BI91,(IF($C102&lt;14999,BI92,(IF($C102&lt;24999,BI93,(IF($C102&lt;49999,BI94,(IF($C102&lt;99999,BI95,(IF($C102&lt;249999,BI96,BI97)))))))))))))))</f>
        <v>#N/A</v>
      </c>
      <c r="BJ103" s="108" t="e">
        <f>IF($C102&lt;1999,#REF!,(IF($C102&lt;4999,BJ90,(IF($C102&lt;9999,BJ91,(IF($C102&lt;14999,BJ92,(IF($C102&lt;24999,BJ93,(IF($C102&lt;49999,BJ94,(IF($C102&lt;99999,BJ95,(IF($C102&lt;249999,BJ96,BJ97)))))))))))))))</f>
        <v>#N/A</v>
      </c>
      <c r="BK103" s="108" t="e">
        <f>IF($C102&lt;1999,#REF!,(IF($C102&lt;4999,BK90,(IF($C102&lt;9999,BK91,(IF($C102&lt;14999,BK92,(IF($C102&lt;24999,BK93,(IF($C102&lt;49999,BK94,(IF($C102&lt;99999,BK95,(IF($C102&lt;249999,BK96,BK97)))))))))))))))</f>
        <v>#N/A</v>
      </c>
      <c r="BL103" s="109" t="e">
        <f>IF($C102&lt;1999,#REF!,(IF($C102&lt;4999,BL90,(IF($C102&lt;9999,BL91,(IF($C102&lt;14999,BL92,(IF($C102&lt;24999,BL93,(IF($C102&lt;49999,BL94,(IF($C102&lt;99999,BL95,(IF($C102&lt;249999,BL96,BL97)))))))))))))))</f>
        <v>#N/A</v>
      </c>
      <c r="BM103" s="108" t="e">
        <f>IF($C102&lt;1999,#REF!,(IF($C102&lt;4999,BM90,(IF($C102&lt;9999,BM91,(IF($C102&lt;14999,BM92,(IF($C102&lt;24999,BM93,(IF($C102&lt;49999,BM94,(IF($C102&lt;99999,BM95,(IF($C102&lt;249999,BM96,BM97)))))))))))))))</f>
        <v>#N/A</v>
      </c>
      <c r="BN103" s="108" t="e">
        <f>IF($C102&lt;1999,#REF!,(IF($C102&lt;4999,BN90,(IF($C102&lt;9999,BN91,(IF($C102&lt;14999,BN92,(IF($C102&lt;24999,BN93,(IF($C102&lt;49999,BN94,(IF($C102&lt;99999,BN95,(IF($C102&lt;249999,BN96,BN97)))))))))))))))</f>
        <v>#N/A</v>
      </c>
      <c r="BO103" s="109" t="e">
        <f>IF($C102&lt;1999,#REF!,(IF($C102&lt;4999,BO90,(IF($C102&lt;9999,BO91,(IF($C102&lt;14999,BO92,(IF($C102&lt;24999,BO93,(IF($C102&lt;49999,BO94,(IF($C102&lt;99999,BO95,(IF($C102&lt;249999,BO96,BO97)))))))))))))))</f>
        <v>#N/A</v>
      </c>
      <c r="BP103" s="108" t="e">
        <f>IF($C102&lt;1999,#REF!,(IF($C102&lt;4999,BP90,(IF($C102&lt;9999,BP91,(IF($C102&lt;14999,BP92,(IF($C102&lt;24999,BP93,(IF($C102&lt;49999,BP94,(IF($C102&lt;99999,BP95,(IF($C102&lt;249999,BP96,BP97)))))))))))))))</f>
        <v>#N/A</v>
      </c>
      <c r="BQ103" s="108" t="e">
        <f>IF($C102&lt;1999,#REF!,(IF($C102&lt;4999,BQ90,(IF($C102&lt;9999,BQ91,(IF($C102&lt;14999,BQ92,(IF($C102&lt;24999,BQ93,(IF($C102&lt;49999,BQ94,(IF($C102&lt;99999,BQ95,(IF($C102&lt;249999,BQ96,BQ97)))))))))))))))</f>
        <v>#N/A</v>
      </c>
      <c r="BR103" s="108" t="e">
        <f>IF($C102&lt;1999,#REF!,(IF($C102&lt;4999,BR90,(IF($C102&lt;9999,BR91,(IF($C102&lt;14999,BR92,(IF($C102&lt;24999,BR93,(IF($C102&lt;49999,BR94,(IF($C102&lt;99999,BR95,(IF($C102&lt;249999,BR96,BR97)))))))))))))))</f>
        <v>#N/A</v>
      </c>
      <c r="BS103" s="108" t="e">
        <f>IF($C102&lt;1999,#REF!,(IF($C102&lt;4999,BS90,(IF($C102&lt;9999,BS91,(IF($C102&lt;14999,BS92,(IF($C102&lt;24999,BS93,(IF($C102&lt;49999,BS94,(IF($C102&lt;99999,BS95,(IF($C102&lt;249999,BS96,BS97)))))))))))))))</f>
        <v>#N/A</v>
      </c>
      <c r="BT103" s="108" t="e">
        <f>IF($C102&lt;1999,#REF!,(IF($C102&lt;4999,BT90,(IF($C102&lt;9999,BT91,(IF($C102&lt;14999,BT92,(IF($C102&lt;24999,BT93,(IF($C102&lt;49999,BT94,(IF($C102&lt;99999,BT95,(IF($C102&lt;249999,BT96,BT97)))))))))))))))</f>
        <v>#N/A</v>
      </c>
      <c r="BU103" s="109" t="e">
        <f>IF($C102&lt;1999,#REF!,(IF($C102&lt;4999,BU90,(IF($C102&lt;9999,BU91,(IF($C102&lt;14999,BU92,(IF($C102&lt;24999,BU93,(IF($C102&lt;49999,BU94,(IF($C102&lt;99999,BU95,(IF($C102&lt;249999,BU96,BU97)))))))))))))))</f>
        <v>#N/A</v>
      </c>
      <c r="BV103" s="108" t="e">
        <f>IF($C102&lt;1999,#REF!,(IF($C102&lt;4999,BV90,(IF($C102&lt;9999,BV91,(IF($C102&lt;14999,BV92,(IF($C102&lt;24999,BV93,(IF($C102&lt;49999,BV94,(IF($C102&lt;99999,BV95,(IF($C102&lt;249999,BV96,BV97)))))))))))))))</f>
        <v>#N/A</v>
      </c>
      <c r="BW103" s="109" t="e">
        <f>IF($C102&lt;1999,#REF!,(IF($C102&lt;4999,BW90,(IF($C102&lt;9999,BW91,(IF($C102&lt;14999,BW92,(IF($C102&lt;24999,BW93,(IF($C102&lt;49999,BW94,(IF($C102&lt;99999,BW95,(IF($C102&lt;249999,BW96,BW97)))))))))))))))</f>
        <v>#N/A</v>
      </c>
      <c r="BX103" s="109" t="e">
        <f>IF($C102&lt;1999,#REF!,(IF($C102&lt;4999,BX90,(IF($C102&lt;9999,BX91,(IF($C102&lt;14999,BX92,(IF($C102&lt;24999,BX93,(IF($C102&lt;49999,BX94,(IF($C102&lt;99999,BX95,(IF($C102&lt;249999,BX96,BX97)))))))))))))))</f>
        <v>#N/A</v>
      </c>
      <c r="BY103" s="109" t="e">
        <f>IF($C102&lt;1999,#REF!,(IF($C102&lt;4999,BY90,(IF($C102&lt;9999,BY91,(IF($C102&lt;14999,BY92,(IF($C102&lt;24999,BY93,(IF($C102&lt;49999,BY94,(IF($C102&lt;99999,BY95,(IF($C102&lt;249999,BY96,BY97)))))))))))))))</f>
        <v>#N/A</v>
      </c>
      <c r="BZ103" s="108" t="e">
        <f>IF($C102&lt;1999,#REF!,(IF($C102&lt;4999,BZ90,(IF($C102&lt;9999,BZ91,(IF($C102&lt;14999,BZ92,(IF($C102&lt;24999,BZ93,(IF($C102&lt;49999,BZ94,(IF($C102&lt;99999,BZ95,(IF($C102&lt;249999,BZ96,BZ97)))))))))))))))</f>
        <v>#N/A</v>
      </c>
      <c r="CA103" s="108" t="e">
        <f>IF($C102&lt;1999,#REF!,(IF($C102&lt;4999,CA90,(IF($C102&lt;9999,CA91,(IF($C102&lt;14999,CA92,(IF($C102&lt;24999,CA93,(IF($C102&lt;49999,CA94,(IF($C102&lt;99999,CA95,(IF($C102&lt;249999,CA96,CA97)))))))))))))))</f>
        <v>#N/A</v>
      </c>
      <c r="CB103" s="108" t="e">
        <f>IF($C102&lt;1999,#REF!,(IF($C102&lt;4999,CB90,(IF($C102&lt;9999,CB91,(IF($C102&lt;14999,CB92,(IF($C102&lt;24999,CB93,(IF($C102&lt;49999,CB94,(IF($C102&lt;99999,CB95,(IF($C102&lt;249999,CB96,CB97)))))))))))))))</f>
        <v>#N/A</v>
      </c>
      <c r="CC103" s="108" t="e">
        <f>IF($C102&lt;1999,#REF!,(IF($C102&lt;4999,CC90,(IF($C102&lt;9999,CC91,(IF($C102&lt;14999,CC92,(IF($C102&lt;24999,CC93,(IF($C102&lt;49999,CC94,(IF($C102&lt;99999,CC95,(IF($C102&lt;249999,CC96,CC97)))))))))))))))</f>
        <v>#N/A</v>
      </c>
      <c r="CD103" s="108" t="e">
        <f>IF($C102&lt;1999,#REF!,(IF($C102&lt;4999,CD90,(IF($C102&lt;9999,CD91,(IF($C102&lt;14999,CD92,(IF($C102&lt;24999,CD93,(IF($C102&lt;49999,CD94,(IF($C102&lt;99999,CD95,(IF($C102&lt;249999,CD96,CD97)))))))))))))))</f>
        <v>#N/A</v>
      </c>
      <c r="CE103" s="108" t="e">
        <f>IF($C102&lt;1999,#REF!,(IF($C102&lt;4999,CE90,(IF($C102&lt;9999,CE91,(IF($C102&lt;14999,CE92,(IF($C102&lt;24999,CE93,(IF($C102&lt;49999,CE94,(IF($C102&lt;99999,CE95,(IF($C102&lt;249999,CE96,CE97)))))))))))))))</f>
        <v>#N/A</v>
      </c>
      <c r="CF103" s="108" t="e">
        <f>IF($C102&lt;1999,#REF!,(IF($C102&lt;4999,CF90,(IF($C102&lt;9999,CF91,(IF($C102&lt;14999,CF92,(IF($C102&lt;24999,CF93,(IF($C102&lt;49999,CF94,(IF($C102&lt;99999,CF95,(IF($C102&lt;249999,CF96,CF97)))))))))))))))</f>
        <v>#N/A</v>
      </c>
      <c r="CG103" s="108" t="e">
        <f>IF($C102&lt;1999,#REF!,(IF($C102&lt;4999,CG90,(IF($C102&lt;9999,CG91,(IF($C102&lt;14999,CG92,(IF($C102&lt;24999,CG93,(IF($C102&lt;49999,CG94,(IF($C102&lt;99999,CG95,(IF($C102&lt;249999,CG96,CG97)))))))))))))))</f>
        <v>#N/A</v>
      </c>
      <c r="CH103" s="109" t="e">
        <f>IF($C102&lt;1999,#REF!,(IF($C102&lt;4999,CH90,(IF($C102&lt;9999,CH91,(IF($C102&lt;14999,CH92,(IF($C102&lt;24999,CH93,(IF($C102&lt;49999,CH94,(IF($C102&lt;99999,CH95,(IF($C102&lt;249999,CH96,CH97)))))))))))))))</f>
        <v>#N/A</v>
      </c>
      <c r="CI103" s="108" t="e">
        <f>IF($C102&lt;1999,#REF!,(IF($C102&lt;4999,CI90,(IF($C102&lt;9999,CI91,(IF($C102&lt;14999,CI92,(IF($C102&lt;24999,CI93,(IF($C102&lt;49999,CI94,(IF($C102&lt;99999,CI95,(IF($C102&lt;249999,CI96,CI97)))))))))))))))</f>
        <v>#N/A</v>
      </c>
      <c r="CJ103" s="109" t="e">
        <f>IF($C102&lt;1999,#REF!,(IF($C102&lt;4999,CJ90,(IF($C102&lt;9999,CJ91,(IF($C102&lt;14999,CJ92,(IF($C102&lt;24999,CJ93,(IF($C102&lt;49999,CJ94,(IF($C102&lt;99999,CJ95,(IF($C102&lt;249999,CJ96,CJ97)))))))))))))))</f>
        <v>#N/A</v>
      </c>
      <c r="CK103" s="108" t="e">
        <f>IF($C102&lt;1999,#REF!,(IF($C102&lt;4999,CK90,(IF($C102&lt;9999,CK91,(IF($C102&lt;14999,CK92,(IF($C102&lt;24999,CK93,(IF($C102&lt;49999,CK94,(IF($C102&lt;99999,CK95,(IF($C102&lt;249999,CK96,CK97)))))))))))))))</f>
        <v>#N/A</v>
      </c>
      <c r="CL103" s="107" t="e">
        <f>IF($C102&lt;1999,#REF!,(IF($C102&lt;4999,CL90,(IF($C102&lt;9999,CL91,(IF($C102&lt;14999,CL92,(IF($C102&lt;24999,CL93,(IF($C102&lt;49999,CL94,(IF($C102&lt;99999,CL95,(IF($C102&lt;249999,CL96,CL97)))))))))))))))</f>
        <v>#N/A</v>
      </c>
      <c r="CM103" s="107" t="e">
        <f>IF($C102&lt;1999,#REF!,(IF($C102&lt;4999,CM90,(IF($C102&lt;9999,CM91,(IF($C102&lt;14999,CM92,(IF($C102&lt;24999,CM93,(IF($C102&lt;49999,CM94,(IF($C102&lt;99999,CM95,(IF($C102&lt;249999,CM96,CM97)))))))))))))))</f>
        <v>#N/A</v>
      </c>
      <c r="CN103" s="107" t="e">
        <f>IF($C102&lt;1999,#REF!,(IF($C102&lt;4999,CN90,(IF($C102&lt;9999,CN91,(IF($C102&lt;14999,CN92,(IF($C102&lt;24999,CN93,(IF($C102&lt;49999,CN94,(IF($C102&lt;99999,CN95,(IF($C102&lt;249999,CN96,CN97)))))))))))))))</f>
        <v>#N/A</v>
      </c>
      <c r="CO103" s="169" t="e">
        <f>IF($C102&lt;1999,#REF!,(IF($C102&lt;4999,CO90,(IF($C102&lt;9999,CO91,(IF($C102&lt;14999,CO92,(IF($C102&lt;24999,CO93,(IF($C102&lt;49999,CO94,(IF($C102&lt;99999,CO95,(IF($C102&lt;249999,CO96,CO97)))))))))))))))</f>
        <v>#N/A</v>
      </c>
      <c r="CP103" s="108" t="e">
        <f>IF($C102&lt;1999,#REF!,(IF($C102&lt;4999,CP90,(IF($C102&lt;9999,CP91,(IF($C102&lt;14999,CP92,(IF($C102&lt;24999,CP93,(IF($C102&lt;49999,CP94,(IF($C102&lt;99999,CP95,(IF($C102&lt;249999,CP96,CP97)))))))))))))))</f>
        <v>#N/A</v>
      </c>
      <c r="CQ103" s="169" t="e">
        <f>IF($C102&lt;1999,#REF!,(IF($C102&lt;4999,CQ90,(IF($C102&lt;9999,CQ91,(IF($C102&lt;14999,CQ92,(IF($C102&lt;24999,CQ93,(IF($C102&lt;49999,CQ94,(IF($C102&lt;99999,CQ95,(IF($C102&lt;249999,CQ96,CQ97)))))))))))))))</f>
        <v>#N/A</v>
      </c>
      <c r="CR103" s="169" t="e">
        <f>IF($C102&lt;1999,#REF!,(IF($C102&lt;4999,CR90,(IF($C102&lt;9999,CR91,(IF($C102&lt;14999,CR92,(IF($C102&lt;24999,CR93,(IF($C102&lt;49999,CR94,(IF($C102&lt;99999,CR95,(IF($C102&lt;249999,CR96,CR97)))))))))))))))</f>
        <v>#N/A</v>
      </c>
      <c r="CS103" s="169" t="e">
        <f>IF($C102&lt;1999,#REF!,(IF($C102&lt;4999,CS90,(IF($C102&lt;9999,CS91,(IF($C102&lt;14999,CS92,(IF($C102&lt;24999,CS93,(IF($C102&lt;49999,CS94,(IF($C102&lt;99999,CS95,(IF($C102&lt;249999,CS96,CS97)))))))))))))))</f>
        <v>#N/A</v>
      </c>
      <c r="CT103" s="108" t="e">
        <f>IF($C102&lt;1999,#REF!,(IF($C102&lt;4999,CT90,(IF($C102&lt;9999,CT91,(IF($C102&lt;14999,CT92,(IF($C102&lt;24999,CT93,(IF($C102&lt;49999,CT94,(IF($C102&lt;99999,CT95,(IF($C102&lt;249999,CT96,CT97)))))))))))))))</f>
        <v>#N/A</v>
      </c>
      <c r="CU103" s="108" t="e">
        <f>IF($C102&lt;1999,#REF!,(IF($C102&lt;4999,CU90,(IF($C102&lt;9999,CU91,(IF($C102&lt;14999,CU92,(IF($C102&lt;24999,CU93,(IF($C102&lt;49999,CU94,(IF($C102&lt;99999,CU95,(IF($C102&lt;249999,CU96,CU97)))))))))))))))</f>
        <v>#N/A</v>
      </c>
      <c r="CV103" s="125" t="e">
        <f>IF($C102&lt;1999,#REF!,(IF($C102&lt;4999,CV90,(IF($C102&lt;9999,CV91,(IF($C102&lt;14999,CV92,(IF($C102&lt;24999,CV93,(IF($C102&lt;49999,CV94,(IF($C102&lt;99999,CV95,(IF($C102&lt;249999,CV96,CV97)))))))))))))))</f>
        <v>#N/A</v>
      </c>
      <c r="CW103" s="109" t="e">
        <f>IF($C102&lt;1999,#REF!,(IF($C102&lt;4999,CW90,(IF($C102&lt;9999,CW91,(IF($C102&lt;14999,CW92,(IF($C102&lt;24999,CW93,(IF($C102&lt;49999,CW94,(IF($C102&lt;99999,CW95,(IF($C102&lt;249999,CW96,CW97)))))))))))))))</f>
        <v>#N/A</v>
      </c>
      <c r="CX103" s="107" t="e">
        <f>IF($C102&lt;1999,#REF!,(IF($C102&lt;4999,CX90,(IF($C102&lt;9999,CX91,(IF($C102&lt;14999,CX92,(IF($C102&lt;24999,CX93,(IF($C102&lt;49999,CX94,(IF($C102&lt;99999,CX95,(IF($C102&lt;249999,CX96,CX97)))))))))))))))</f>
        <v>#N/A</v>
      </c>
      <c r="CY103" s="107" t="e">
        <f>IF($C102&lt;1999,#REF!,(IF($C102&lt;4999,CY90,(IF($C102&lt;9999,CY91,(IF($C102&lt;14999,CY92,(IF($C102&lt;24999,CY93,(IF($C102&lt;49999,CY94,(IF($C102&lt;99999,CY95,(IF($C102&lt;249999,CY96,CY97)))))))))))))))</f>
        <v>#N/A</v>
      </c>
      <c r="CZ103" s="108" t="e">
        <f>IF($C102&lt;1999,#REF!,(IF($C102&lt;4999,CZ90,(IF($C102&lt;9999,CZ91,(IF($C102&lt;14999,CZ92,(IF($C102&lt;24999,CZ93,(IF($C102&lt;49999,CZ94,(IF($C102&lt;99999,CZ95,(IF($C102&lt;249999,CZ96,CZ97)))))))))))))))</f>
        <v>#N/A</v>
      </c>
      <c r="DA103" s="108" t="e">
        <f>IF($C102&lt;1999,#REF!,(IF($C102&lt;4999,DA90,(IF($C102&lt;9999,DA91,(IF($C102&lt;14999,DA92,(IF($C102&lt;24999,DA93,(IF($C102&lt;49999,DA94,(IF($C102&lt;99999,DA95,(IF($C102&lt;249999,DA96,DA97)))))))))))))))</f>
        <v>#N/A</v>
      </c>
      <c r="DB103" s="143" t="e">
        <f>IF($C102&lt;1999,#REF!,(IF($C102&lt;4999,DB90,(IF($C102&lt;9999,DB91,(IF($C102&lt;14999,DB92,(IF($C102&lt;24999,DB93,(IF($C102&lt;49999,DB94,(IF($C102&lt;99999,DB95,(IF($C102&lt;249999,DB96,DB97)))))))))))))))</f>
        <v>#N/A</v>
      </c>
      <c r="DC103" s="108" t="e">
        <f>IF($C102&lt;1999,#REF!,(IF($C102&lt;4999,DC90,(IF($C102&lt;9999,DC91,(IF($C102&lt;14999,DC92,(IF($C102&lt;24999,DC93,(IF($C102&lt;49999,DC94,(IF($C102&lt;99999,DC95,(IF($C102&lt;249999,DC96,DC97)))))))))))))))</f>
        <v>#N/A</v>
      </c>
      <c r="DD103" s="108" t="e">
        <f>IF($C102&lt;1999,#REF!,(IF($C102&lt;4999,DD90,(IF($C102&lt;9999,DD91,(IF($C102&lt;14999,DD92,(IF($C102&lt;24999,DD93,(IF($C102&lt;49999,DD94,(IF($C102&lt;99999,DD95,(IF($C102&lt;249999,DD96,DD97)))))))))))))))</f>
        <v>#N/A</v>
      </c>
      <c r="DE103" s="108" t="e">
        <f>IF($C102&lt;1999,#REF!,(IF($C102&lt;4999,DE90,(IF($C102&lt;9999,DE91,(IF($C102&lt;14999,DE92,(IF($C102&lt;24999,DE93,(IF($C102&lt;49999,DE94,(IF($C102&lt;99999,DE95,(IF($C102&lt;249999,DE96,DE97)))))))))))))))</f>
        <v>#N/A</v>
      </c>
      <c r="DF103" s="108" t="e">
        <f>IF($C102&lt;1999,#REF!,(IF($C102&lt;4999,DF90,(IF($C102&lt;9999,DF91,(IF($C102&lt;14999,DF92,(IF($C102&lt;24999,DF93,(IF($C102&lt;49999,DF94,(IF($C102&lt;99999,DF95,(IF($C102&lt;249999,DF96,DF97)))))))))))))))</f>
        <v>#N/A</v>
      </c>
      <c r="DG103" s="108" t="e">
        <f>IF($C102&lt;1999,#REF!,(IF($C102&lt;4999,DG90,(IF($C102&lt;9999,DG91,(IF($C102&lt;14999,DG92,(IF($C102&lt;24999,DG93,(IF($C102&lt;49999,DG94,(IF($C102&lt;99999,DG95,(IF($C102&lt;249999,DG96,DG97)))))))))))))))</f>
        <v>#N/A</v>
      </c>
      <c r="DH103" s="108" t="e">
        <f>IF($C102&lt;1999,#REF!,(IF($C102&lt;4999,DH90,(IF($C102&lt;9999,DH91,(IF($C102&lt;14999,DH92,(IF($C102&lt;24999,DH93,(IF($C102&lt;49999,DH94,(IF($C102&lt;99999,DH95,(IF($C102&lt;249999,DH96,DH97)))))))))))))))</f>
        <v>#N/A</v>
      </c>
      <c r="DI103" s="108" t="e">
        <f>IF($C102&lt;1999,#REF!,(IF($C102&lt;4999,DI90,(IF($C102&lt;9999,DI91,(IF($C102&lt;14999,DI92,(IF($C102&lt;24999,DI93,(IF($C102&lt;49999,DI94,(IF($C102&lt;99999,DI95,(IF($C102&lt;249999,DI96,DI97)))))))))))))))</f>
        <v>#N/A</v>
      </c>
      <c r="DJ103" s="108" t="e">
        <f>IF($C102&lt;1999,#REF!,(IF($C102&lt;4999,DJ90,(IF($C102&lt;9999,DJ91,(IF($C102&lt;14999,DJ92,(IF($C102&lt;24999,DJ93,(IF($C102&lt;49999,DJ94,(IF($C102&lt;99999,DJ95,(IF($C102&lt;249999,DJ96,DJ97)))))))))))))))</f>
        <v>#N/A</v>
      </c>
      <c r="DK103" s="108" t="e">
        <f>IF($C102&lt;1999,#REF!,(IF($C102&lt;4999,DK90,(IF($C102&lt;9999,DK91,(IF($C102&lt;14999,DK92,(IF($C102&lt;24999,DK93,(IF($C102&lt;49999,DK94,(IF($C102&lt;99999,DK95,(IF($C102&lt;249999,DK96,DK97)))))))))))))))</f>
        <v>#N/A</v>
      </c>
      <c r="DL103" s="108" t="e">
        <f>IF($C102&lt;1999,#REF!,(IF($C102&lt;4999,DL90,(IF($C102&lt;9999,DL91,(IF($C102&lt;14999,DL92,(IF($C102&lt;24999,DL93,(IF($C102&lt;49999,DL94,(IF($C102&lt;99999,DL95,(IF($C102&lt;249999,DL96,DL97)))))))))))))))</f>
        <v>#N/A</v>
      </c>
      <c r="DM103" s="129"/>
      <c r="DN103" s="127"/>
      <c r="DO103" s="107"/>
      <c r="DS103" s="109"/>
      <c r="DT103" s="114"/>
      <c r="DW103" s="109" t="e">
        <f>IF($C102&lt;1999,#REF!,(IF($C102&lt;4999,DW90,(IF($C102&lt;9999,DW91,(IF($C102&lt;14999,DW92,(IF($C102&lt;24999,DW93,(IF($C102&lt;49999,DW94,(IF($C102&lt;99999,DW95,(IF($C102&lt;249999,DW96,DW97)))))))))))))))</f>
        <v>#N/A</v>
      </c>
      <c r="DX103" s="109" t="e">
        <f>IF($C102&lt;1999,#REF!,(IF($C102&lt;4999,DX90,(IF($C102&lt;9999,DX91,(IF($C102&lt;14999,DX92,(IF($C102&lt;24999,DX93,(IF($C102&lt;49999,DX94,(IF($C102&lt;99999,DX95,(IF($C102&lt;249999,DX96,DX97)))))))))))))))</f>
        <v>#N/A</v>
      </c>
      <c r="DY103" s="109" t="e">
        <f>IF($C102&lt;1999,#REF!,(IF($C102&lt;4999,DY90,(IF($C102&lt;9999,DY91,(IF($C102&lt;14999,DY92,(IF($C102&lt;24999,DY93,(IF($C102&lt;49999,DY94,(IF($C102&lt;99999,DY95,(IF($C102&lt;249999,DY96,DY97)))))))))))))))</f>
        <v>#N/A</v>
      </c>
      <c r="DZ103" s="109" t="e">
        <f>IF($C102&lt;1999,#REF!,(IF($C102&lt;4999,DZ90,(IF($C102&lt;9999,DZ91,(IF($C102&lt;14999,DZ92,(IF($C102&lt;24999,DZ93,(IF($C102&lt;49999,DZ94,(IF($C102&lt;99999,DZ95,(IF($C102&lt;249999,DZ96,DZ97)))))))))))))))</f>
        <v>#N/A</v>
      </c>
      <c r="EA103" s="110" t="e">
        <f>IF($C102&lt;1999,#REF!,(IF($C102&lt;4999,EA90,(IF($C102&lt;9999,EA91,(IF($C102&lt;14999,EA92,(IF($C102&lt;24999,EA93,(IF($C102&lt;49999,EA94,(IF($C102&lt;99999,EA95,(IF($C102&lt;249999,EA96,EA97)))))))))))))))</f>
        <v>#N/A</v>
      </c>
      <c r="EB103" s="110" t="e">
        <f>IF($C102&lt;1999,#REF!,(IF($C102&lt;4999,EB90,(IF($C102&lt;9999,EB91,(IF($C102&lt;14999,EB92,(IF($C102&lt;24999,EB93,(IF($C102&lt;49999,EB94,(IF($C102&lt;99999,EB95,(IF($C102&lt;249999,EB96,EB97)))))))))))))))</f>
        <v>#N/A</v>
      </c>
    </row>
    <row r="104" spans="1:132" ht="15" thickBot="1">
      <c r="B104" s="97" t="s">
        <v>5</v>
      </c>
      <c r="C104" s="108">
        <f>AVERAGE(C2:C83)</f>
        <v>127893.03658536586</v>
      </c>
      <c r="D104" s="108">
        <f>AVERAGE(D2:D83)</f>
        <v>3.8536585365853657</v>
      </c>
      <c r="E104" s="108">
        <f>AVERAGE(E2:E83)</f>
        <v>0.24390243902439024</v>
      </c>
      <c r="F104" s="108">
        <f>AVERAGE(F2:F83)</f>
        <v>57349.304878048781</v>
      </c>
      <c r="G104" s="214">
        <f>SUM(G2:G83)/339</f>
        <v>0</v>
      </c>
      <c r="H104" s="108">
        <f t="shared" ref="H104:AB104" si="166">AVERAGE(H2:H83)</f>
        <v>57349.304878048781</v>
      </c>
      <c r="I104" s="109">
        <f t="shared" si="166"/>
        <v>0.55860402439024393</v>
      </c>
      <c r="J104" s="125">
        <f t="shared" si="166"/>
        <v>1506575.2195121951</v>
      </c>
      <c r="K104" s="125">
        <f t="shared" si="166"/>
        <v>617046.46341463411</v>
      </c>
      <c r="L104" s="125">
        <f t="shared" si="166"/>
        <v>2123621.6829268294</v>
      </c>
      <c r="M104" s="110">
        <f t="shared" si="166"/>
        <v>17.287800632851209</v>
      </c>
      <c r="N104" s="125">
        <f t="shared" si="166"/>
        <v>198577.89146341462</v>
      </c>
      <c r="O104" s="125">
        <f t="shared" si="166"/>
        <v>111500.88182926827</v>
      </c>
      <c r="P104" s="125">
        <f t="shared" si="166"/>
        <v>26027.300365853658</v>
      </c>
      <c r="Q104" s="125">
        <f t="shared" si="166"/>
        <v>336106.0736585366</v>
      </c>
      <c r="R104" s="110">
        <f t="shared" si="166"/>
        <v>2.4316584674325834</v>
      </c>
      <c r="S104" s="125">
        <f t="shared" si="166"/>
        <v>527219.00073170732</v>
      </c>
      <c r="T104" s="125">
        <f t="shared" si="166"/>
        <v>2986946.7573170732</v>
      </c>
      <c r="U104" s="125">
        <f t="shared" si="166"/>
        <v>1185.3048780487804</v>
      </c>
      <c r="V104" s="125">
        <f t="shared" si="166"/>
        <v>2986946.7573170732</v>
      </c>
      <c r="W104" s="110">
        <f t="shared" si="166"/>
        <v>23.785876426428075</v>
      </c>
      <c r="X104" s="111">
        <f t="shared" si="166"/>
        <v>0.73261416898678755</v>
      </c>
      <c r="Y104" s="111">
        <f t="shared" si="166"/>
        <v>0.10030630260243596</v>
      </c>
      <c r="Z104" s="111">
        <f t="shared" si="166"/>
        <v>0.16707952841077636</v>
      </c>
      <c r="AA104" s="111">
        <f t="shared" si="166"/>
        <v>6.7454827715878103E-4</v>
      </c>
      <c r="AB104" s="125">
        <f t="shared" si="166"/>
        <v>537127.39024390245</v>
      </c>
      <c r="AC104" s="125">
        <f>AVERAGE(AF2:AF83)</f>
        <v>2986946.7573170732</v>
      </c>
      <c r="AD104" s="125">
        <f>AVERAGE(AG2:AG83)</f>
        <v>2475912.5487804879</v>
      </c>
      <c r="AE104" s="125" t="e">
        <f>AVERAGE(AE2:AE83)</f>
        <v>#DIV/0!</v>
      </c>
      <c r="AF104" s="125" t="e">
        <f>AVERAGE(#REF!)</f>
        <v>#REF!</v>
      </c>
      <c r="AG104" s="125" t="e">
        <f>AVERAGE(#REF!)</f>
        <v>#REF!</v>
      </c>
      <c r="AH104" s="125" t="e">
        <f t="shared" ref="AH104:BM104" si="167">AVERAGE(AH2:AH83)</f>
        <v>#DIV/0!</v>
      </c>
      <c r="AI104" s="125">
        <f t="shared" si="167"/>
        <v>5462859.3060975615</v>
      </c>
      <c r="AJ104" s="110">
        <f t="shared" si="167"/>
        <v>38.540649192355723</v>
      </c>
      <c r="AK104" s="125">
        <f t="shared" si="167"/>
        <v>175801.30487804877</v>
      </c>
      <c r="AL104" s="125">
        <f t="shared" si="167"/>
        <v>19149.658536585364</v>
      </c>
      <c r="AM104" s="125">
        <f t="shared" si="167"/>
        <v>183932.21951219512</v>
      </c>
      <c r="AN104" s="125" t="e">
        <f t="shared" si="167"/>
        <v>#DIV/0!</v>
      </c>
      <c r="AO104" s="125">
        <f t="shared" si="167"/>
        <v>183932.21951219512</v>
      </c>
      <c r="AP104" s="125">
        <f t="shared" si="167"/>
        <v>3204220.5975609757</v>
      </c>
      <c r="AQ104" s="110">
        <f t="shared" si="167"/>
        <v>25.179342187007585</v>
      </c>
      <c r="AR104" s="125" t="e">
        <f t="shared" si="167"/>
        <v>#DIV/0!</v>
      </c>
      <c r="AS104" s="125">
        <f t="shared" si="167"/>
        <v>216232.91463414635</v>
      </c>
      <c r="AT104" s="125">
        <f t="shared" si="167"/>
        <v>0</v>
      </c>
      <c r="AU104" s="125">
        <f t="shared" si="167"/>
        <v>5487.8048780487807</v>
      </c>
      <c r="AV104" s="125">
        <f t="shared" si="167"/>
        <v>1757.7560975609756</v>
      </c>
      <c r="AW104" s="125" t="e">
        <f t="shared" si="167"/>
        <v>#DIV/0!</v>
      </c>
      <c r="AX104" s="125">
        <f t="shared" si="167"/>
        <v>11802.304878048781</v>
      </c>
      <c r="AY104" s="125">
        <f t="shared" si="167"/>
        <v>235280.78048780488</v>
      </c>
      <c r="AZ104" s="108">
        <f t="shared" si="167"/>
        <v>183066.81707317074</v>
      </c>
      <c r="BA104" s="109">
        <f t="shared" si="167"/>
        <v>1.8180562645258997</v>
      </c>
      <c r="BB104" s="108">
        <f t="shared" si="167"/>
        <v>7535.1219512195121</v>
      </c>
      <c r="BC104" s="108">
        <f t="shared" si="167"/>
        <v>7535.1219512195121</v>
      </c>
      <c r="BD104" s="108">
        <f t="shared" si="167"/>
        <v>11333.439024390244</v>
      </c>
      <c r="BE104" s="108">
        <f t="shared" si="167"/>
        <v>2974.9268292682927</v>
      </c>
      <c r="BF104" s="108">
        <f t="shared" si="167"/>
        <v>121234.4756097561</v>
      </c>
      <c r="BG104" s="108">
        <f t="shared" si="167"/>
        <v>6.2073170731707314</v>
      </c>
      <c r="BH104" s="108">
        <f t="shared" si="167"/>
        <v>89</v>
      </c>
      <c r="BI104" s="108">
        <f t="shared" si="167"/>
        <v>0</v>
      </c>
      <c r="BJ104" s="108">
        <f t="shared" si="167"/>
        <v>95.207317073170728</v>
      </c>
      <c r="BK104" s="108">
        <f t="shared" si="167"/>
        <v>356594.40243902442</v>
      </c>
      <c r="BL104" s="109">
        <f t="shared" si="167"/>
        <v>5.2497504786709221</v>
      </c>
      <c r="BM104" s="108">
        <f t="shared" si="167"/>
        <v>175</v>
      </c>
      <c r="BN104" s="108">
        <f t="shared" ref="BN104:CH104" si="168">AVERAGE(BN2:BN83)</f>
        <v>68252.629629629635</v>
      </c>
      <c r="BO104" s="109">
        <f t="shared" si="168"/>
        <v>0.47751293359349556</v>
      </c>
      <c r="BP104" s="108">
        <f t="shared" si="168"/>
        <v>213470.43902439025</v>
      </c>
      <c r="BQ104" s="108">
        <f t="shared" si="168"/>
        <v>0</v>
      </c>
      <c r="BR104" s="108">
        <f t="shared" si="168"/>
        <v>403820.90243902442</v>
      </c>
      <c r="BS104" s="108">
        <f t="shared" si="168"/>
        <v>356301.15853658534</v>
      </c>
      <c r="BT104" s="108">
        <f t="shared" si="168"/>
        <v>760122.06097560981</v>
      </c>
      <c r="BU104" s="109">
        <f t="shared" si="168"/>
        <v>4.175997303907768</v>
      </c>
      <c r="BV104" s="108">
        <f t="shared" si="168"/>
        <v>12440.601421887757</v>
      </c>
      <c r="BW104" s="109">
        <f t="shared" si="168"/>
        <v>64.441531851566012</v>
      </c>
      <c r="BX104" s="109">
        <f t="shared" si="168"/>
        <v>1.9800662230484027</v>
      </c>
      <c r="BY104" s="109">
        <f t="shared" si="168"/>
        <v>1.275205534905776</v>
      </c>
      <c r="BZ104" s="108">
        <f t="shared" si="168"/>
        <v>833.93902439024396</v>
      </c>
      <c r="CA104" s="108">
        <f t="shared" si="168"/>
        <v>117.58536585365853</v>
      </c>
      <c r="CB104" s="108">
        <f t="shared" si="168"/>
        <v>379.1219512195122</v>
      </c>
      <c r="CC104" s="108">
        <f t="shared" si="168"/>
        <v>1330.6463414634147</v>
      </c>
      <c r="CD104" s="108">
        <f t="shared" si="168"/>
        <v>24046.036585365855</v>
      </c>
      <c r="CE104" s="108">
        <f t="shared" si="168"/>
        <v>1778.3414634146341</v>
      </c>
      <c r="CF104" s="108">
        <f t="shared" si="168"/>
        <v>5947.8780487804879</v>
      </c>
      <c r="CG104" s="108">
        <f t="shared" si="168"/>
        <v>31772.256097560974</v>
      </c>
      <c r="CH104" s="109">
        <f t="shared" si="168"/>
        <v>0.25037138726775787</v>
      </c>
      <c r="CI104" s="108">
        <v>128973.69797421731</v>
      </c>
      <c r="CJ104" s="109">
        <f>AVERAGE(CJ2:CJ83)</f>
        <v>2.1109883695462304</v>
      </c>
      <c r="CK104" s="108">
        <f>AVERAGE(CK2:CK83)</f>
        <v>70900.036585365859</v>
      </c>
      <c r="CL104" s="142"/>
      <c r="CM104" s="142"/>
      <c r="CN104" s="142"/>
      <c r="CO104" s="169">
        <f t="shared" ref="CO104:CW104" si="169">AVERAGE(CO2:CO83)</f>
        <v>9.4025609756097559</v>
      </c>
      <c r="CP104" s="108">
        <f t="shared" si="169"/>
        <v>16297.159833081027</v>
      </c>
      <c r="CQ104" s="169">
        <f t="shared" si="169"/>
        <v>0.72158536585365851</v>
      </c>
      <c r="CR104" s="169">
        <f t="shared" si="169"/>
        <v>27.930731707317076</v>
      </c>
      <c r="CS104" s="169">
        <f t="shared" si="169"/>
        <v>38.054878048780481</v>
      </c>
      <c r="CT104" s="108">
        <f t="shared" si="169"/>
        <v>3525.7294518176614</v>
      </c>
      <c r="CU104" s="108">
        <f t="shared" si="169"/>
        <v>2097.8565822784808</v>
      </c>
      <c r="CV104" s="125">
        <f t="shared" si="169"/>
        <v>80521.951280487803</v>
      </c>
      <c r="CW104" s="109">
        <f t="shared" si="169"/>
        <v>37.307317073170729</v>
      </c>
      <c r="CX104" s="142"/>
      <c r="CY104" s="142"/>
      <c r="CZ104" s="108">
        <f t="shared" ref="CZ104:DJ104" si="170">AVERAGE(CZ2:CZ83)</f>
        <v>5310.2439024390242</v>
      </c>
      <c r="DA104" s="108">
        <f t="shared" si="170"/>
        <v>5148.1585365853662</v>
      </c>
      <c r="DB104" s="108">
        <f t="shared" si="170"/>
        <v>91.939024390243901</v>
      </c>
      <c r="DC104" s="108">
        <f t="shared" si="170"/>
        <v>39539.817073170729</v>
      </c>
      <c r="DD104" s="108">
        <f t="shared" si="170"/>
        <v>86914.357142857145</v>
      </c>
      <c r="DE104" s="108">
        <f t="shared" si="170"/>
        <v>541093.92753623193</v>
      </c>
      <c r="DF104" s="108">
        <f t="shared" si="170"/>
        <v>11596.707317073171</v>
      </c>
      <c r="DG104" s="108">
        <f t="shared" si="170"/>
        <v>50.524390243902438</v>
      </c>
      <c r="DH104" s="108">
        <f t="shared" si="170"/>
        <v>0.13459697965437967</v>
      </c>
      <c r="DI104" s="108">
        <f t="shared" si="170"/>
        <v>45.975609756097562</v>
      </c>
      <c r="DJ104" s="108">
        <f t="shared" si="170"/>
        <v>45.780487804878049</v>
      </c>
      <c r="DK104" s="213">
        <f>SUM(DK2:DK84)/339</f>
        <v>1057.6047197640119</v>
      </c>
      <c r="DL104" s="108">
        <f>AVERAGE(DL2:DL83)</f>
        <v>9019.8963414634145</v>
      </c>
      <c r="DM104" s="129"/>
      <c r="DN104" s="127"/>
      <c r="DO104" s="107"/>
      <c r="DS104" s="109"/>
      <c r="DT104" s="114"/>
      <c r="DW104" s="109">
        <f t="shared" ref="DW104:EB104" si="171">AVERAGE(DW2:DW83)</f>
        <v>1.2571928523466971</v>
      </c>
      <c r="DX104" s="109">
        <f t="shared" si="171"/>
        <v>0</v>
      </c>
      <c r="DY104" s="189">
        <f t="shared" si="171"/>
        <v>2.739861546619986</v>
      </c>
      <c r="DZ104" s="109">
        <f t="shared" si="171"/>
        <v>1.4361357572877798</v>
      </c>
      <c r="EA104" s="110">
        <f t="shared" si="171"/>
        <v>0.49983097653631681</v>
      </c>
      <c r="EB104" s="110">
        <f t="shared" si="171"/>
        <v>0.53005193551369711</v>
      </c>
    </row>
    <row r="107" spans="1:132" s="109" customFormat="1">
      <c r="C107" s="108"/>
      <c r="D107" s="108"/>
      <c r="E107" s="121"/>
      <c r="F107" s="108"/>
      <c r="G107" s="32"/>
      <c r="H107" s="108"/>
      <c r="I107" s="122"/>
      <c r="J107" s="155"/>
      <c r="K107" s="155"/>
      <c r="L107" s="155"/>
      <c r="M107" s="110"/>
      <c r="N107" s="155"/>
      <c r="O107" s="155"/>
      <c r="P107" s="155"/>
      <c r="Q107" s="155"/>
      <c r="R107" s="110"/>
      <c r="S107" s="155"/>
      <c r="T107" s="155"/>
      <c r="U107" s="155"/>
      <c r="V107" s="155"/>
      <c r="W107" s="110"/>
      <c r="X107" s="111"/>
      <c r="Y107" s="111"/>
      <c r="Z107" s="111"/>
      <c r="AA107" s="111"/>
      <c r="AB107" s="172"/>
      <c r="AC107" s="172"/>
      <c r="AD107" s="172"/>
      <c r="AE107" s="172"/>
      <c r="AF107" s="172"/>
      <c r="AG107" s="172"/>
      <c r="AH107" s="172"/>
      <c r="AI107" s="172"/>
      <c r="AJ107" s="110"/>
      <c r="AK107" s="172"/>
      <c r="AL107" s="125"/>
      <c r="AM107" s="125"/>
      <c r="AN107" s="125"/>
      <c r="AO107" s="125"/>
      <c r="AP107" s="125"/>
      <c r="AQ107" s="110"/>
      <c r="AR107" s="125"/>
      <c r="AS107" s="125"/>
      <c r="AT107" s="125"/>
      <c r="AU107" s="125"/>
      <c r="AV107" s="125"/>
      <c r="AW107" s="125"/>
      <c r="AX107" s="125"/>
      <c r="AY107" s="125"/>
      <c r="AZ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M107" s="108"/>
      <c r="BN107" s="108"/>
      <c r="BP107" s="108"/>
      <c r="BQ107" s="108"/>
      <c r="BR107" s="108"/>
      <c r="BS107" s="108"/>
      <c r="BT107" s="108"/>
      <c r="BU107" s="145"/>
      <c r="BV107" s="108"/>
      <c r="BW107" s="122"/>
      <c r="BX107" s="122"/>
      <c r="BY107" s="122"/>
      <c r="BZ107" s="108"/>
      <c r="CA107" s="108"/>
      <c r="CB107" s="108"/>
      <c r="CC107" s="108"/>
      <c r="CD107" s="108"/>
      <c r="CE107" s="108"/>
      <c r="CF107" s="108"/>
      <c r="CG107" s="108"/>
      <c r="CI107" s="108"/>
      <c r="CK107" s="108"/>
      <c r="CM107" s="146"/>
      <c r="CN107" s="146"/>
      <c r="CO107" s="177"/>
      <c r="CP107" s="108"/>
      <c r="CQ107" s="169"/>
      <c r="CR107" s="169"/>
      <c r="CS107" s="169"/>
      <c r="CT107" s="108"/>
      <c r="CU107" s="108"/>
      <c r="CV107" s="125"/>
      <c r="CY107" s="146"/>
      <c r="CZ107" s="143"/>
      <c r="DA107" s="108"/>
      <c r="DB107" s="108"/>
      <c r="DC107" s="143"/>
      <c r="DD107" s="108"/>
      <c r="DE107" s="108"/>
      <c r="DF107" s="108"/>
      <c r="DG107" s="108"/>
      <c r="DH107" s="108"/>
      <c r="DI107" s="108"/>
      <c r="DJ107" s="108"/>
      <c r="DK107" s="108"/>
      <c r="DL107" s="108"/>
      <c r="DM107" s="147"/>
      <c r="DO107" s="146"/>
      <c r="DP107" s="146"/>
      <c r="EA107" s="110"/>
      <c r="EB107" s="110"/>
    </row>
    <row r="109" spans="1:132">
      <c r="A109" s="191"/>
      <c r="B109" s="191">
        <v>2</v>
      </c>
      <c r="C109" s="192">
        <v>3</v>
      </c>
      <c r="D109" s="192">
        <v>4</v>
      </c>
      <c r="E109" s="191">
        <v>5</v>
      </c>
      <c r="F109" s="192">
        <v>6</v>
      </c>
      <c r="G109" s="191">
        <v>7</v>
      </c>
      <c r="H109" s="192">
        <v>8</v>
      </c>
      <c r="I109" s="192">
        <v>9</v>
      </c>
      <c r="J109" s="191">
        <v>10</v>
      </c>
      <c r="K109" s="192">
        <v>11</v>
      </c>
      <c r="L109" s="191">
        <v>12</v>
      </c>
      <c r="M109" s="192">
        <v>13</v>
      </c>
      <c r="N109" s="192">
        <v>14</v>
      </c>
      <c r="O109" s="191">
        <v>15</v>
      </c>
      <c r="P109" s="192">
        <v>16</v>
      </c>
      <c r="Q109" s="191">
        <v>17</v>
      </c>
      <c r="R109" s="192">
        <v>18</v>
      </c>
      <c r="S109" s="192">
        <v>19</v>
      </c>
      <c r="T109" s="191">
        <v>20</v>
      </c>
      <c r="U109" s="192">
        <v>21</v>
      </c>
      <c r="V109" s="191">
        <v>22</v>
      </c>
      <c r="W109" s="192">
        <v>23</v>
      </c>
      <c r="X109" s="192">
        <v>24</v>
      </c>
      <c r="Y109" s="191">
        <v>25</v>
      </c>
      <c r="Z109" s="192">
        <v>26</v>
      </c>
      <c r="AA109" s="191">
        <v>27</v>
      </c>
      <c r="AB109" s="192">
        <v>28</v>
      </c>
      <c r="AC109" s="192">
        <v>29</v>
      </c>
      <c r="AD109" s="191">
        <v>30</v>
      </c>
      <c r="AE109" s="192">
        <v>31</v>
      </c>
      <c r="AF109" s="191">
        <v>32</v>
      </c>
      <c r="AG109" s="192">
        <v>33</v>
      </c>
      <c r="AH109" s="192">
        <v>34</v>
      </c>
      <c r="AI109" s="191">
        <v>35</v>
      </c>
      <c r="AJ109" s="192">
        <v>36</v>
      </c>
      <c r="AK109" s="191">
        <v>37</v>
      </c>
      <c r="AL109" s="192">
        <v>38</v>
      </c>
      <c r="AM109" s="192">
        <v>39</v>
      </c>
      <c r="AN109" s="191">
        <v>40</v>
      </c>
      <c r="AO109" s="192">
        <v>41</v>
      </c>
      <c r="AP109" s="191">
        <v>42</v>
      </c>
      <c r="AQ109" s="192">
        <v>43</v>
      </c>
      <c r="AR109" s="192">
        <v>44</v>
      </c>
      <c r="AS109" s="191">
        <v>45</v>
      </c>
      <c r="AT109" s="192">
        <v>46</v>
      </c>
      <c r="AU109" s="191">
        <v>47</v>
      </c>
      <c r="AV109" s="192">
        <v>48</v>
      </c>
      <c r="AW109" s="192">
        <v>49</v>
      </c>
      <c r="AX109" s="191">
        <v>50</v>
      </c>
      <c r="AY109" s="192">
        <v>51</v>
      </c>
      <c r="AZ109" s="191">
        <v>52</v>
      </c>
      <c r="BA109" s="192">
        <v>53</v>
      </c>
      <c r="BB109" s="192">
        <v>54</v>
      </c>
      <c r="BC109" s="191">
        <v>55</v>
      </c>
      <c r="BD109" s="192">
        <v>56</v>
      </c>
      <c r="BE109" s="191">
        <v>57</v>
      </c>
      <c r="BF109" s="192">
        <v>58</v>
      </c>
      <c r="BG109" s="192">
        <v>59</v>
      </c>
      <c r="BH109" s="191">
        <v>60</v>
      </c>
      <c r="BI109" s="192">
        <v>61</v>
      </c>
      <c r="BJ109" s="191">
        <v>62</v>
      </c>
      <c r="BK109" s="192">
        <v>63</v>
      </c>
      <c r="BL109" s="192">
        <v>64</v>
      </c>
      <c r="BM109" s="191">
        <v>65</v>
      </c>
      <c r="BN109" s="192">
        <v>66</v>
      </c>
      <c r="BO109" s="191">
        <v>67</v>
      </c>
      <c r="BP109" s="192">
        <v>68</v>
      </c>
      <c r="BQ109" s="192">
        <v>69</v>
      </c>
      <c r="BR109" s="191">
        <v>70</v>
      </c>
      <c r="BS109" s="192">
        <v>71</v>
      </c>
      <c r="BT109" s="191">
        <v>72</v>
      </c>
      <c r="BU109" s="192">
        <v>73</v>
      </c>
      <c r="BV109" s="192">
        <v>74</v>
      </c>
      <c r="BW109" s="191">
        <v>75</v>
      </c>
      <c r="BX109" s="192">
        <v>76</v>
      </c>
      <c r="BY109" s="191">
        <v>77</v>
      </c>
      <c r="BZ109" s="192">
        <v>78</v>
      </c>
      <c r="CA109" s="192">
        <v>79</v>
      </c>
      <c r="CB109" s="191">
        <v>80</v>
      </c>
      <c r="CC109" s="192">
        <v>81</v>
      </c>
      <c r="CD109" s="191">
        <v>82</v>
      </c>
      <c r="CE109" s="192">
        <v>83</v>
      </c>
      <c r="CF109" s="192">
        <v>84</v>
      </c>
      <c r="CG109" s="191">
        <v>85</v>
      </c>
      <c r="CH109" s="192">
        <v>86</v>
      </c>
      <c r="CI109" s="191">
        <v>87</v>
      </c>
      <c r="CJ109" s="192">
        <v>88</v>
      </c>
      <c r="CK109" s="192">
        <v>89</v>
      </c>
      <c r="CL109" s="191">
        <v>90</v>
      </c>
      <c r="CM109" s="192">
        <v>91</v>
      </c>
      <c r="CN109" s="191">
        <v>92</v>
      </c>
      <c r="CO109" s="192">
        <v>93</v>
      </c>
      <c r="CP109" s="192">
        <v>94</v>
      </c>
      <c r="CQ109" s="191">
        <v>95</v>
      </c>
      <c r="CR109" s="192">
        <v>96</v>
      </c>
      <c r="CS109" s="191">
        <v>97</v>
      </c>
      <c r="CT109" s="192">
        <v>98</v>
      </c>
      <c r="CU109" s="192">
        <v>99</v>
      </c>
      <c r="CV109" s="191">
        <v>100</v>
      </c>
      <c r="CW109" s="192">
        <v>101</v>
      </c>
      <c r="CX109" s="191">
        <v>102</v>
      </c>
      <c r="CY109" s="192">
        <v>103</v>
      </c>
      <c r="CZ109" s="192">
        <v>104</v>
      </c>
      <c r="DA109" s="191">
        <v>105</v>
      </c>
      <c r="DB109" s="192">
        <v>106</v>
      </c>
      <c r="DC109" s="191">
        <v>107</v>
      </c>
      <c r="DD109" s="192">
        <v>108</v>
      </c>
      <c r="DE109" s="192">
        <v>109</v>
      </c>
      <c r="DF109" s="191">
        <v>110</v>
      </c>
      <c r="DG109" s="192">
        <v>111</v>
      </c>
      <c r="DH109" s="191">
        <v>112</v>
      </c>
      <c r="DI109" s="192">
        <v>113</v>
      </c>
      <c r="DJ109" s="192">
        <v>114</v>
      </c>
      <c r="DK109" s="191">
        <v>115</v>
      </c>
      <c r="DL109" s="192">
        <v>116</v>
      </c>
      <c r="DM109" s="191">
        <v>117</v>
      </c>
      <c r="DN109" s="192">
        <v>118</v>
      </c>
      <c r="DO109" s="192">
        <v>119</v>
      </c>
      <c r="DP109" s="191">
        <v>120</v>
      </c>
      <c r="DQ109" s="192">
        <v>121</v>
      </c>
      <c r="DR109" s="191">
        <v>122</v>
      </c>
      <c r="DS109" s="192">
        <v>123</v>
      </c>
      <c r="DT109" s="192">
        <v>124</v>
      </c>
      <c r="DU109" s="191">
        <v>125</v>
      </c>
      <c r="DV109" s="192">
        <v>126</v>
      </c>
      <c r="DW109" s="191">
        <v>127</v>
      </c>
      <c r="DX109" s="192">
        <v>128</v>
      </c>
      <c r="DY109" s="192">
        <v>129</v>
      </c>
      <c r="DZ109" s="191">
        <v>130</v>
      </c>
      <c r="EA109" s="192">
        <v>131</v>
      </c>
      <c r="EB109" s="191">
        <v>132</v>
      </c>
    </row>
    <row r="110" spans="1:132" s="148" customFormat="1" ht="15" thickBot="1">
      <c r="C110" s="151"/>
      <c r="D110" s="151"/>
      <c r="E110" s="171"/>
      <c r="F110" s="151"/>
      <c r="G110" s="32"/>
      <c r="H110" s="151"/>
      <c r="I110" s="159"/>
      <c r="J110" s="166"/>
      <c r="K110" s="166"/>
      <c r="L110" s="166"/>
      <c r="M110" s="150"/>
      <c r="N110" s="166"/>
      <c r="O110" s="166"/>
      <c r="P110" s="166"/>
      <c r="Q110" s="166"/>
      <c r="R110" s="150"/>
      <c r="S110" s="166"/>
      <c r="T110" s="166"/>
      <c r="U110" s="166"/>
      <c r="V110" s="166"/>
      <c r="W110" s="150"/>
      <c r="X110" s="149"/>
      <c r="Y110" s="149"/>
      <c r="Z110" s="149"/>
      <c r="AA110" s="149"/>
      <c r="AB110" s="166"/>
      <c r="AC110" s="166"/>
      <c r="AD110" s="166"/>
      <c r="AE110" s="166"/>
      <c r="AF110" s="166"/>
      <c r="AG110" s="166"/>
      <c r="AH110" s="166"/>
      <c r="AI110" s="166"/>
      <c r="AJ110" s="150"/>
      <c r="AK110" s="166"/>
      <c r="AL110" s="166"/>
      <c r="AM110" s="166"/>
      <c r="AN110" s="166"/>
      <c r="AO110" s="166"/>
      <c r="AP110" s="166"/>
      <c r="AQ110" s="150"/>
      <c r="AR110" s="166"/>
      <c r="AS110" s="166"/>
      <c r="AT110" s="166"/>
      <c r="AU110" s="166"/>
      <c r="AV110" s="166"/>
      <c r="AW110" s="166"/>
      <c r="AX110" s="166"/>
      <c r="AY110" s="166"/>
      <c r="AZ110" s="151"/>
      <c r="BA110" s="160"/>
      <c r="BB110" s="151"/>
      <c r="BC110" s="151"/>
      <c r="BD110" s="151"/>
      <c r="BE110" s="151"/>
      <c r="BF110" s="151"/>
      <c r="BG110" s="151"/>
      <c r="BH110" s="151"/>
      <c r="BI110" s="151"/>
      <c r="BJ110" s="151"/>
      <c r="BK110" s="151"/>
      <c r="BL110" s="160"/>
      <c r="BM110" s="151"/>
      <c r="BN110" s="151"/>
      <c r="BO110" s="160"/>
      <c r="BP110" s="151"/>
      <c r="BQ110" s="151"/>
      <c r="BR110" s="151"/>
      <c r="BS110" s="151"/>
      <c r="BT110" s="151"/>
      <c r="BU110" s="174"/>
      <c r="BV110" s="151"/>
      <c r="BW110" s="159"/>
      <c r="BX110" s="159"/>
      <c r="BY110" s="159"/>
      <c r="BZ110" s="151"/>
      <c r="CA110" s="151"/>
      <c r="CB110" s="151"/>
      <c r="CC110" s="151"/>
      <c r="CD110" s="151"/>
      <c r="CE110" s="151"/>
      <c r="CF110" s="151"/>
      <c r="CG110" s="151"/>
      <c r="CH110" s="160"/>
      <c r="CI110" s="151"/>
      <c r="CJ110" s="160"/>
      <c r="CK110" s="151"/>
      <c r="CM110" s="152"/>
      <c r="CN110" s="152"/>
      <c r="CO110" s="178"/>
      <c r="CP110" s="151"/>
      <c r="CQ110" s="181"/>
      <c r="CR110" s="181"/>
      <c r="CS110" s="181"/>
      <c r="CT110" s="151"/>
      <c r="CU110" s="151"/>
      <c r="CV110" s="166"/>
      <c r="CW110" s="160"/>
      <c r="CY110" s="152"/>
      <c r="CZ110" s="153"/>
      <c r="DA110" s="151"/>
      <c r="DB110" s="151"/>
      <c r="DC110" s="153"/>
      <c r="DD110" s="151"/>
      <c r="DE110" s="151"/>
      <c r="DF110" s="151"/>
      <c r="DG110" s="151"/>
      <c r="DH110" s="151"/>
      <c r="DI110" s="151"/>
      <c r="DJ110" s="151"/>
      <c r="DK110" s="151"/>
      <c r="DL110" s="151"/>
      <c r="DM110" s="154"/>
      <c r="DO110" s="152"/>
      <c r="DP110" s="152"/>
      <c r="DW110" s="160"/>
      <c r="DX110" s="160"/>
      <c r="DY110" s="160"/>
      <c r="DZ110" s="160"/>
      <c r="EA110" s="150"/>
      <c r="EB110" s="150"/>
    </row>
    <row r="111" spans="1:132" ht="91" thickBot="1">
      <c r="C111" s="98" t="s">
        <v>12</v>
      </c>
      <c r="D111" s="40" t="s">
        <v>19</v>
      </c>
      <c r="E111" s="40" t="s">
        <v>20</v>
      </c>
      <c r="F111" s="40" t="s">
        <v>21</v>
      </c>
      <c r="G111" s="40" t="s">
        <v>119</v>
      </c>
      <c r="H111" s="40" t="s">
        <v>120</v>
      </c>
      <c r="I111" s="41" t="s">
        <v>121</v>
      </c>
      <c r="J111" s="167" t="s">
        <v>22</v>
      </c>
      <c r="K111" s="167" t="s">
        <v>23</v>
      </c>
      <c r="L111" s="167" t="s">
        <v>24</v>
      </c>
      <c r="M111" s="102" t="s">
        <v>98</v>
      </c>
      <c r="N111" s="167" t="s">
        <v>25</v>
      </c>
      <c r="O111" s="167" t="s">
        <v>26</v>
      </c>
      <c r="P111" s="167" t="s">
        <v>27</v>
      </c>
      <c r="Q111" s="167" t="s">
        <v>28</v>
      </c>
      <c r="R111" s="102" t="s">
        <v>99</v>
      </c>
      <c r="S111" s="167" t="s">
        <v>29</v>
      </c>
      <c r="T111" s="167" t="s">
        <v>30</v>
      </c>
      <c r="U111" s="167" t="s">
        <v>31</v>
      </c>
      <c r="V111" s="167" t="s">
        <v>32</v>
      </c>
      <c r="W111" s="102" t="s">
        <v>100</v>
      </c>
      <c r="X111" s="101" t="s">
        <v>115</v>
      </c>
      <c r="Y111" s="101" t="s">
        <v>116</v>
      </c>
      <c r="Z111" s="101" t="s">
        <v>117</v>
      </c>
      <c r="AA111" s="101" t="s">
        <v>118</v>
      </c>
      <c r="AB111" s="167" t="s">
        <v>33</v>
      </c>
      <c r="AC111" s="167" t="s">
        <v>34</v>
      </c>
      <c r="AD111" s="167" t="s">
        <v>35</v>
      </c>
      <c r="AE111" s="167" t="s">
        <v>36</v>
      </c>
      <c r="AF111" s="167" t="s">
        <v>37</v>
      </c>
      <c r="AG111" s="167" t="s">
        <v>38</v>
      </c>
      <c r="AH111" s="167" t="s">
        <v>39</v>
      </c>
      <c r="AI111" s="167" t="s">
        <v>40</v>
      </c>
      <c r="AJ111" s="102" t="s">
        <v>101</v>
      </c>
      <c r="AK111" s="167" t="s">
        <v>41</v>
      </c>
      <c r="AL111" s="167" t="s">
        <v>42</v>
      </c>
      <c r="AM111" s="167" t="s">
        <v>43</v>
      </c>
      <c r="AN111" s="167" t="s">
        <v>44</v>
      </c>
      <c r="AO111" s="167" t="s">
        <v>45</v>
      </c>
      <c r="AP111" s="167" t="s">
        <v>46</v>
      </c>
      <c r="AQ111" s="102" t="s">
        <v>102</v>
      </c>
      <c r="AR111" s="167" t="s">
        <v>47</v>
      </c>
      <c r="AS111" s="167" t="s">
        <v>48</v>
      </c>
      <c r="AT111" s="167" t="s">
        <v>49</v>
      </c>
      <c r="AU111" s="167" t="s">
        <v>50</v>
      </c>
      <c r="AV111" s="167" t="s">
        <v>51</v>
      </c>
      <c r="AW111" s="167" t="s">
        <v>52</v>
      </c>
      <c r="AX111" s="167" t="s">
        <v>53</v>
      </c>
      <c r="AY111" s="167" t="s">
        <v>54</v>
      </c>
      <c r="AZ111" s="40" t="s">
        <v>55</v>
      </c>
      <c r="BA111" s="100" t="s">
        <v>103</v>
      </c>
      <c r="BB111" s="40" t="s">
        <v>56</v>
      </c>
      <c r="BC111" s="40" t="s">
        <v>57</v>
      </c>
      <c r="BD111" s="40" t="s">
        <v>58</v>
      </c>
      <c r="BE111" s="40" t="s">
        <v>59</v>
      </c>
      <c r="BF111" s="40" t="s">
        <v>60</v>
      </c>
      <c r="BG111" s="40" t="s">
        <v>61</v>
      </c>
      <c r="BH111" s="40" t="s">
        <v>62</v>
      </c>
      <c r="BI111" s="40" t="s">
        <v>63</v>
      </c>
      <c r="BJ111" s="40" t="s">
        <v>64</v>
      </c>
      <c r="BK111" s="40" t="s">
        <v>65</v>
      </c>
      <c r="BL111" s="100" t="s">
        <v>104</v>
      </c>
      <c r="BM111" s="40" t="s">
        <v>66</v>
      </c>
      <c r="BN111" s="40" t="s">
        <v>67</v>
      </c>
      <c r="BO111" s="100" t="s">
        <v>110</v>
      </c>
      <c r="BP111" s="40" t="s">
        <v>68</v>
      </c>
      <c r="BQ111" s="40" t="s">
        <v>69</v>
      </c>
      <c r="BR111" s="40" t="s">
        <v>70</v>
      </c>
      <c r="BS111" s="40" t="s">
        <v>71</v>
      </c>
      <c r="BT111" s="103" t="s">
        <v>72</v>
      </c>
      <c r="BU111" s="100" t="s">
        <v>105</v>
      </c>
      <c r="BV111" s="40" t="s">
        <v>106</v>
      </c>
      <c r="BW111" s="104" t="s">
        <v>107</v>
      </c>
      <c r="BX111" s="41" t="s">
        <v>108</v>
      </c>
      <c r="BY111" s="41" t="s">
        <v>109</v>
      </c>
      <c r="BZ111" s="40" t="s">
        <v>73</v>
      </c>
      <c r="CA111" s="40" t="s">
        <v>74</v>
      </c>
      <c r="CB111" s="40" t="s">
        <v>75</v>
      </c>
      <c r="CC111" s="40" t="s">
        <v>76</v>
      </c>
      <c r="CD111" s="40" t="s">
        <v>77</v>
      </c>
      <c r="CE111" s="40" t="s">
        <v>78</v>
      </c>
      <c r="CF111" s="40" t="s">
        <v>79</v>
      </c>
      <c r="CG111" s="40" t="s">
        <v>80</v>
      </c>
      <c r="CH111" s="100" t="s">
        <v>111</v>
      </c>
      <c r="CI111" s="40" t="s">
        <v>890</v>
      </c>
      <c r="CJ111" s="100" t="s">
        <v>112</v>
      </c>
      <c r="CK111" s="40" t="s">
        <v>891</v>
      </c>
      <c r="CL111" s="91" t="s">
        <v>892</v>
      </c>
      <c r="CM111" s="91" t="s">
        <v>899</v>
      </c>
      <c r="CN111" s="91" t="s">
        <v>207</v>
      </c>
      <c r="CO111" s="179" t="s">
        <v>81</v>
      </c>
      <c r="CP111" s="40" t="s">
        <v>113</v>
      </c>
      <c r="CQ111" s="179" t="s">
        <v>82</v>
      </c>
      <c r="CR111" s="179" t="s">
        <v>83</v>
      </c>
      <c r="CS111" s="179" t="s">
        <v>84</v>
      </c>
      <c r="CT111" s="40" t="s">
        <v>114</v>
      </c>
      <c r="CU111" s="40" t="s">
        <v>85</v>
      </c>
      <c r="CV111" s="167" t="s">
        <v>86</v>
      </c>
      <c r="CW111" s="100" t="s">
        <v>87</v>
      </c>
      <c r="CX111" s="91" t="s">
        <v>88</v>
      </c>
      <c r="CY111" s="91" t="s">
        <v>89</v>
      </c>
      <c r="CZ111" s="40" t="s">
        <v>90</v>
      </c>
      <c r="DA111" s="40" t="s">
        <v>91</v>
      </c>
      <c r="DB111" s="40" t="s">
        <v>210</v>
      </c>
      <c r="DC111" s="40" t="s">
        <v>211</v>
      </c>
      <c r="DD111" s="40" t="s">
        <v>893</v>
      </c>
      <c r="DE111" s="40" t="s">
        <v>93</v>
      </c>
      <c r="DF111" s="40" t="s">
        <v>94</v>
      </c>
      <c r="DG111" s="40" t="s">
        <v>95</v>
      </c>
      <c r="DH111" s="40" t="s">
        <v>910</v>
      </c>
      <c r="DI111" s="40" t="s">
        <v>96</v>
      </c>
      <c r="DJ111" s="40" t="s">
        <v>97</v>
      </c>
      <c r="DK111" s="40" t="s">
        <v>122</v>
      </c>
      <c r="DL111" s="40" t="s">
        <v>123</v>
      </c>
      <c r="DM111" s="91" t="s">
        <v>14</v>
      </c>
      <c r="DN111" s="105" t="s">
        <v>10</v>
      </c>
      <c r="DO111" s="90" t="s">
        <v>11</v>
      </c>
      <c r="DP111" s="90" t="s">
        <v>6</v>
      </c>
      <c r="DQ111" s="105" t="s">
        <v>13</v>
      </c>
      <c r="DR111" s="105" t="s">
        <v>15</v>
      </c>
      <c r="DS111" s="105" t="s">
        <v>16</v>
      </c>
      <c r="DT111" s="99" t="s">
        <v>17</v>
      </c>
      <c r="DU111" s="99" t="s">
        <v>18</v>
      </c>
      <c r="DV111" s="106" t="s">
        <v>4</v>
      </c>
      <c r="DW111" s="190" t="s">
        <v>127</v>
      </c>
      <c r="DX111" s="190" t="s">
        <v>128</v>
      </c>
      <c r="DY111" s="190" t="s">
        <v>129</v>
      </c>
      <c r="DZ111" s="190" t="s">
        <v>130</v>
      </c>
      <c r="EA111" s="201" t="s">
        <v>929</v>
      </c>
      <c r="EB111" s="201" t="s">
        <v>930</v>
      </c>
    </row>
    <row r="112" spans="1:132">
      <c r="B112" s="96" t="s">
        <v>0</v>
      </c>
      <c r="BT112" s="123"/>
      <c r="BU112" s="109"/>
      <c r="CL112" s="107"/>
      <c r="CO112" s="169"/>
      <c r="CX112" s="107"/>
      <c r="CZ112" s="108"/>
      <c r="DB112" s="143"/>
      <c r="DC112" s="108"/>
      <c r="DM112" s="124"/>
      <c r="DN112" s="120"/>
      <c r="DO112" s="107"/>
      <c r="DS112" s="109"/>
      <c r="DT112" s="114"/>
    </row>
    <row r="113" spans="2:132">
      <c r="B113" s="114" t="e">
        <f>VLOOKUP(Input!$C$11,'2020Data'!$A2:$DX83,1,FALSE)</f>
        <v>#N/A</v>
      </c>
      <c r="C113" s="108" t="e">
        <f>VLOOKUP(Input!$C11,'2020Data'!$A$2:$DX$83,3,0)</f>
        <v>#N/A</v>
      </c>
      <c r="D113" s="108" t="e">
        <f>VLOOKUP(Input!$C11,'2020Data'!$A2:$DX83,4,0)</f>
        <v>#N/A</v>
      </c>
      <c r="E113" s="108" t="e">
        <f>VLOOKUP(Input!$C11,'2020Data'!$A2:$DX83,5,0)</f>
        <v>#N/A</v>
      </c>
      <c r="F113" s="108" t="e">
        <f>VLOOKUP(Input!$C11,'2020Data'!$A2:$DX83,6,0)</f>
        <v>#N/A</v>
      </c>
      <c r="G113" s="32" t="e">
        <f>VLOOKUP(Input!$C11,'2020Data'!$A2:$DX83,7,0)</f>
        <v>#N/A</v>
      </c>
      <c r="H113" s="108" t="e">
        <f>VLOOKUP(Input!$C11,'2020Data'!$A2:$DX83,8,0)</f>
        <v>#N/A</v>
      </c>
      <c r="I113" s="109" t="e">
        <f>VLOOKUP(Input!$C11,'2020Data'!$A2:$DX83,9,0)</f>
        <v>#N/A</v>
      </c>
      <c r="J113" s="125" t="e">
        <f>VLOOKUP(Input!$C11,'2020Data'!$A2:$DX83,10,0)</f>
        <v>#N/A</v>
      </c>
      <c r="K113" s="125" t="e">
        <f>VLOOKUP(Input!$C11,'2020Data'!$A2:$DX83,11,0)</f>
        <v>#N/A</v>
      </c>
      <c r="L113" s="125" t="e">
        <f>VLOOKUP(Input!$C11,'2020Data'!$A2:$DX83,12,0)</f>
        <v>#N/A</v>
      </c>
      <c r="M113" s="110" t="e">
        <f>VLOOKUP(Input!$C11,'2020Data'!$A2:$DX83,13,0)</f>
        <v>#N/A</v>
      </c>
      <c r="N113" s="125" t="e">
        <f>VLOOKUP(Input!$C11,'2020Data'!$A2:$DX83,14,0)</f>
        <v>#N/A</v>
      </c>
      <c r="O113" s="125" t="e">
        <f>VLOOKUP(Input!$C11,'2020Data'!$A2:$DX83,15,0)</f>
        <v>#N/A</v>
      </c>
      <c r="P113" s="125" t="e">
        <f>VLOOKUP(Input!$C11,'2020Data'!$A2:$DX83,16,0)</f>
        <v>#N/A</v>
      </c>
      <c r="Q113" s="125" t="e">
        <f>VLOOKUP(Input!$C11,'2020Data'!$A2:$DX83,17,0)</f>
        <v>#N/A</v>
      </c>
      <c r="R113" s="110" t="e">
        <f>VLOOKUP(Input!$C11,'2020Data'!$A2:$DX83,18,0)</f>
        <v>#N/A</v>
      </c>
      <c r="S113" s="125" t="e">
        <f>VLOOKUP(Input!$C11,'2020Data'!$A2:$DX83,19,0)</f>
        <v>#N/A</v>
      </c>
      <c r="T113" s="125" t="e">
        <f>VLOOKUP(Input!$C11,'2020Data'!$A2:$DX83,20,0)</f>
        <v>#N/A</v>
      </c>
      <c r="U113" s="125" t="e">
        <f>VLOOKUP(Input!$C11,'2020Data'!$A2:$DX83,21,0)</f>
        <v>#N/A</v>
      </c>
      <c r="V113" s="125" t="e">
        <f>VLOOKUP(Input!$C11,'2020Data'!$A2:$DX83,22,0)</f>
        <v>#N/A</v>
      </c>
      <c r="W113" s="110" t="e">
        <f>VLOOKUP(Input!$C11,'2020Data'!$A2:$DX83,23,0)</f>
        <v>#N/A</v>
      </c>
      <c r="X113" s="126" t="e">
        <f>VLOOKUP(Input!$C11,'2020Data'!$A2:$DX83,24,0)</f>
        <v>#N/A</v>
      </c>
      <c r="Y113" s="126" t="e">
        <f>VLOOKUP(Input!$C11,'2020Data'!$A2:$DX83,25,0)</f>
        <v>#N/A</v>
      </c>
      <c r="Z113" s="126" t="e">
        <f>VLOOKUP(Input!$C11,'2020Data'!$A2:$DX83,26,0)</f>
        <v>#N/A</v>
      </c>
      <c r="AA113" s="126" t="e">
        <f>VLOOKUP(Input!$C11,'2020Data'!$A2:$DX83,27,0)</f>
        <v>#N/A</v>
      </c>
      <c r="AB113" s="125" t="e">
        <f>VLOOKUP(Input!$C11,'2020Data'!$A2:$DX83,28,0)</f>
        <v>#N/A</v>
      </c>
      <c r="AC113" s="125" t="e">
        <f>VLOOKUP(Input!$C11,'2020Data'!$A2:$DX83,29,0)</f>
        <v>#N/A</v>
      </c>
      <c r="AD113" s="125" t="e">
        <f>VLOOKUP(Input!$C11,'2020Data'!$A2:$DX83,30,0)</f>
        <v>#N/A</v>
      </c>
      <c r="AE113" s="125" t="e">
        <f>VLOOKUP(Input!$C11,'2020Data'!$A2:$DX83,31,0)</f>
        <v>#N/A</v>
      </c>
      <c r="AF113" s="125" t="e">
        <f>VLOOKUP(Input!$C11,'2020Data'!$A2:$DX83,32,0)</f>
        <v>#N/A</v>
      </c>
      <c r="AG113" s="125" t="e">
        <f>VLOOKUP(Input!$C11,'2020Data'!$A2:$DX83,33,0)</f>
        <v>#N/A</v>
      </c>
      <c r="AH113" s="125" t="e">
        <f>VLOOKUP(Input!$C11,'2020Data'!$A2:$DX83,34,0)</f>
        <v>#N/A</v>
      </c>
      <c r="AI113" s="125" t="e">
        <f>VLOOKUP(Input!$C11,'2020Data'!$A2:$DX83,35,0)</f>
        <v>#N/A</v>
      </c>
      <c r="AJ113" s="110" t="e">
        <f>VLOOKUP(Input!$C11,'2020Data'!$A2:$DX83,36,0)</f>
        <v>#N/A</v>
      </c>
      <c r="AK113" s="125" t="e">
        <f>VLOOKUP(Input!$C11,'2020Data'!$A2:$DX83,37,0)</f>
        <v>#N/A</v>
      </c>
      <c r="AL113" s="125" t="e">
        <f>VLOOKUP(Input!$C11,'2020Data'!$A2:$DX83,38,0)</f>
        <v>#N/A</v>
      </c>
      <c r="AM113" s="125" t="e">
        <f>VLOOKUP(Input!$C11,'2020Data'!$A2:$DX83,39,0)</f>
        <v>#N/A</v>
      </c>
      <c r="AN113" s="125" t="e">
        <f>VLOOKUP(Input!$C11,'2020Data'!$A2:$DX83,40,0)</f>
        <v>#N/A</v>
      </c>
      <c r="AO113" s="125" t="e">
        <f>VLOOKUP(Input!$C11,'2020Data'!$A2:$DX83,41,0)</f>
        <v>#N/A</v>
      </c>
      <c r="AP113" s="155" t="e">
        <f>VLOOKUP(Input!$C11,'2020Data'!$A2:$DX83,42,0)</f>
        <v>#N/A</v>
      </c>
      <c r="AQ113" s="110" t="e">
        <f>VLOOKUP(Input!$C11,'2020Data'!$A2:$DX83,43,0)</f>
        <v>#N/A</v>
      </c>
      <c r="AR113" s="125" t="e">
        <f>VLOOKUP(Input!$C11,'2020Data'!$A2:$DX83,44,0)</f>
        <v>#N/A</v>
      </c>
      <c r="AS113" s="125" t="e">
        <f>VLOOKUP(Input!$C11,'2020Data'!$A2:$DX83,45,0)</f>
        <v>#N/A</v>
      </c>
      <c r="AT113" s="125" t="e">
        <f>VLOOKUP(Input!$C11,'2020Data'!$A2:$DX83,46,0)</f>
        <v>#N/A</v>
      </c>
      <c r="AU113" s="125" t="e">
        <f>VLOOKUP(Input!$C11,'2020Data'!$A2:$DX83,47,0)</f>
        <v>#N/A</v>
      </c>
      <c r="AV113" s="125" t="e">
        <f>VLOOKUP(Input!$C11,'2020Data'!$A2:$DX83,48,0)</f>
        <v>#N/A</v>
      </c>
      <c r="AW113" s="125" t="e">
        <f>VLOOKUP(Input!$C11,'2020Data'!$A2:$DX83,49,0)</f>
        <v>#N/A</v>
      </c>
      <c r="AX113" s="125" t="e">
        <f>VLOOKUP(Input!$C11,'2020Data'!$A2:$DX83,50,0)</f>
        <v>#N/A</v>
      </c>
      <c r="AY113" s="125" t="e">
        <f>VLOOKUP(Input!$C11,'2020Data'!$A2:$DX83,51,0)</f>
        <v>#N/A</v>
      </c>
      <c r="AZ113" s="108" t="e">
        <f>VLOOKUP(Input!$C11,'2020Data'!$A2:$DX83,52,0)</f>
        <v>#N/A</v>
      </c>
      <c r="BA113" s="109" t="e">
        <f>VLOOKUP(Input!$C11,'2020Data'!$A2:$DX83,53,0)</f>
        <v>#N/A</v>
      </c>
      <c r="BB113" s="108" t="e">
        <f>VLOOKUP(Input!$C11,'2020Data'!$A2:$DX83,54,0)</f>
        <v>#N/A</v>
      </c>
      <c r="BC113" s="108" t="e">
        <f>VLOOKUP(Input!$C11,'2020Data'!$A2:$DX83,55,0)</f>
        <v>#N/A</v>
      </c>
      <c r="BD113" s="108" t="e">
        <f>VLOOKUP(Input!$C11,'2020Data'!$A2:$DX83,56,0)</f>
        <v>#N/A</v>
      </c>
      <c r="BE113" s="108" t="e">
        <f>VLOOKUP(Input!$C11,'2020Data'!$A2:$DX83,57,0)</f>
        <v>#N/A</v>
      </c>
      <c r="BF113" s="108" t="e">
        <f>VLOOKUP(Input!$C11,'2020Data'!$A2:$DX83,58,0)</f>
        <v>#N/A</v>
      </c>
      <c r="BG113" s="108" t="e">
        <f>VLOOKUP(Input!$C11,'2020Data'!$A2:$DX83,59,0)</f>
        <v>#N/A</v>
      </c>
      <c r="BH113" s="108" t="e">
        <f>VLOOKUP(Input!$C11,'2020Data'!$A2:$DX83,60,0)</f>
        <v>#N/A</v>
      </c>
      <c r="BI113" s="108" t="e">
        <f>VLOOKUP(Input!$C11,'2020Data'!$A2:$DX83,61,0)</f>
        <v>#N/A</v>
      </c>
      <c r="BJ113" s="108" t="e">
        <f>VLOOKUP(Input!$C11,'2020Data'!$A2:$DX83,62,0)</f>
        <v>#N/A</v>
      </c>
      <c r="BK113" s="108" t="e">
        <f>VLOOKUP(Input!$C11,'2020Data'!$A2:$DX83,63,0)</f>
        <v>#N/A</v>
      </c>
      <c r="BL113" s="109" t="e">
        <f>VLOOKUP(Input!$C11,'2020Data'!$A2:$DX83,64,0)</f>
        <v>#N/A</v>
      </c>
      <c r="BM113" s="108" t="e">
        <f>VLOOKUP(Input!$C11,'2020Data'!$A2:$DX83,65,0)</f>
        <v>#N/A</v>
      </c>
      <c r="BN113" s="108" t="e">
        <f>VLOOKUP(Input!$C11,'2020Data'!$A2:$DX83,66,0)</f>
        <v>#N/A</v>
      </c>
      <c r="BO113" s="109" t="e">
        <f>VLOOKUP(Input!$C11,'2020Data'!$A2:$DX83,67,0)</f>
        <v>#N/A</v>
      </c>
      <c r="BP113" s="108" t="e">
        <f>VLOOKUP(Input!$C11,'2020Data'!$A2:$DX83,68,0)</f>
        <v>#N/A</v>
      </c>
      <c r="BQ113" s="108" t="e">
        <f>VLOOKUP(Input!$C11,'2020Data'!$A2:$DX83,69,0)</f>
        <v>#N/A</v>
      </c>
      <c r="BR113" s="108" t="e">
        <f>VLOOKUP(Input!$C11,'2020Data'!$A2:$DX83,70,0)</f>
        <v>#N/A</v>
      </c>
      <c r="BS113" s="108" t="e">
        <f>VLOOKUP(Input!$C11,'2020Data'!$A2:$DX83,71,0)</f>
        <v>#N/A</v>
      </c>
      <c r="BT113" s="108" t="e">
        <f>VLOOKUP(Input!$C11,'2020Data'!$A2:$DX83,72,0)</f>
        <v>#N/A</v>
      </c>
      <c r="BU113" s="109" t="e">
        <f>VLOOKUP(Input!$C11,'2020Data'!$A2:$DX83,73,0)</f>
        <v>#N/A</v>
      </c>
      <c r="BV113" s="108" t="e">
        <f>VLOOKUP(Input!$C11,'2020Data'!$A2:$DX83,74,0)</f>
        <v>#N/A</v>
      </c>
      <c r="BW113" s="169" t="e">
        <f>VLOOKUP(Input!$C11,'2020Data'!$A2:$DX83,75,0)</f>
        <v>#N/A</v>
      </c>
      <c r="BX113" s="169" t="e">
        <f>VLOOKUP(Input!$C11,'2020Data'!$A2:$DX83,76,0)</f>
        <v>#N/A</v>
      </c>
      <c r="BY113" s="109" t="e">
        <f>VLOOKUP(Input!$C11,'2020Data'!$A2:$DX83,77,0)</f>
        <v>#N/A</v>
      </c>
      <c r="BZ113" s="108" t="e">
        <f>VLOOKUP(Input!$C11,'2020Data'!$A2:$DX83,78,0)</f>
        <v>#N/A</v>
      </c>
      <c r="CA113" s="108" t="e">
        <f>VLOOKUP(Input!$C11,'2020Data'!$A2:$DX83,79,0)</f>
        <v>#N/A</v>
      </c>
      <c r="CB113" s="108" t="e">
        <f>VLOOKUP(Input!$C11,'2020Data'!$A2:$DX83,80,0)</f>
        <v>#N/A</v>
      </c>
      <c r="CC113" s="108" t="e">
        <f>VLOOKUP(Input!$C11,'2020Data'!$A2:$DX83,81,0)</f>
        <v>#N/A</v>
      </c>
      <c r="CD113" s="108" t="e">
        <f>VLOOKUP(Input!$C11,'2020Data'!$A2:$DX83,82,0)</f>
        <v>#N/A</v>
      </c>
      <c r="CE113" s="108" t="e">
        <f>VLOOKUP(Input!$C11,'2020Data'!$A2:$DX83,83,0)</f>
        <v>#N/A</v>
      </c>
      <c r="CF113" s="108" t="e">
        <f>VLOOKUP(Input!$C11,'2020Data'!$A2:$DX83,84,0)</f>
        <v>#N/A</v>
      </c>
      <c r="CG113" s="108" t="e">
        <f>VLOOKUP(Input!$C11,'2020Data'!$A2:$DX83,85,0)</f>
        <v>#N/A</v>
      </c>
      <c r="CH113" s="109" t="e">
        <f>VLOOKUP(Input!$C11,'2020Data'!$A2:$DX83,86,0)</f>
        <v>#N/A</v>
      </c>
      <c r="CI113" s="108" t="e">
        <f>VLOOKUP(Input!$C11,'2020Data'!$A2:$DX83,87,0)</f>
        <v>#N/A</v>
      </c>
      <c r="CJ113" s="109" t="e">
        <f>VLOOKUP(Input!$C11,'2020Data'!$A2:$DX83,88,0)</f>
        <v>#N/A</v>
      </c>
      <c r="CK113" s="108" t="e">
        <f>VLOOKUP(Input!$C11,'2020Data'!$A2:$DX83,89,0)</f>
        <v>#N/A</v>
      </c>
      <c r="CL113" s="107" t="e">
        <f>VLOOKUP(Input!$C11,'2020Data'!$A2:$DX83,90,0)</f>
        <v>#N/A</v>
      </c>
      <c r="CM113" s="107" t="e">
        <f>VLOOKUP(Input!$C11,'2020Data'!$A2:$DX83,91,0)</f>
        <v>#N/A</v>
      </c>
      <c r="CN113" s="107" t="e">
        <f>VLOOKUP(Input!$C11,'2020Data'!$A2:$DX83,92,0)</f>
        <v>#N/A</v>
      </c>
      <c r="CO113" s="169" t="e">
        <f>VLOOKUP(Input!$C11,'2020Data'!$A2:$DX83,93,0)</f>
        <v>#N/A</v>
      </c>
      <c r="CP113" s="108" t="e">
        <f>VLOOKUP(Input!$C11,'2020Data'!$A2:$DX83,94,0)</f>
        <v>#N/A</v>
      </c>
      <c r="CQ113" s="169" t="e">
        <f>VLOOKUP(Input!$C11,'2020Data'!$A2:$DX83,95,0)</f>
        <v>#N/A</v>
      </c>
      <c r="CR113" s="169" t="e">
        <f>VLOOKUP(Input!$C11,'2020Data'!$A2:$DX83,96,0)</f>
        <v>#N/A</v>
      </c>
      <c r="CS113" s="169" t="e">
        <f>VLOOKUP(Input!$C11,'2020Data'!$A2:$DX83,97,0)</f>
        <v>#N/A</v>
      </c>
      <c r="CT113" s="108" t="e">
        <f>VLOOKUP(Input!$C11,'2020Data'!$A2:$DX83,98,0)</f>
        <v>#N/A</v>
      </c>
      <c r="CU113" s="108" t="e">
        <f>VLOOKUP(Input!$C11,'2020Data'!$A2:$DX83,99,0)</f>
        <v>#N/A</v>
      </c>
      <c r="CV113" s="125" t="e">
        <f>VLOOKUP(Input!$C11,'2020Data'!$A2:$DX83,100,0)</f>
        <v>#N/A</v>
      </c>
      <c r="CW113" s="109" t="e">
        <f>VLOOKUP(Input!$C11,'2020Data'!$A2:$DX83,101,0)</f>
        <v>#N/A</v>
      </c>
      <c r="CX113" s="107" t="e">
        <f>VLOOKUP(Input!$C11,'2020Data'!$A2:$DX83,102,0)</f>
        <v>#N/A</v>
      </c>
      <c r="CY113" s="107" t="e">
        <f>VLOOKUP(Input!$C11,'2020Data'!$A2:$DX83,103,0)</f>
        <v>#N/A</v>
      </c>
      <c r="CZ113" s="108" t="e">
        <f>VLOOKUP(Input!$C11,'2020Data'!$A2:$DX83,104,0)</f>
        <v>#N/A</v>
      </c>
      <c r="DA113" s="108" t="e">
        <f>VLOOKUP(Input!$C11,'2020Data'!$A2:$DX83,105,0)</f>
        <v>#N/A</v>
      </c>
      <c r="DB113" s="143" t="e">
        <f>VLOOKUP(Input!$C11,'2020Data'!$A2:$DX83,106,0)</f>
        <v>#N/A</v>
      </c>
      <c r="DC113" s="108" t="e">
        <f>VLOOKUP(Input!$C11,'2020Data'!$A2:$DX83,107,0)</f>
        <v>#N/A</v>
      </c>
      <c r="DD113" s="108" t="e">
        <f>VLOOKUP(Input!$C11,'2020Data'!$A2:$DX83,108,0)</f>
        <v>#N/A</v>
      </c>
      <c r="DE113" s="108" t="e">
        <f>VLOOKUP(Input!$C11,'2020Data'!$A2:$DX83,109,0)</f>
        <v>#N/A</v>
      </c>
      <c r="DF113" s="108" t="e">
        <f>VLOOKUP(Input!$C11,'2020Data'!$A2:$DX83,110,0)</f>
        <v>#N/A</v>
      </c>
      <c r="DG113" s="108" t="e">
        <f>VLOOKUP(Input!$C11,'2020Data'!$A2:$DX83,111,0)</f>
        <v>#N/A</v>
      </c>
      <c r="DH113" s="108" t="e">
        <f>VLOOKUP(Input!$C11,'2020Data'!$A2:$DX83,112,0)</f>
        <v>#N/A</v>
      </c>
      <c r="DI113" s="108" t="e">
        <f>VLOOKUP(Input!$C11,'2020Data'!$A2:$DX83,113,0)</f>
        <v>#N/A</v>
      </c>
      <c r="DJ113" s="108" t="e">
        <f>VLOOKUP(Input!$C11,'2020Data'!$A2:$DX83,114,0)</f>
        <v>#N/A</v>
      </c>
      <c r="DK113" s="108" t="e">
        <f>VLOOKUP(Input!$C11,'2020Data'!$A2:$DX83,115,0)</f>
        <v>#N/A</v>
      </c>
      <c r="DL113" s="108" t="e">
        <f>VLOOKUP(Input!$C11,'2020Data'!$A2:$DX83,116,0)</f>
        <v>#N/A</v>
      </c>
      <c r="DM113" s="108" t="e">
        <f>VLOOKUP(Input!$C11,'2020Data'!$A2:$DX83,117,0)</f>
        <v>#N/A</v>
      </c>
      <c r="DN113" s="108" t="e">
        <f>VLOOKUP(Input!$C11,'2020Data'!$A2:$DX83,118,0)</f>
        <v>#N/A</v>
      </c>
      <c r="DO113" s="128" t="e">
        <f>VLOOKUP(Input!$C11,'2020Data'!$A2:$DX83,119,0)</f>
        <v>#N/A</v>
      </c>
      <c r="DP113" s="127" t="e">
        <f>VLOOKUP(Input!$C11,'2020Data'!$A2:$DX83,120,0)</f>
        <v>#N/A</v>
      </c>
      <c r="DQ113" s="127" t="e">
        <f>VLOOKUP(Input!$C11,'2020Data'!$A2:$DX83,121,0)</f>
        <v>#N/A</v>
      </c>
      <c r="DR113" s="127" t="e">
        <f>VLOOKUP(Input!$C11,'2020Data'!$A2:$DX83,122,0)</f>
        <v>#N/A</v>
      </c>
      <c r="DS113" s="127" t="e">
        <f>VLOOKUP(Input!$C11,'2020Data'!$A2:$DX83,123,0)</f>
        <v>#N/A</v>
      </c>
      <c r="DT113" s="199" t="e">
        <f>VLOOKUP(Input!$C11,'2020Data'!$A2:$DX83,124,0)</f>
        <v>#N/A</v>
      </c>
      <c r="DU113" s="199" t="e">
        <f>VLOOKUP(Input!$C11,'2020Data'!$A2:$DX83,125,0)</f>
        <v>#N/A</v>
      </c>
      <c r="DV113" s="127" t="e">
        <f>VLOOKUP(Input!$C11,'2020Data'!$A2:$DX83,126,0)</f>
        <v>#N/A</v>
      </c>
      <c r="DW113" s="109" t="e">
        <f>VLOOKUP(Input!$C11,'2020Data'!$A2:$DX83,127,0)</f>
        <v>#N/A</v>
      </c>
      <c r="DX113" s="109" t="e">
        <f>VLOOKUP(Input!$C11,'2020Data'!$A2:$DZ83,128,0)</f>
        <v>#N/A</v>
      </c>
      <c r="DY113" s="109" t="e">
        <f>VLOOKUP(Input!$C11,'2020Data'!$A2:$DZ83,129,0)</f>
        <v>#N/A</v>
      </c>
      <c r="DZ113" s="109" t="e">
        <f>VLOOKUP(Input!$C11,'2020Data'!$A2:$DZ83,130,0)</f>
        <v>#N/A</v>
      </c>
      <c r="EA113" s="110" t="e">
        <f>VLOOKUP(Input!$C11,'2020Data'!$A2:$EA83,131,0)</f>
        <v>#N/A</v>
      </c>
      <c r="EB113" s="110" t="e">
        <f>VLOOKUP(Input!$C11,'2020Data'!$A2:$EB83,132,0)</f>
        <v>#N/A</v>
      </c>
    </row>
    <row r="114" spans="2:132">
      <c r="B114" s="114" t="e">
        <f>VLOOKUP(Input!$C17,'2020Data'!$A$2:$DX$83,1,FALSE)</f>
        <v>#N/A</v>
      </c>
      <c r="C114" s="108" t="e">
        <f>VLOOKUP(Input!$C12,'2020Data'!$A$2:$DX$83,3,0)</f>
        <v>#N/A</v>
      </c>
      <c r="D114" s="108" t="e">
        <f>VLOOKUP(Input!$C17,'2020Data'!$A$2:$DX$83,4,0)</f>
        <v>#N/A</v>
      </c>
      <c r="E114" s="108" t="e">
        <f>VLOOKUP(Input!$C17,'2020Data'!$A$2:$DX$83,5,0)</f>
        <v>#N/A</v>
      </c>
      <c r="F114" s="108" t="e">
        <f>VLOOKUP(Input!$C17,'2020Data'!$A$2:$DX$83,6,0)</f>
        <v>#N/A</v>
      </c>
      <c r="G114" s="32" t="e">
        <f>VLOOKUP(Input!$C17,'2020Data'!$A$2:$DX$83,7,0)</f>
        <v>#N/A</v>
      </c>
      <c r="H114" s="108" t="e">
        <f>VLOOKUP(Input!$C17,'2020Data'!$A$2:$DX$83,8,0)</f>
        <v>#N/A</v>
      </c>
      <c r="I114" s="109" t="e">
        <f>VLOOKUP(Input!$C17,'2020Data'!$A$2:$DX$83,9,0)</f>
        <v>#N/A</v>
      </c>
      <c r="J114" s="125" t="e">
        <f>VLOOKUP(Input!$C17,'2020Data'!$A$2:$DX$83,10,0)</f>
        <v>#N/A</v>
      </c>
      <c r="K114" s="125" t="e">
        <f>VLOOKUP(Input!$C17,'2020Data'!$A$2:$DX$83,11,0)</f>
        <v>#N/A</v>
      </c>
      <c r="L114" s="125" t="e">
        <f>VLOOKUP(Input!$C17,'2020Data'!$A2:$DX83,12,0)</f>
        <v>#N/A</v>
      </c>
      <c r="M114" s="110" t="e">
        <f>VLOOKUP(Input!$C17,'2020Data'!$A$2:$DX$83,13,0)</f>
        <v>#N/A</v>
      </c>
      <c r="N114" s="125" t="e">
        <f>VLOOKUP(Input!$C17,'2020Data'!$A$2:$DX$83,14,0)</f>
        <v>#N/A</v>
      </c>
      <c r="O114" s="125" t="e">
        <f>VLOOKUP(Input!$C17,'2020Data'!$A$2:$DX$83,15,0)</f>
        <v>#N/A</v>
      </c>
      <c r="P114" s="125" t="e">
        <f>VLOOKUP(Input!$C17,'2020Data'!$A$2:$DX$83,16,0)</f>
        <v>#N/A</v>
      </c>
      <c r="Q114" s="125" t="e">
        <f>VLOOKUP(Input!$C17,'2020Data'!$A$2:$DX$83,17,0)</f>
        <v>#N/A</v>
      </c>
      <c r="R114" s="110" t="e">
        <f>VLOOKUP(Input!$C17,'2020Data'!$A$2:$DX$83,18,0)</f>
        <v>#N/A</v>
      </c>
      <c r="S114" s="125" t="e">
        <f>VLOOKUP(Input!$C17,'2020Data'!$A$2:$DX$83,19,0)</f>
        <v>#N/A</v>
      </c>
      <c r="T114" s="125" t="e">
        <f>VLOOKUP(Input!$C17,'2020Data'!$A$2:$DX$83,20,0)</f>
        <v>#N/A</v>
      </c>
      <c r="U114" s="125" t="e">
        <f>VLOOKUP(Input!$C17,'2020Data'!$A$2:$DX$83,21,0)</f>
        <v>#N/A</v>
      </c>
      <c r="V114" s="125" t="e">
        <f>VLOOKUP(Input!$C17,'2020Data'!$A$2:$DX$83,22,0)</f>
        <v>#N/A</v>
      </c>
      <c r="W114" s="110" t="e">
        <f>VLOOKUP(Input!$C17,'2020Data'!$A$2:$DX$83,23,0)</f>
        <v>#N/A</v>
      </c>
      <c r="X114" s="126" t="e">
        <f>VLOOKUP(Input!$C17,'2020Data'!$A$2:$DX$83,24,0)</f>
        <v>#N/A</v>
      </c>
      <c r="Y114" s="126" t="e">
        <f>VLOOKUP(Input!$C17,'2020Data'!$A$2:$DX$83,25,0)</f>
        <v>#N/A</v>
      </c>
      <c r="Z114" s="126" t="e">
        <f>VLOOKUP(Input!$C17,'2020Data'!$A$2:$DX$83,26,0)</f>
        <v>#N/A</v>
      </c>
      <c r="AA114" s="126" t="e">
        <f>VLOOKUP(Input!$C17,'2020Data'!$A$2:$DX$83,27,0)</f>
        <v>#N/A</v>
      </c>
      <c r="AB114" s="125" t="e">
        <f>VLOOKUP(Input!$C17,'2020Data'!$A$2:$DX$83,28,0)</f>
        <v>#N/A</v>
      </c>
      <c r="AC114" s="125" t="e">
        <f>VLOOKUP(Input!$C17,'2020Data'!$A$2:$DX$83,29,0)</f>
        <v>#N/A</v>
      </c>
      <c r="AD114" s="125" t="e">
        <f>VLOOKUP(Input!$C17,'2020Data'!$A$2:$DX$83,30,0)</f>
        <v>#N/A</v>
      </c>
      <c r="AE114" s="125" t="e">
        <f>VLOOKUP(Input!$C17,'2020Data'!$A$2:$DX$83,31,0)</f>
        <v>#N/A</v>
      </c>
      <c r="AF114" s="125" t="e">
        <f>VLOOKUP(Input!$C17,'2020Data'!$A$2:$DX$83,32,0)</f>
        <v>#N/A</v>
      </c>
      <c r="AG114" s="125" t="e">
        <f>VLOOKUP(Input!$C17,'2020Data'!$A$2:$DX$83,33,0)</f>
        <v>#N/A</v>
      </c>
      <c r="AH114" s="125" t="e">
        <f>VLOOKUP(Input!$C17,'2020Data'!$A$2:$DX$83,34,0)</f>
        <v>#N/A</v>
      </c>
      <c r="AI114" s="125" t="e">
        <f>VLOOKUP(Input!$C17,'2020Data'!$A$2:$DX$83,35,0)</f>
        <v>#N/A</v>
      </c>
      <c r="AJ114" s="110" t="e">
        <f>VLOOKUP(Input!$C17,'2020Data'!$A$2:$DX$83,36,0)</f>
        <v>#N/A</v>
      </c>
      <c r="AK114" s="125" t="e">
        <f>VLOOKUP(Input!$C17,'2020Data'!$A$2:$DX$83,37,0)</f>
        <v>#N/A</v>
      </c>
      <c r="AL114" s="125" t="e">
        <f>VLOOKUP(Input!$C17,'2020Data'!$A$2:$DX$83,38,0)</f>
        <v>#N/A</v>
      </c>
      <c r="AM114" s="125" t="e">
        <f>VLOOKUP(Input!$C17,'2020Data'!$A$2:$DX$83,39,0)</f>
        <v>#N/A</v>
      </c>
      <c r="AN114" s="125" t="e">
        <f>VLOOKUP(Input!$C17,'2020Data'!$A$2:$DX$83,40,0)</f>
        <v>#N/A</v>
      </c>
      <c r="AO114" s="125" t="e">
        <f>VLOOKUP(Input!$C17,'2020Data'!$A$2:$DX$83,41,0)</f>
        <v>#N/A</v>
      </c>
      <c r="AP114" s="155" t="e">
        <f>VLOOKUP(Input!$C17,'2020Data'!$A$2:$DX$83,42,0)</f>
        <v>#N/A</v>
      </c>
      <c r="AQ114" s="110" t="e">
        <f>VLOOKUP(Input!$C17,'2020Data'!$A$2:$DX$83,43,0)</f>
        <v>#N/A</v>
      </c>
      <c r="AR114" s="125" t="e">
        <f>VLOOKUP(Input!$C17,'2020Data'!$A$2:$DX$83,44,0)</f>
        <v>#N/A</v>
      </c>
      <c r="AS114" s="125" t="e">
        <f>VLOOKUP(Input!$C17,'2020Data'!$A$2:$DX$83,45,0)</f>
        <v>#N/A</v>
      </c>
      <c r="AT114" s="125" t="e">
        <f>VLOOKUP(Input!$C17,'2020Data'!$A$2:$DX$83,46,0)</f>
        <v>#N/A</v>
      </c>
      <c r="AU114" s="125" t="e">
        <f>VLOOKUP(Input!$C17,'2020Data'!$A$2:$DX$83,47,0)</f>
        <v>#N/A</v>
      </c>
      <c r="AV114" s="125" t="e">
        <f>VLOOKUP(Input!$C17,'2020Data'!$A$2:$DX$83,48,0)</f>
        <v>#N/A</v>
      </c>
      <c r="AW114" s="125" t="e">
        <f>VLOOKUP(Input!$C17,'2020Data'!$A$2:$DX$83,49,0)</f>
        <v>#N/A</v>
      </c>
      <c r="AX114" s="125" t="e">
        <f>VLOOKUP(Input!$C17,'2020Data'!$A$2:$DX$83,50,0)</f>
        <v>#N/A</v>
      </c>
      <c r="AY114" s="125" t="e">
        <f>VLOOKUP(Input!$C17,'2020Data'!$A$2:$DX$83,51,0)</f>
        <v>#N/A</v>
      </c>
      <c r="AZ114" s="108" t="e">
        <f>VLOOKUP(Input!$C17,'2020Data'!$A$2:$DX$83,52,0)</f>
        <v>#N/A</v>
      </c>
      <c r="BA114" s="109" t="e">
        <f>VLOOKUP(Input!$C17,'2020Data'!$A$2:$DX$83,53,0)</f>
        <v>#N/A</v>
      </c>
      <c r="BB114" s="108" t="e">
        <f>VLOOKUP(Input!$C17,'2020Data'!$A$2:$DX$83,54,0)</f>
        <v>#N/A</v>
      </c>
      <c r="BC114" s="108" t="e">
        <f>VLOOKUP(Input!$C17,'2020Data'!$A$2:$DX$83,55,0)</f>
        <v>#N/A</v>
      </c>
      <c r="BD114" s="108" t="e">
        <f>VLOOKUP(Input!$C17,'2020Data'!$A$2:$DX$83,56,0)</f>
        <v>#N/A</v>
      </c>
      <c r="BE114" s="108" t="e">
        <f>VLOOKUP(Input!$C17,'2020Data'!$A$2:$DX$83,57,0)</f>
        <v>#N/A</v>
      </c>
      <c r="BF114" s="108" t="e">
        <f>VLOOKUP(Input!$C17,'2020Data'!$A$2:$DX$83,58,0)</f>
        <v>#N/A</v>
      </c>
      <c r="BG114" s="108" t="e">
        <f>VLOOKUP(Input!$C17,'2020Data'!$A$2:$DX$83,59,0)</f>
        <v>#N/A</v>
      </c>
      <c r="BH114" s="108" t="e">
        <f>VLOOKUP(Input!$C17,'2020Data'!$A$2:$DX$83,60,0)</f>
        <v>#N/A</v>
      </c>
      <c r="BI114" s="108" t="e">
        <f>VLOOKUP(Input!$C17,'2020Data'!$A$2:$DX$83,61,0)</f>
        <v>#N/A</v>
      </c>
      <c r="BJ114" s="108" t="e">
        <f>VLOOKUP(Input!$C17,'2020Data'!$A$2:$DX$83,62,0)</f>
        <v>#N/A</v>
      </c>
      <c r="BK114" s="108" t="e">
        <f>VLOOKUP(Input!$C17,'2020Data'!$A$2:$DX$83,63,0)</f>
        <v>#N/A</v>
      </c>
      <c r="BL114" s="109" t="e">
        <f>VLOOKUP(Input!$C17,'2020Data'!$A$2:$DX$83,64,0)</f>
        <v>#N/A</v>
      </c>
      <c r="BM114" s="108" t="e">
        <f>VLOOKUP(Input!$C17,'2020Data'!$A$2:$DX$83,65,0)</f>
        <v>#N/A</v>
      </c>
      <c r="BN114" s="108" t="e">
        <f>VLOOKUP(Input!$C17,'2020Data'!$A$2:$DX$83,66,0)</f>
        <v>#N/A</v>
      </c>
      <c r="BO114" s="109" t="e">
        <f>VLOOKUP(Input!$C17,'2020Data'!$A$2:$DX$83,67,0)</f>
        <v>#N/A</v>
      </c>
      <c r="BP114" s="108" t="e">
        <f>VLOOKUP(Input!$C17,'2020Data'!$A$2:$DX$83,68,0)</f>
        <v>#N/A</v>
      </c>
      <c r="BQ114" s="108" t="e">
        <f>VLOOKUP(Input!$C17,'2020Data'!$A$2:$DX$83,69,0)</f>
        <v>#N/A</v>
      </c>
      <c r="BR114" s="108" t="e">
        <f>VLOOKUP(Input!$C17,'2020Data'!$A$2:$DX$83,70,0)</f>
        <v>#N/A</v>
      </c>
      <c r="BS114" s="108" t="e">
        <f>VLOOKUP(Input!$C17,'2020Data'!$A$2:$DX$83,71,0)</f>
        <v>#N/A</v>
      </c>
      <c r="BT114" s="108" t="e">
        <f>VLOOKUP(Input!$C17,'2020Data'!$A$2:$DX$83,72,0)</f>
        <v>#N/A</v>
      </c>
      <c r="BU114" s="109" t="e">
        <f>VLOOKUP(Input!$C17,'2020Data'!$A$2:$DX$83,73,0)</f>
        <v>#N/A</v>
      </c>
      <c r="BV114" s="108" t="e">
        <f>VLOOKUP(Input!$C17,'2020Data'!$A$2:$DX$83,74,0)</f>
        <v>#N/A</v>
      </c>
      <c r="BW114" s="169" t="e">
        <f>VLOOKUP(Input!$C17,'2020Data'!$A$2:$DX$83,75,0)</f>
        <v>#N/A</v>
      </c>
      <c r="BX114" s="169" t="e">
        <f>VLOOKUP(Input!$C17,'2020Data'!$A$2:$DX$83,76,0)</f>
        <v>#N/A</v>
      </c>
      <c r="BY114" s="109" t="e">
        <f>VLOOKUP(Input!$C17,'2020Data'!$A$2:$DX$83,77,0)</f>
        <v>#N/A</v>
      </c>
      <c r="BZ114" s="108" t="e">
        <f>VLOOKUP(Input!$C17,'2020Data'!$A$2:$DX$83,78,0)</f>
        <v>#N/A</v>
      </c>
      <c r="CA114" s="108" t="e">
        <f>VLOOKUP(Input!$C17,'2020Data'!$A$2:$DX$83,79,0)</f>
        <v>#N/A</v>
      </c>
      <c r="CB114" s="108" t="e">
        <f>VLOOKUP(Input!$C17,'2020Data'!$A$2:$DX$83,80,0)</f>
        <v>#N/A</v>
      </c>
      <c r="CC114" s="108" t="e">
        <f>VLOOKUP(Input!$C17,'2020Data'!$A$2:$DX$83,81,0)</f>
        <v>#N/A</v>
      </c>
      <c r="CD114" s="108" t="e">
        <f>VLOOKUP(Input!$C17,'2020Data'!$A$2:$DX$83,82,0)</f>
        <v>#N/A</v>
      </c>
      <c r="CE114" s="108" t="e">
        <f>VLOOKUP(Input!$C17,'2020Data'!$A$2:$DX$83,83,0)</f>
        <v>#N/A</v>
      </c>
      <c r="CF114" s="108" t="e">
        <f>VLOOKUP(Input!$C17,'2020Data'!$A$2:$DX$83,84,0)</f>
        <v>#N/A</v>
      </c>
      <c r="CG114" s="108" t="e">
        <f>VLOOKUP(Input!$C17,'2020Data'!$A$2:$DX$83,85,0)</f>
        <v>#N/A</v>
      </c>
      <c r="CH114" s="109" t="e">
        <f>VLOOKUP(Input!$C17,'2020Data'!$A$2:$DX$83,86,0)</f>
        <v>#N/A</v>
      </c>
      <c r="CI114" s="108" t="e">
        <f>VLOOKUP(Input!$C17,'2020Data'!$A$2:$DX$83,87,0)</f>
        <v>#N/A</v>
      </c>
      <c r="CJ114" s="109" t="e">
        <f>VLOOKUP(Input!$C17,'2020Data'!$A$2:$DX$83,88,0)</f>
        <v>#N/A</v>
      </c>
      <c r="CK114" s="108" t="e">
        <f>VLOOKUP(Input!$C17,'2020Data'!$A$2:$DX$83,89,0)</f>
        <v>#N/A</v>
      </c>
      <c r="CL114" s="107" t="e">
        <f>VLOOKUP(Input!$C17,'2020Data'!$A$2:$DX$83,90,0)</f>
        <v>#N/A</v>
      </c>
      <c r="CM114" s="107" t="e">
        <f>VLOOKUP(Input!$C17,'2020Data'!$A$2:$DX$83,91,0)</f>
        <v>#N/A</v>
      </c>
      <c r="CN114" s="107" t="e">
        <f>VLOOKUP(Input!$C17,'2020Data'!$A$2:$DX$83,92,0)</f>
        <v>#N/A</v>
      </c>
      <c r="CO114" s="169" t="e">
        <f>VLOOKUP(Input!$C17,'2020Data'!$A$2:$DX$83,93,0)</f>
        <v>#N/A</v>
      </c>
      <c r="CP114" s="108" t="e">
        <f>VLOOKUP(Input!$C17,'2020Data'!$A$2:$DX$83,94,0)</f>
        <v>#N/A</v>
      </c>
      <c r="CQ114" s="169" t="e">
        <f>VLOOKUP(Input!$C17,'2020Data'!$A$2:$DX$83,95,0)</f>
        <v>#N/A</v>
      </c>
      <c r="CR114" s="169" t="e">
        <f>VLOOKUP(Input!$C17,'2020Data'!$A$2:$DX$83,96,0)</f>
        <v>#N/A</v>
      </c>
      <c r="CS114" s="169" t="e">
        <f>VLOOKUP(Input!$C17,'2020Data'!$A$2:$DX$83,97,0)</f>
        <v>#N/A</v>
      </c>
      <c r="CT114" s="108" t="e">
        <f>VLOOKUP(Input!$C17,'2020Data'!$A$2:$DX$83,98,0)</f>
        <v>#N/A</v>
      </c>
      <c r="CU114" s="108" t="e">
        <f>VLOOKUP(Input!$C17,'2020Data'!$A$2:$DX$83,99,0)</f>
        <v>#N/A</v>
      </c>
      <c r="CV114" s="125" t="e">
        <f>VLOOKUP(Input!$C17,'2020Data'!$A$2:$DX$83,100,0)</f>
        <v>#N/A</v>
      </c>
      <c r="CW114" s="109" t="e">
        <f>VLOOKUP(Input!$C17,'2020Data'!$A$2:$DX$83,101,0)</f>
        <v>#N/A</v>
      </c>
      <c r="CX114" s="107" t="e">
        <f>VLOOKUP(Input!$C17,'2020Data'!$A$2:$DX$83,102,0)</f>
        <v>#N/A</v>
      </c>
      <c r="CY114" s="107" t="e">
        <f>VLOOKUP(Input!$C17,'2020Data'!$A$2:$DX$83,103,0)</f>
        <v>#N/A</v>
      </c>
      <c r="CZ114" s="108" t="e">
        <f>VLOOKUP(Input!$C17,'2020Data'!$A$2:$DX$83,104,0)</f>
        <v>#N/A</v>
      </c>
      <c r="DA114" s="108" t="e">
        <f>VLOOKUP(Input!$C17,'2020Data'!$A$2:$DX$83,105,0)</f>
        <v>#N/A</v>
      </c>
      <c r="DB114" s="143" t="e">
        <f>VLOOKUP(Input!$C17,'2020Data'!$A$2:$DX$83,106,0)</f>
        <v>#N/A</v>
      </c>
      <c r="DC114" s="108" t="e">
        <f>VLOOKUP(Input!$C17,'2020Data'!$A$2:$DX$83,107,0)</f>
        <v>#N/A</v>
      </c>
      <c r="DD114" s="108" t="e">
        <f>VLOOKUP(Input!$C17,'2020Data'!$A$2:$DX$83,108,0)</f>
        <v>#N/A</v>
      </c>
      <c r="DE114" s="108" t="e">
        <f>VLOOKUP(Input!$C17,'2020Data'!$A$2:$DX$83,109,0)</f>
        <v>#N/A</v>
      </c>
      <c r="DF114" s="108" t="e">
        <f>VLOOKUP(Input!$C17,'2020Data'!$A$2:$DX$83,110,0)</f>
        <v>#N/A</v>
      </c>
      <c r="DG114" s="108" t="e">
        <f>VLOOKUP(Input!$C17,'2020Data'!$A$2:$DX$83,111,0)</f>
        <v>#N/A</v>
      </c>
      <c r="DH114" s="108" t="e">
        <f>VLOOKUP(Input!$C17,'2020Data'!$A$2:$DX$83,112,0)</f>
        <v>#N/A</v>
      </c>
      <c r="DI114" s="108" t="e">
        <f>VLOOKUP(Input!$C17,'2020Data'!$A$2:$DX$83,113,0)</f>
        <v>#N/A</v>
      </c>
      <c r="DJ114" s="108" t="e">
        <f>VLOOKUP(Input!$C17,'2020Data'!$A$2:$DX$83,114,0)</f>
        <v>#N/A</v>
      </c>
      <c r="DK114" s="108" t="e">
        <f>VLOOKUP(Input!$C17,'2020Data'!$A$2:$DX$83,115,0)</f>
        <v>#N/A</v>
      </c>
      <c r="DL114" s="108" t="e">
        <f>VLOOKUP(Input!$C17,'2020Data'!$A$2:$DX$83,116,0)</f>
        <v>#N/A</v>
      </c>
      <c r="DM114" s="108" t="e">
        <f>VLOOKUP(Input!$C17,'2020Data'!$A$2:$DX$83,117,0)</f>
        <v>#N/A</v>
      </c>
      <c r="DN114" s="108" t="e">
        <f>VLOOKUP(Input!$C17,'2020Data'!$A$2:$DX$83,118,0)</f>
        <v>#N/A</v>
      </c>
      <c r="DO114" s="128" t="e">
        <f>VLOOKUP(Input!$C17,'2020Data'!$A$2:$DX$83,119,0)</f>
        <v>#N/A</v>
      </c>
      <c r="DP114" s="127" t="e">
        <f>VLOOKUP(Input!$C17,'2020Data'!$A$2:$DX$83,120,0)</f>
        <v>#N/A</v>
      </c>
      <c r="DQ114" s="127" t="e">
        <f>VLOOKUP(Input!$C17,'2020Data'!$A$2:$DX$83,121,0)</f>
        <v>#N/A</v>
      </c>
      <c r="DR114" s="127" t="e">
        <f>VLOOKUP(Input!$C17,'2020Data'!$A$2:$DX$83,122,0)</f>
        <v>#N/A</v>
      </c>
      <c r="DS114" s="127" t="e">
        <f>VLOOKUP(Input!$C17,'2020Data'!$A$2:$DX$83,123,0)</f>
        <v>#N/A</v>
      </c>
      <c r="DT114" s="199" t="e">
        <f>VLOOKUP(Input!$C17,'2020Data'!$A$2:$DX$83,124,0)</f>
        <v>#N/A</v>
      </c>
      <c r="DU114" s="199" t="e">
        <f>VLOOKUP(Input!$C17,'2020Data'!$A$2:$DX$83,125,0)</f>
        <v>#N/A</v>
      </c>
      <c r="DV114" s="127" t="e">
        <f>VLOOKUP(Input!$C17,'2020Data'!$A$2:$DX$83,126,0)</f>
        <v>#N/A</v>
      </c>
      <c r="DW114" s="109" t="e">
        <f>VLOOKUP(Input!$C17,'2020Data'!$A$2:$DX$83,127,0)</f>
        <v>#N/A</v>
      </c>
      <c r="DX114" s="109" t="e">
        <f>VLOOKUP(Input!$C17,'2020Data'!$A$2:$DZ$83,128,0)</f>
        <v>#N/A</v>
      </c>
      <c r="DY114" s="109" t="e">
        <f>VLOOKUP(Input!$C17,'2020Data'!$A$2:$DZ$83,129,0)</f>
        <v>#N/A</v>
      </c>
      <c r="DZ114" s="109" t="e">
        <f>VLOOKUP(Input!$C17,'2020Data'!$A$2:$DZ$83,130,0)</f>
        <v>#N/A</v>
      </c>
      <c r="EA114" s="110" t="e">
        <f>VLOOKUP(Input!$C17,'2020Data'!$A$2:$EA$83,131,0)</f>
        <v>#N/A</v>
      </c>
      <c r="EB114" s="110" t="e">
        <f>VLOOKUP(Input!$C17,'2020Data'!$A$2:$EB$83,132,0)</f>
        <v>#N/A</v>
      </c>
    </row>
    <row r="115" spans="2:132">
      <c r="B115" s="114" t="e">
        <f>VLOOKUP(Input!$C18,'2020Data'!$A$2:$DX$83,1,FALSE)</f>
        <v>#N/A</v>
      </c>
      <c r="C115" s="108" t="e">
        <f>VLOOKUP(Input!$C13,'2020Data'!$A$2:$DX$83,3,0)</f>
        <v>#N/A</v>
      </c>
      <c r="D115" s="108" t="e">
        <f>VLOOKUP(Input!$C18,'2020Data'!$A$2:$DX$83,4,0)</f>
        <v>#N/A</v>
      </c>
      <c r="E115" s="108" t="e">
        <f>VLOOKUP(Input!$C18,'2020Data'!$A$2:$DX$83,5,0)</f>
        <v>#N/A</v>
      </c>
      <c r="F115" s="108" t="e">
        <f>VLOOKUP(Input!$C18,'2020Data'!$A$2:$DX$83,6,0)</f>
        <v>#N/A</v>
      </c>
      <c r="G115" s="32" t="e">
        <f>VLOOKUP(Input!$C18,'2020Data'!$A$2:$DX$83,7,0)</f>
        <v>#N/A</v>
      </c>
      <c r="H115" s="108" t="e">
        <f>VLOOKUP(Input!$C18,'2020Data'!$A$2:$DX$83,8,0)</f>
        <v>#N/A</v>
      </c>
      <c r="I115" s="109" t="e">
        <f>VLOOKUP(Input!$C18,'2020Data'!$A$2:$DX$83,9,0)</f>
        <v>#N/A</v>
      </c>
      <c r="J115" s="125" t="e">
        <f>VLOOKUP(Input!$C18,'2020Data'!$A$2:$DX$83,10,0)</f>
        <v>#N/A</v>
      </c>
      <c r="K115" s="125" t="e">
        <f>VLOOKUP(Input!$C18,'2020Data'!$A$2:$DX$83,11,0)</f>
        <v>#N/A</v>
      </c>
      <c r="L115" s="125" t="e">
        <f>VLOOKUP(Input!$C18,'2020Data'!$A2:$DX83,12,0)</f>
        <v>#N/A</v>
      </c>
      <c r="M115" s="110" t="e">
        <f>VLOOKUP(Input!$C18,'2020Data'!$A$2:$DX$83,13,0)</f>
        <v>#N/A</v>
      </c>
      <c r="N115" s="125" t="e">
        <f>VLOOKUP(Input!$C18,'2020Data'!$A$2:$DX$83,14,0)</f>
        <v>#N/A</v>
      </c>
      <c r="O115" s="125" t="e">
        <f>VLOOKUP(Input!$C18,'2020Data'!$A$2:$DX$83,15,0)</f>
        <v>#N/A</v>
      </c>
      <c r="P115" s="125" t="e">
        <f>VLOOKUP(Input!$C18,'2020Data'!$A$2:$DX$83,16,0)</f>
        <v>#N/A</v>
      </c>
      <c r="Q115" s="125" t="e">
        <f>VLOOKUP(Input!$C18,'2020Data'!$A$2:$DX$83,17,0)</f>
        <v>#N/A</v>
      </c>
      <c r="R115" s="110" t="e">
        <f>VLOOKUP(Input!$C18,'2020Data'!$A$2:$DX$83,18,0)</f>
        <v>#N/A</v>
      </c>
      <c r="S115" s="125" t="e">
        <f>VLOOKUP(Input!$C18,'2020Data'!$A$2:$DX$83,19,0)</f>
        <v>#N/A</v>
      </c>
      <c r="T115" s="125" t="e">
        <f>VLOOKUP(Input!$C18,'2020Data'!$A$2:$DX$83,20,0)</f>
        <v>#N/A</v>
      </c>
      <c r="U115" s="125" t="e">
        <f>VLOOKUP(Input!$C18,'2020Data'!$A$2:$DX$83,21,0)</f>
        <v>#N/A</v>
      </c>
      <c r="V115" s="125" t="e">
        <f>VLOOKUP(Input!$C18,'2020Data'!$A$2:$DX$83,22,0)</f>
        <v>#N/A</v>
      </c>
      <c r="W115" s="110" t="e">
        <f>VLOOKUP(Input!$C18,'2020Data'!$A$2:$DX$83,23,0)</f>
        <v>#N/A</v>
      </c>
      <c r="X115" s="126" t="e">
        <f>VLOOKUP(Input!$C18,'2020Data'!$A$2:$DX$83,24,0)</f>
        <v>#N/A</v>
      </c>
      <c r="Y115" s="126" t="e">
        <f>VLOOKUP(Input!$C18,'2020Data'!$A$2:$DX$83,25,0)</f>
        <v>#N/A</v>
      </c>
      <c r="Z115" s="126" t="e">
        <f>VLOOKUP(Input!$C18,'2020Data'!$A$2:$DX$83,26,0)</f>
        <v>#N/A</v>
      </c>
      <c r="AA115" s="126" t="e">
        <f>VLOOKUP(Input!$C18,'2020Data'!$A$2:$DX$83,27,0)</f>
        <v>#N/A</v>
      </c>
      <c r="AB115" s="125" t="e">
        <f>VLOOKUP(Input!$C18,'2020Data'!$A$2:$DX$83,28,0)</f>
        <v>#N/A</v>
      </c>
      <c r="AC115" s="125" t="e">
        <f>VLOOKUP(Input!$C18,'2020Data'!$A$2:$DX$83,29,0)</f>
        <v>#N/A</v>
      </c>
      <c r="AD115" s="125" t="e">
        <f>VLOOKUP(Input!$C18,'2020Data'!$A$2:$DX$83,30,0)</f>
        <v>#N/A</v>
      </c>
      <c r="AE115" s="125" t="e">
        <f>VLOOKUP(Input!$C18,'2020Data'!$A$2:$DX$83,31,0)</f>
        <v>#N/A</v>
      </c>
      <c r="AF115" s="125" t="e">
        <f>VLOOKUP(Input!$C18,'2020Data'!$A$2:$DX$83,32,0)</f>
        <v>#N/A</v>
      </c>
      <c r="AG115" s="125" t="e">
        <f>VLOOKUP(Input!$C18,'2020Data'!$A$2:$DX$83,33,0)</f>
        <v>#N/A</v>
      </c>
      <c r="AH115" s="125" t="e">
        <f>VLOOKUP(Input!$C18,'2020Data'!$A$2:$DX$83,34,0)</f>
        <v>#N/A</v>
      </c>
      <c r="AI115" s="125" t="e">
        <f>VLOOKUP(Input!$C18,'2020Data'!$A$2:$DX$83,35,0)</f>
        <v>#N/A</v>
      </c>
      <c r="AJ115" s="110" t="e">
        <f>VLOOKUP(Input!$C18,'2020Data'!$A$2:$DX$83,36,0)</f>
        <v>#N/A</v>
      </c>
      <c r="AK115" s="125" t="e">
        <f>VLOOKUP(Input!$C18,'2020Data'!$A$2:$DX$83,37,0)</f>
        <v>#N/A</v>
      </c>
      <c r="AL115" s="125" t="e">
        <f>VLOOKUP(Input!$C18,'2020Data'!$A$2:$DX$83,38,0)</f>
        <v>#N/A</v>
      </c>
      <c r="AM115" s="125" t="e">
        <f>VLOOKUP(Input!$C18,'2020Data'!$A$2:$DX$83,39,0)</f>
        <v>#N/A</v>
      </c>
      <c r="AN115" s="125" t="e">
        <f>VLOOKUP(Input!$C18,'2020Data'!$A$2:$DX$83,40,0)</f>
        <v>#N/A</v>
      </c>
      <c r="AO115" s="125" t="e">
        <f>VLOOKUP(Input!$C18,'2020Data'!$A$2:$DX$83,41,0)</f>
        <v>#N/A</v>
      </c>
      <c r="AP115" s="155" t="e">
        <f>VLOOKUP(Input!$C18,'2020Data'!$A$2:$DX$83,42,0)</f>
        <v>#N/A</v>
      </c>
      <c r="AQ115" s="110" t="e">
        <f>VLOOKUP(Input!$C18,'2020Data'!$A$2:$DX$83,43,0)</f>
        <v>#N/A</v>
      </c>
      <c r="AR115" s="125" t="e">
        <f>VLOOKUP(Input!$C18,'2020Data'!$A$2:$DX$83,44,0)</f>
        <v>#N/A</v>
      </c>
      <c r="AS115" s="125" t="e">
        <f>VLOOKUP(Input!$C18,'2020Data'!$A$2:$DX$83,45,0)</f>
        <v>#N/A</v>
      </c>
      <c r="AT115" s="125" t="e">
        <f>VLOOKUP(Input!$C18,'2020Data'!$A$2:$DX$83,46,0)</f>
        <v>#N/A</v>
      </c>
      <c r="AU115" s="125" t="e">
        <f>VLOOKUP(Input!$C18,'2020Data'!$A$2:$DX$83,47,0)</f>
        <v>#N/A</v>
      </c>
      <c r="AV115" s="125" t="e">
        <f>VLOOKUP(Input!$C18,'2020Data'!$A$2:$DX$83,48,0)</f>
        <v>#N/A</v>
      </c>
      <c r="AW115" s="125" t="e">
        <f>VLOOKUP(Input!$C18,'2020Data'!$A$2:$DX$83,49,0)</f>
        <v>#N/A</v>
      </c>
      <c r="AX115" s="125" t="e">
        <f>VLOOKUP(Input!$C18,'2020Data'!$A$2:$DX$83,50,0)</f>
        <v>#N/A</v>
      </c>
      <c r="AY115" s="125" t="e">
        <f>VLOOKUP(Input!$C18,'2020Data'!$A$2:$DX$83,51,0)</f>
        <v>#N/A</v>
      </c>
      <c r="AZ115" s="108" t="e">
        <f>VLOOKUP(Input!$C18,'2020Data'!$A$2:$DX$83,52,0)</f>
        <v>#N/A</v>
      </c>
      <c r="BA115" s="109" t="e">
        <f>VLOOKUP(Input!$C18,'2020Data'!$A$2:$DX$83,53,0)</f>
        <v>#N/A</v>
      </c>
      <c r="BB115" s="108" t="e">
        <f>VLOOKUP(Input!$C18,'2020Data'!$A$2:$DX$83,54,0)</f>
        <v>#N/A</v>
      </c>
      <c r="BC115" s="108" t="e">
        <f>VLOOKUP(Input!$C18,'2020Data'!$A$2:$DX$83,55,0)</f>
        <v>#N/A</v>
      </c>
      <c r="BD115" s="108" t="e">
        <f>VLOOKUP(Input!$C18,'2020Data'!$A$2:$DX$83,56,0)</f>
        <v>#N/A</v>
      </c>
      <c r="BE115" s="108" t="e">
        <f>VLOOKUP(Input!$C18,'2020Data'!$A$2:$DX$83,57,0)</f>
        <v>#N/A</v>
      </c>
      <c r="BF115" s="108" t="e">
        <f>VLOOKUP(Input!$C18,'2020Data'!$A$2:$DX$83,58,0)</f>
        <v>#N/A</v>
      </c>
      <c r="BG115" s="108" t="e">
        <f>VLOOKUP(Input!$C18,'2020Data'!$A$2:$DX$83,59,0)</f>
        <v>#N/A</v>
      </c>
      <c r="BH115" s="108" t="e">
        <f>VLOOKUP(Input!$C18,'2020Data'!$A$2:$DX$83,60,0)</f>
        <v>#N/A</v>
      </c>
      <c r="BI115" s="108" t="e">
        <f>VLOOKUP(Input!$C18,'2020Data'!$A$2:$DX$83,61,0)</f>
        <v>#N/A</v>
      </c>
      <c r="BJ115" s="108" t="e">
        <f>VLOOKUP(Input!$C18,'2020Data'!$A$2:$DX$83,62,0)</f>
        <v>#N/A</v>
      </c>
      <c r="BK115" s="108" t="e">
        <f>VLOOKUP(Input!$C18,'2020Data'!$A$2:$DX$83,63,0)</f>
        <v>#N/A</v>
      </c>
      <c r="BL115" s="109" t="e">
        <f>VLOOKUP(Input!$C18,'2020Data'!$A$2:$DX$83,64,0)</f>
        <v>#N/A</v>
      </c>
      <c r="BM115" s="108" t="e">
        <f>VLOOKUP(Input!$C18,'2020Data'!$A$2:$DX$83,65,0)</f>
        <v>#N/A</v>
      </c>
      <c r="BN115" s="108" t="e">
        <f>VLOOKUP(Input!$C18,'2020Data'!$A$2:$DX$83,66,0)</f>
        <v>#N/A</v>
      </c>
      <c r="BO115" s="109" t="e">
        <f>VLOOKUP(Input!$C18,'2020Data'!$A$2:$DX$83,67,0)</f>
        <v>#N/A</v>
      </c>
      <c r="BP115" s="108" t="e">
        <f>VLOOKUP(Input!$C18,'2020Data'!$A$2:$DX$83,68,0)</f>
        <v>#N/A</v>
      </c>
      <c r="BQ115" s="108" t="e">
        <f>VLOOKUP(Input!$C18,'2020Data'!$A$2:$DX$83,69,0)</f>
        <v>#N/A</v>
      </c>
      <c r="BR115" s="108" t="e">
        <f>VLOOKUP(Input!$C18,'2020Data'!$A$2:$DX$83,70,0)</f>
        <v>#N/A</v>
      </c>
      <c r="BS115" s="108" t="e">
        <f>VLOOKUP(Input!$C18,'2020Data'!$A$2:$DX$83,71,0)</f>
        <v>#N/A</v>
      </c>
      <c r="BT115" s="108" t="e">
        <f>VLOOKUP(Input!$C18,'2020Data'!$A$2:$DX$83,72,0)</f>
        <v>#N/A</v>
      </c>
      <c r="BU115" s="109" t="e">
        <f>VLOOKUP(Input!$C18,'2020Data'!$A$2:$DX$83,73,0)</f>
        <v>#N/A</v>
      </c>
      <c r="BV115" s="108" t="e">
        <f>VLOOKUP(Input!$C18,'2020Data'!$A$2:$DZ$83,74,0)</f>
        <v>#N/A</v>
      </c>
      <c r="BW115" s="169" t="e">
        <f>VLOOKUP(Input!$C18,'2020Data'!$A$2:$DX$83,75,0)</f>
        <v>#N/A</v>
      </c>
      <c r="BX115" s="169" t="e">
        <f>VLOOKUP(Input!$C18,'2020Data'!$A$2:$DX$83,76,0)</f>
        <v>#N/A</v>
      </c>
      <c r="BY115" s="109" t="e">
        <f>VLOOKUP(Input!$C18,'2020Data'!$A$2:$DX$83,77,0)</f>
        <v>#N/A</v>
      </c>
      <c r="BZ115" s="108" t="e">
        <f>VLOOKUP(Input!$C18,'2020Data'!$A$2:$DX$83,78,0)</f>
        <v>#N/A</v>
      </c>
      <c r="CA115" s="108" t="e">
        <f>VLOOKUP(Input!$C18,'2020Data'!$A$2:$DX$83,79,0)</f>
        <v>#N/A</v>
      </c>
      <c r="CB115" s="108" t="e">
        <f>VLOOKUP(Input!$C18,'2020Data'!$A$2:$DX$83,80,0)</f>
        <v>#N/A</v>
      </c>
      <c r="CC115" s="108" t="e">
        <f>VLOOKUP(Input!$C18,'2020Data'!$A$2:$DX$83,81,0)</f>
        <v>#N/A</v>
      </c>
      <c r="CD115" s="108" t="e">
        <f>VLOOKUP(Input!$C18,'2020Data'!$A$2:$DX$83,82,0)</f>
        <v>#N/A</v>
      </c>
      <c r="CE115" s="108" t="e">
        <f>VLOOKUP(Input!$C18,'2020Data'!$A$2:$DX$83,83,0)</f>
        <v>#N/A</v>
      </c>
      <c r="CF115" s="108" t="e">
        <f>VLOOKUP(Input!$C18,'2020Data'!$A$2:$DX$83,84,0)</f>
        <v>#N/A</v>
      </c>
      <c r="CG115" s="108" t="e">
        <f>VLOOKUP(Input!$C18,'2020Data'!$A$2:$DX$83,85,0)</f>
        <v>#N/A</v>
      </c>
      <c r="CH115" s="109" t="e">
        <f>VLOOKUP(Input!$C18,'2020Data'!$A$2:$DX$83,86,0)</f>
        <v>#N/A</v>
      </c>
      <c r="CI115" s="108" t="e">
        <f>VLOOKUP(Input!$C18,'2020Data'!$A$2:$DX$83,87,0)</f>
        <v>#N/A</v>
      </c>
      <c r="CJ115" s="109" t="e">
        <f>VLOOKUP(Input!$C18,'2020Data'!$A$2:$DX$83,88,0)</f>
        <v>#N/A</v>
      </c>
      <c r="CK115" s="108" t="e">
        <f>VLOOKUP(Input!$C18,'2020Data'!$A$2:$DX$83,89,0)</f>
        <v>#N/A</v>
      </c>
      <c r="CL115" s="107" t="e">
        <f>VLOOKUP(Input!$C18,'2020Data'!$A$2:$DX$83,90,0)</f>
        <v>#N/A</v>
      </c>
      <c r="CM115" s="107" t="e">
        <f>VLOOKUP(Input!$C18,'2020Data'!$A$2:$DX$83,91,0)</f>
        <v>#N/A</v>
      </c>
      <c r="CN115" s="107" t="e">
        <f>VLOOKUP(Input!$C18,'2020Data'!$A$2:$DX$83,92,0)</f>
        <v>#N/A</v>
      </c>
      <c r="CO115" s="169" t="e">
        <f>VLOOKUP(Input!$C18,'2020Data'!$A$2:$DX$83,93,0)</f>
        <v>#N/A</v>
      </c>
      <c r="CP115" s="108" t="e">
        <f>VLOOKUP(Input!$C18,'2020Data'!$A$2:$DX$83,94,0)</f>
        <v>#N/A</v>
      </c>
      <c r="CQ115" s="169" t="e">
        <f>VLOOKUP(Input!$C18,'2020Data'!$A$2:$DX$83,95,0)</f>
        <v>#N/A</v>
      </c>
      <c r="CR115" s="169" t="e">
        <f>VLOOKUP(Input!$C18,'2020Data'!$A$2:$DX$83,96,0)</f>
        <v>#N/A</v>
      </c>
      <c r="CS115" s="169" t="e">
        <f>VLOOKUP(Input!$C18,'2020Data'!$A$2:$DX$83,97,0)</f>
        <v>#N/A</v>
      </c>
      <c r="CT115" s="108" t="e">
        <f>VLOOKUP(Input!$C18,'2020Data'!$A$2:$DX$83,98,0)</f>
        <v>#N/A</v>
      </c>
      <c r="CU115" s="108" t="e">
        <f>VLOOKUP(Input!$C18,'2020Data'!$A$2:$DX$83,99,0)</f>
        <v>#N/A</v>
      </c>
      <c r="CV115" s="125" t="e">
        <f>VLOOKUP(Input!$C18,'2020Data'!$A$2:$DX$83,100,0)</f>
        <v>#N/A</v>
      </c>
      <c r="CW115" s="109" t="e">
        <f>VLOOKUP(Input!$C18,'2020Data'!$A$2:$DX$83,101,0)</f>
        <v>#N/A</v>
      </c>
      <c r="CX115" s="107" t="e">
        <f>VLOOKUP(Input!$C18,'2020Data'!$A$2:$DX$83,102,0)</f>
        <v>#N/A</v>
      </c>
      <c r="CY115" s="107" t="e">
        <f>VLOOKUP(Input!$C18,'2020Data'!$A$2:$DX$83,103,0)</f>
        <v>#N/A</v>
      </c>
      <c r="CZ115" s="108" t="e">
        <f>VLOOKUP(Input!$C18,'2020Data'!$A$2:$DX$83,104,0)</f>
        <v>#N/A</v>
      </c>
      <c r="DA115" s="108" t="e">
        <f>VLOOKUP(Input!$C18,'2020Data'!$A$2:$DX$83,105,0)</f>
        <v>#N/A</v>
      </c>
      <c r="DB115" s="143" t="e">
        <f>VLOOKUP(Input!$C18,'2020Data'!$A$2:$DX$83,106,0)</f>
        <v>#N/A</v>
      </c>
      <c r="DC115" s="108" t="e">
        <f>VLOOKUP(Input!$C18,'2020Data'!$A$2:$DX$83,107,0)</f>
        <v>#N/A</v>
      </c>
      <c r="DD115" s="108" t="e">
        <f>VLOOKUP(Input!$C18,'2020Data'!$A$2:$DX$83,108,0)</f>
        <v>#N/A</v>
      </c>
      <c r="DE115" s="108" t="e">
        <f>VLOOKUP(Input!$C18,'2020Data'!$A$2:$DX$83,109,0)</f>
        <v>#N/A</v>
      </c>
      <c r="DF115" s="108" t="e">
        <f>VLOOKUP(Input!$C18,'2020Data'!$A$2:$DX$83,110,0)</f>
        <v>#N/A</v>
      </c>
      <c r="DG115" s="108" t="e">
        <f>VLOOKUP(Input!$C18,'2020Data'!$A$2:$DX$83,111,0)</f>
        <v>#N/A</v>
      </c>
      <c r="DH115" s="108" t="e">
        <f>VLOOKUP(Input!$C18,'2020Data'!$A$2:$DX$83,112,0)</f>
        <v>#N/A</v>
      </c>
      <c r="DI115" s="108" t="e">
        <f>VLOOKUP(Input!$C18,'2020Data'!$A$2:$DX$83,113,0)</f>
        <v>#N/A</v>
      </c>
      <c r="DJ115" s="108" t="e">
        <f>VLOOKUP(Input!$C18,'2020Data'!$A$2:$DX$83,114,0)</f>
        <v>#N/A</v>
      </c>
      <c r="DK115" s="108" t="e">
        <f>VLOOKUP(Input!$C18,'2020Data'!$A$2:$DX$83,115,0)</f>
        <v>#N/A</v>
      </c>
      <c r="DL115" s="108" t="e">
        <f>VLOOKUP(Input!$C18,'2020Data'!$A$2:$DX$83,116,0)</f>
        <v>#N/A</v>
      </c>
      <c r="DM115" s="108" t="e">
        <f>VLOOKUP(Input!$C18,'2020Data'!$A$2:$DX$83,117,0)</f>
        <v>#N/A</v>
      </c>
      <c r="DN115" s="108" t="e">
        <f>VLOOKUP(Input!$C18,'2020Data'!$A$2:$DX$83,118,0)</f>
        <v>#N/A</v>
      </c>
      <c r="DO115" s="128" t="e">
        <f>VLOOKUP(Input!$C18,'2020Data'!$A$2:$DX$83,119,0)</f>
        <v>#N/A</v>
      </c>
      <c r="DP115" s="127" t="e">
        <f>VLOOKUP(Input!$C18,'2020Data'!$A$2:$DX$83,120,0)</f>
        <v>#N/A</v>
      </c>
      <c r="DQ115" s="127" t="e">
        <f>VLOOKUP(Input!$C18,'2020Data'!$A$2:$DX$83,121,0)</f>
        <v>#N/A</v>
      </c>
      <c r="DR115" s="127" t="e">
        <f>VLOOKUP(Input!$C18,'2020Data'!$A$2:$DX$83,122,0)</f>
        <v>#N/A</v>
      </c>
      <c r="DS115" s="127" t="e">
        <f>VLOOKUP(Input!$C18,'2020Data'!$A$2:$DX$83,123,0)</f>
        <v>#N/A</v>
      </c>
      <c r="DT115" s="199" t="e">
        <f>VLOOKUP(Input!$C18,'2020Data'!$A$2:$DX$83,124,0)</f>
        <v>#N/A</v>
      </c>
      <c r="DU115" s="199" t="e">
        <f>VLOOKUP(Input!$C18,'2020Data'!$A$2:$DX$83,125,0)</f>
        <v>#N/A</v>
      </c>
      <c r="DV115" s="127" t="e">
        <f>VLOOKUP(Input!$C18,'2020Data'!$A$2:$DX$83,126,0)</f>
        <v>#N/A</v>
      </c>
      <c r="DW115" s="109" t="e">
        <f>VLOOKUP(Input!$C18,'2020Data'!$A$2:$DX$83,127,0)</f>
        <v>#N/A</v>
      </c>
      <c r="DX115" s="109" t="e">
        <f>VLOOKUP(Input!$C18,'2020Data'!$A$2:$DZ$83,128,0)</f>
        <v>#N/A</v>
      </c>
      <c r="DY115" s="109" t="e">
        <f>VLOOKUP(Input!$C18,'2020Data'!$A$2:$DZ$83,129,0)</f>
        <v>#N/A</v>
      </c>
      <c r="DZ115" s="109" t="e">
        <f>VLOOKUP(Input!$C18,'2020Data'!$A$2:$DZ$83,130,0)</f>
        <v>#N/A</v>
      </c>
      <c r="EA115" s="110" t="e">
        <f>VLOOKUP(Input!$C18,'2020Data'!$A$2:$EA$83,131,0)</f>
        <v>#N/A</v>
      </c>
      <c r="EB115" s="110" t="e">
        <f>VLOOKUP(Input!$C18,'2020Data'!$A$2:$EB$83,132,0)</f>
        <v>#N/A</v>
      </c>
    </row>
    <row r="116" spans="2:132">
      <c r="B116" s="114" t="e">
        <f>VLOOKUP(Input!$C19,'2020Data'!$A$2:$DX$83,1,FALSE)</f>
        <v>#N/A</v>
      </c>
      <c r="C116" s="108" t="e">
        <f>VLOOKUP(Input!$C14,'2020Data'!$A$2:$DX$83,3,0)</f>
        <v>#N/A</v>
      </c>
      <c r="D116" s="108" t="e">
        <f>VLOOKUP(Input!$C19,'2020Data'!$A$2:$DX$83,4,0)</f>
        <v>#N/A</v>
      </c>
      <c r="E116" s="108" t="e">
        <f>VLOOKUP(Input!$C19,'2020Data'!$A$2:$DX$83,5,0)</f>
        <v>#N/A</v>
      </c>
      <c r="F116" s="108" t="e">
        <f>VLOOKUP(Input!$C19,'2020Data'!$A$2:$DX$83,6,0)</f>
        <v>#N/A</v>
      </c>
      <c r="G116" s="32" t="e">
        <f>VLOOKUP(Input!$C19,'2020Data'!$A$2:$DX$83,7,0)</f>
        <v>#N/A</v>
      </c>
      <c r="H116" s="108" t="e">
        <f>VLOOKUP(Input!$C19,'2020Data'!$A$2:$DX$83,8,0)</f>
        <v>#N/A</v>
      </c>
      <c r="I116" s="109" t="e">
        <f>VLOOKUP(Input!$C19,'2020Data'!$A$2:$DX$83,9,0)</f>
        <v>#N/A</v>
      </c>
      <c r="J116" s="125" t="e">
        <f>VLOOKUP(Input!$C19,'2020Data'!$A$2:$DX$83,10,0)</f>
        <v>#N/A</v>
      </c>
      <c r="K116" s="125" t="e">
        <f>VLOOKUP(Input!$C19,'2020Data'!$A$2:$DX$83,11,0)</f>
        <v>#N/A</v>
      </c>
      <c r="L116" s="125" t="e">
        <f>VLOOKUP(Input!$C19,'2020Data'!$A2:$DX83,12,0)</f>
        <v>#N/A</v>
      </c>
      <c r="M116" s="110" t="e">
        <f>VLOOKUP(Input!$C19,'2020Data'!$A$2:$DX$83,13,0)</f>
        <v>#N/A</v>
      </c>
      <c r="N116" s="125" t="e">
        <f>VLOOKUP(Input!$C19,'2020Data'!$A$2:$DX$83,14,0)</f>
        <v>#N/A</v>
      </c>
      <c r="O116" s="125" t="e">
        <f>VLOOKUP(Input!$C19,'2020Data'!$A$2:$DX$83,15,0)</f>
        <v>#N/A</v>
      </c>
      <c r="P116" s="125" t="e">
        <f>VLOOKUP(Input!$C19,'2020Data'!$A$2:$DX$83,16,0)</f>
        <v>#N/A</v>
      </c>
      <c r="Q116" s="125" t="e">
        <f>VLOOKUP(Input!$C19,'2020Data'!$A$2:$DX$83,17,0)</f>
        <v>#N/A</v>
      </c>
      <c r="R116" s="110" t="e">
        <f>VLOOKUP(Input!$C19,'2020Data'!$A$2:$DX$83,18,0)</f>
        <v>#N/A</v>
      </c>
      <c r="S116" s="125" t="e">
        <f>VLOOKUP(Input!$C19,'2020Data'!$A$2:$DX$83,19,0)</f>
        <v>#N/A</v>
      </c>
      <c r="T116" s="125" t="e">
        <f>VLOOKUP(Input!$C19,'2020Data'!$A$2:$DX$83,20,0)</f>
        <v>#N/A</v>
      </c>
      <c r="U116" s="125" t="e">
        <f>VLOOKUP(Input!$C19,'2020Data'!$A$2:$DX$83,21,0)</f>
        <v>#N/A</v>
      </c>
      <c r="V116" s="125" t="e">
        <f>VLOOKUP(Input!$C19,'2020Data'!$A$2:$DX$83,22,0)</f>
        <v>#N/A</v>
      </c>
      <c r="W116" s="110" t="e">
        <f>VLOOKUP(Input!$C19,'2020Data'!$A$2:$DX$83,23,0)</f>
        <v>#N/A</v>
      </c>
      <c r="X116" s="126" t="e">
        <f>VLOOKUP(Input!$C19,'2020Data'!$A$2:$DX$83,24,0)</f>
        <v>#N/A</v>
      </c>
      <c r="Y116" s="126" t="e">
        <f>VLOOKUP(Input!$C19,'2020Data'!$A$2:$DX$83,25,0)</f>
        <v>#N/A</v>
      </c>
      <c r="Z116" s="126" t="e">
        <f>VLOOKUP(Input!$C19,'2020Data'!$A$2:$DX$83,26,0)</f>
        <v>#N/A</v>
      </c>
      <c r="AA116" s="126" t="e">
        <f>VLOOKUP(Input!$C19,'2020Data'!$A$2:$DX$83,27,0)</f>
        <v>#N/A</v>
      </c>
      <c r="AB116" s="125" t="e">
        <f>VLOOKUP(Input!$C19,'2020Data'!$A$2:$DX$83,28,0)</f>
        <v>#N/A</v>
      </c>
      <c r="AC116" s="125" t="e">
        <f>VLOOKUP(Input!$C19,'2020Data'!$A$2:$DX$83,29,0)</f>
        <v>#N/A</v>
      </c>
      <c r="AD116" s="125" t="e">
        <f>VLOOKUP(Input!$C19,'2020Data'!$A$2:$DX$83,30,0)</f>
        <v>#N/A</v>
      </c>
      <c r="AE116" s="125" t="e">
        <f>VLOOKUP(Input!$C19,'2020Data'!$A$2:$DX$83,31,0)</f>
        <v>#N/A</v>
      </c>
      <c r="AF116" s="125" t="e">
        <f>VLOOKUP(Input!$C19,'2020Data'!$A$2:$DX$83,32,0)</f>
        <v>#N/A</v>
      </c>
      <c r="AG116" s="125" t="e">
        <f>VLOOKUP(Input!$C19,'2020Data'!$A$2:$DX$83,33,0)</f>
        <v>#N/A</v>
      </c>
      <c r="AH116" s="125" t="e">
        <f>VLOOKUP(Input!$C19,'2020Data'!$A$2:$DX$83,34,0)</f>
        <v>#N/A</v>
      </c>
      <c r="AI116" s="125" t="e">
        <f>VLOOKUP(Input!$C19,'2020Data'!$A$2:$DX$83,35,0)</f>
        <v>#N/A</v>
      </c>
      <c r="AJ116" s="110" t="e">
        <f>VLOOKUP(Input!$C19,'2020Data'!$A$2:$DX$83,36,0)</f>
        <v>#N/A</v>
      </c>
      <c r="AK116" s="125" t="e">
        <f>VLOOKUP(Input!$C19,'2020Data'!$A$2:$DX$83,37,0)</f>
        <v>#N/A</v>
      </c>
      <c r="AL116" s="125" t="e">
        <f>VLOOKUP(Input!$C19,'2020Data'!$A$2:$DX$83,38,0)</f>
        <v>#N/A</v>
      </c>
      <c r="AM116" s="125" t="e">
        <f>VLOOKUP(Input!$C19,'2020Data'!$A$2:$DX$83,39,0)</f>
        <v>#N/A</v>
      </c>
      <c r="AN116" s="125" t="e">
        <f>VLOOKUP(Input!$C19,'2020Data'!$A$2:$DX$83,40,0)</f>
        <v>#N/A</v>
      </c>
      <c r="AO116" s="125" t="e">
        <f>VLOOKUP(Input!$C19,'2020Data'!$A$2:$DX$83,41,0)</f>
        <v>#N/A</v>
      </c>
      <c r="AP116" s="155" t="e">
        <f>VLOOKUP(Input!$C19,'2020Data'!$A$2:$DX$83,42,0)</f>
        <v>#N/A</v>
      </c>
      <c r="AQ116" s="110" t="e">
        <f>VLOOKUP(Input!$C19,'2020Data'!$A$2:$DX$83,43,0)</f>
        <v>#N/A</v>
      </c>
      <c r="AR116" s="125" t="e">
        <f>VLOOKUP(Input!$C19,'2020Data'!$A$2:$DX$83,44,0)</f>
        <v>#N/A</v>
      </c>
      <c r="AS116" s="125" t="e">
        <f>VLOOKUP(Input!$C19,'2020Data'!$A$2:$DX$83,45,0)</f>
        <v>#N/A</v>
      </c>
      <c r="AT116" s="125" t="e">
        <f>VLOOKUP(Input!$C19,'2020Data'!$A$2:$DX$83,46,0)</f>
        <v>#N/A</v>
      </c>
      <c r="AU116" s="125" t="e">
        <f>VLOOKUP(Input!$C19,'2020Data'!$A$2:$DX$83,47,0)</f>
        <v>#N/A</v>
      </c>
      <c r="AV116" s="125" t="e">
        <f>VLOOKUP(Input!$C19,'2020Data'!$A$2:$DX$83,48,0)</f>
        <v>#N/A</v>
      </c>
      <c r="AW116" s="125" t="e">
        <f>VLOOKUP(Input!$C19,'2020Data'!$A$2:$DX$83,49,0)</f>
        <v>#N/A</v>
      </c>
      <c r="AX116" s="125" t="e">
        <f>VLOOKUP(Input!$C19,'2020Data'!$A$2:$DX$83,50,0)</f>
        <v>#N/A</v>
      </c>
      <c r="AY116" s="125" t="e">
        <f>VLOOKUP(Input!$C19,'2020Data'!$A$2:$DX$83,51,0)</f>
        <v>#N/A</v>
      </c>
      <c r="AZ116" s="108" t="e">
        <f>VLOOKUP(Input!$C19,'2020Data'!$A$2:$DX$83,52,0)</f>
        <v>#N/A</v>
      </c>
      <c r="BA116" s="109" t="e">
        <f>VLOOKUP(Input!$C19,'2020Data'!$A$2:$DX$83,53,0)</f>
        <v>#N/A</v>
      </c>
      <c r="BB116" s="108" t="e">
        <f>VLOOKUP(Input!$C19,'2020Data'!$A$2:$DX$83,54,0)</f>
        <v>#N/A</v>
      </c>
      <c r="BC116" s="108" t="e">
        <f>VLOOKUP(Input!$C19,'2020Data'!$A$2:$DX$83,55,0)</f>
        <v>#N/A</v>
      </c>
      <c r="BD116" s="108" t="e">
        <f>VLOOKUP(Input!$C19,'2020Data'!$A$2:$DX$83,56,0)</f>
        <v>#N/A</v>
      </c>
      <c r="BE116" s="108" t="e">
        <f>VLOOKUP(Input!$C19,'2020Data'!$A$2:$DX$83,57,0)</f>
        <v>#N/A</v>
      </c>
      <c r="BF116" s="108" t="e">
        <f>VLOOKUP(Input!$C19,'2020Data'!$A$2:$DX$83,58,0)</f>
        <v>#N/A</v>
      </c>
      <c r="BG116" s="108" t="e">
        <f>VLOOKUP(Input!$C19,'2020Data'!$A$2:$DX$83,59,0)</f>
        <v>#N/A</v>
      </c>
      <c r="BH116" s="108" t="e">
        <f>VLOOKUP(Input!$C19,'2020Data'!$A$2:$DX$83,60,0)</f>
        <v>#N/A</v>
      </c>
      <c r="BI116" s="108" t="e">
        <f>VLOOKUP(Input!$C19,'2020Data'!$A$2:$DX$83,61,0)</f>
        <v>#N/A</v>
      </c>
      <c r="BJ116" s="108" t="e">
        <f>VLOOKUP(Input!$C19,'2020Data'!$A$2:$DX$83,62,0)</f>
        <v>#N/A</v>
      </c>
      <c r="BK116" s="108" t="e">
        <f>VLOOKUP(Input!$C19,'2020Data'!$A$2:$DX$83,63,0)</f>
        <v>#N/A</v>
      </c>
      <c r="BL116" s="109" t="e">
        <f>VLOOKUP(Input!$C19,'2020Data'!$A$2:$DX$83,64,0)</f>
        <v>#N/A</v>
      </c>
      <c r="BM116" s="108" t="e">
        <f>VLOOKUP(Input!$C19,'2020Data'!$A$2:$DX$83,65,0)</f>
        <v>#N/A</v>
      </c>
      <c r="BN116" s="108" t="e">
        <f>VLOOKUP(Input!$C19,'2020Data'!$A$2:$DX$83,66,0)</f>
        <v>#N/A</v>
      </c>
      <c r="BO116" s="109" t="e">
        <f>VLOOKUP(Input!$C19,'2020Data'!$A$2:$DX$83,67,0)</f>
        <v>#N/A</v>
      </c>
      <c r="BP116" s="108" t="e">
        <f>VLOOKUP(Input!$C19,'2020Data'!$A$2:$DX$83,68,0)</f>
        <v>#N/A</v>
      </c>
      <c r="BQ116" s="108" t="e">
        <f>VLOOKUP(Input!$C19,'2020Data'!$A$2:$DX$83,69,0)</f>
        <v>#N/A</v>
      </c>
      <c r="BR116" s="108" t="e">
        <f>VLOOKUP(Input!$C19,'2020Data'!$A$2:$DX$83,70,0)</f>
        <v>#N/A</v>
      </c>
      <c r="BS116" s="108" t="e">
        <f>VLOOKUP(Input!$C19,'2020Data'!$A$2:$DX$83,71,0)</f>
        <v>#N/A</v>
      </c>
      <c r="BT116" s="108" t="e">
        <f>VLOOKUP(Input!$C19,'2020Data'!$A$2:$DX$83,72,0)</f>
        <v>#N/A</v>
      </c>
      <c r="BU116" s="109" t="e">
        <f>VLOOKUP(Input!$C19,'2020Data'!$A$2:$DX$83,73,0)</f>
        <v>#N/A</v>
      </c>
      <c r="BV116" s="108" t="e">
        <f>VLOOKUP(Input!$C19,'2020Data'!$A$2:$DX$83,74,0)</f>
        <v>#N/A</v>
      </c>
      <c r="BW116" s="169" t="e">
        <f>VLOOKUP(Input!$C19,'2020Data'!$A$2:$DX$83,75,0)</f>
        <v>#N/A</v>
      </c>
      <c r="BX116" s="169" t="e">
        <f>VLOOKUP(Input!$C19,'2020Data'!$A$2:$DX$83,76,0)</f>
        <v>#N/A</v>
      </c>
      <c r="BY116" s="109" t="e">
        <f>VLOOKUP(Input!$C19,'2020Data'!$A$2:$DX$83,77,0)</f>
        <v>#N/A</v>
      </c>
      <c r="BZ116" s="108" t="e">
        <f>VLOOKUP(Input!$C19,'2020Data'!$A$2:$DX$83,78,0)</f>
        <v>#N/A</v>
      </c>
      <c r="CA116" s="108" t="e">
        <f>VLOOKUP(Input!$C19,'2020Data'!$A$2:$DX$83,79,0)</f>
        <v>#N/A</v>
      </c>
      <c r="CB116" s="108" t="e">
        <f>VLOOKUP(Input!$C19,'2020Data'!$A$2:$DX$83,80,0)</f>
        <v>#N/A</v>
      </c>
      <c r="CC116" s="108" t="e">
        <f>VLOOKUP(Input!$C19,'2020Data'!$A$2:$DX$83,81,0)</f>
        <v>#N/A</v>
      </c>
      <c r="CD116" s="108" t="e">
        <f>VLOOKUP(Input!$C19,'2020Data'!$A$2:$DX$83,82,0)</f>
        <v>#N/A</v>
      </c>
      <c r="CE116" s="108" t="e">
        <f>VLOOKUP(Input!$C19,'2020Data'!$A$2:$DX$83,83,0)</f>
        <v>#N/A</v>
      </c>
      <c r="CF116" s="108" t="e">
        <f>VLOOKUP(Input!$C19,'2020Data'!$A$2:$DX$83,84,0)</f>
        <v>#N/A</v>
      </c>
      <c r="CG116" s="108" t="e">
        <f>VLOOKUP(Input!$C19,'2020Data'!$A$2:$DX$83,85,0)</f>
        <v>#N/A</v>
      </c>
      <c r="CH116" s="109" t="e">
        <f>VLOOKUP(Input!$C19,'2020Data'!$A$2:$DX$83,86,0)</f>
        <v>#N/A</v>
      </c>
      <c r="CI116" s="108" t="e">
        <f>VLOOKUP(Input!$C19,'2020Data'!$A$2:$DX$83,87,0)</f>
        <v>#N/A</v>
      </c>
      <c r="CJ116" s="109" t="e">
        <f>VLOOKUP(Input!$C19,'2020Data'!$A$2:$DX$83,88,0)</f>
        <v>#N/A</v>
      </c>
      <c r="CK116" s="108" t="e">
        <f>VLOOKUP(Input!$C19,'2020Data'!$A$2:$DX$83,89,0)</f>
        <v>#N/A</v>
      </c>
      <c r="CL116" s="107" t="e">
        <f>VLOOKUP(Input!$C19,'2020Data'!$A$2:$DX$83,90,0)</f>
        <v>#N/A</v>
      </c>
      <c r="CM116" s="107" t="e">
        <f>VLOOKUP(Input!$C19,'2020Data'!$A$2:$DX$83,91,0)</f>
        <v>#N/A</v>
      </c>
      <c r="CN116" s="107" t="e">
        <f>VLOOKUP(Input!$C19,'2020Data'!$A$2:$DX$83,92,0)</f>
        <v>#N/A</v>
      </c>
      <c r="CO116" s="169" t="e">
        <f>VLOOKUP(Input!$C19,'2020Data'!$A$2:$DX$83,93,0)</f>
        <v>#N/A</v>
      </c>
      <c r="CP116" s="108" t="e">
        <f>VLOOKUP(Input!$C19,'2020Data'!$A$2:$DX$83,94,0)</f>
        <v>#N/A</v>
      </c>
      <c r="CQ116" s="169" t="e">
        <f>VLOOKUP(Input!$C19,'2020Data'!$A$2:$DX$83,95,0)</f>
        <v>#N/A</v>
      </c>
      <c r="CR116" s="169" t="e">
        <f>VLOOKUP(Input!$C19,'2020Data'!$A$2:$DX$83,96,0)</f>
        <v>#N/A</v>
      </c>
      <c r="CS116" s="169" t="e">
        <f>VLOOKUP(Input!$C19,'2020Data'!$A$2:$DX$83,97,0)</f>
        <v>#N/A</v>
      </c>
      <c r="CT116" s="108" t="e">
        <f>VLOOKUP(Input!$C19,'2020Data'!$A$2:$DX$83,98,0)</f>
        <v>#N/A</v>
      </c>
      <c r="CU116" s="108" t="e">
        <f>VLOOKUP(Input!$C19,'2020Data'!$A$2:$DX$83,99,0)</f>
        <v>#N/A</v>
      </c>
      <c r="CV116" s="125" t="e">
        <f>VLOOKUP(Input!$C19,'2020Data'!$A$2:$DX$83,100,0)</f>
        <v>#N/A</v>
      </c>
      <c r="CW116" s="109" t="e">
        <f>VLOOKUP(Input!$C19,'2020Data'!$A$2:$DX$83,101,0)</f>
        <v>#N/A</v>
      </c>
      <c r="CX116" s="107" t="e">
        <f>VLOOKUP(Input!$C19,'2020Data'!$A$2:$DX$83,102,0)</f>
        <v>#N/A</v>
      </c>
      <c r="CY116" s="107" t="e">
        <f>VLOOKUP(Input!$C19,'2020Data'!$A$2:$DX$83,103,0)</f>
        <v>#N/A</v>
      </c>
      <c r="CZ116" s="108" t="e">
        <f>VLOOKUP(Input!$C19,'2020Data'!$A$2:$DX$83,104,0)</f>
        <v>#N/A</v>
      </c>
      <c r="DA116" s="108" t="e">
        <f>VLOOKUP(Input!$C19,'2020Data'!$A$2:$DX$83,105,0)</f>
        <v>#N/A</v>
      </c>
      <c r="DB116" s="143" t="e">
        <f>VLOOKUP(Input!$C19,'2020Data'!$A$2:$DX$83,106,0)</f>
        <v>#N/A</v>
      </c>
      <c r="DC116" s="108" t="e">
        <f>VLOOKUP(Input!$C19,'2020Data'!$A$2:$DX$83,107,0)</f>
        <v>#N/A</v>
      </c>
      <c r="DD116" s="108" t="e">
        <f>VLOOKUP(Input!$C19,'2020Data'!$A$2:$DX$83,108,0)</f>
        <v>#N/A</v>
      </c>
      <c r="DE116" s="108" t="e">
        <f>VLOOKUP(Input!$C19,'2020Data'!$A$2:$DX$83,109,0)</f>
        <v>#N/A</v>
      </c>
      <c r="DF116" s="108" t="e">
        <f>VLOOKUP(Input!$C19,'2020Data'!$A$2:$DX$83,110,0)</f>
        <v>#N/A</v>
      </c>
      <c r="DG116" s="108" t="e">
        <f>VLOOKUP(Input!$C19,'2020Data'!$A$2:$DX$83,111,0)</f>
        <v>#N/A</v>
      </c>
      <c r="DH116" s="108" t="e">
        <f>VLOOKUP(Input!$C19,'2020Data'!$A$2:$DX$83,112,0)</f>
        <v>#N/A</v>
      </c>
      <c r="DI116" s="108" t="e">
        <f>VLOOKUP(Input!$C19,'2020Data'!$A$2:$DX$83,113,0)</f>
        <v>#N/A</v>
      </c>
      <c r="DJ116" s="108" t="e">
        <f>VLOOKUP(Input!$C19,'2020Data'!$A$2:$DX$83,114,0)</f>
        <v>#N/A</v>
      </c>
      <c r="DK116" s="108" t="e">
        <f>VLOOKUP(Input!$C19,'2020Data'!$A$2:$DX$83,115,0)</f>
        <v>#N/A</v>
      </c>
      <c r="DL116" s="108" t="e">
        <f>VLOOKUP(Input!$C19,'2020Data'!$A$2:$DX$83,116,0)</f>
        <v>#N/A</v>
      </c>
      <c r="DM116" s="108" t="e">
        <f>VLOOKUP(Input!$C19,'2020Data'!$A$2:$DX$83,117,0)</f>
        <v>#N/A</v>
      </c>
      <c r="DN116" s="108" t="e">
        <f>VLOOKUP(Input!$C19,'2020Data'!$A$2:$DX$83,118,0)</f>
        <v>#N/A</v>
      </c>
      <c r="DO116" s="128" t="e">
        <f>VLOOKUP(Input!$C19,'2020Data'!$A$2:$DX$83,119,0)</f>
        <v>#N/A</v>
      </c>
      <c r="DP116" s="127" t="e">
        <f>VLOOKUP(Input!$C19,'2020Data'!$A$2:$DX$83,120,0)</f>
        <v>#N/A</v>
      </c>
      <c r="DQ116" s="127" t="e">
        <f>VLOOKUP(Input!$C19,'2020Data'!$A$2:$DX$83,121,0)</f>
        <v>#N/A</v>
      </c>
      <c r="DR116" s="127" t="e">
        <f>VLOOKUP(Input!$C19,'2020Data'!$A$2:$DX$83,122,0)</f>
        <v>#N/A</v>
      </c>
      <c r="DS116" s="127" t="e">
        <f>VLOOKUP(Input!$C19,'2020Data'!$A$2:$DX$83,123,0)</f>
        <v>#N/A</v>
      </c>
      <c r="DT116" s="199" t="e">
        <f>VLOOKUP(Input!$C19,'2020Data'!$A$2:$DX$83,124,0)</f>
        <v>#N/A</v>
      </c>
      <c r="DU116" s="199" t="e">
        <f>VLOOKUP(Input!$C19,'2020Data'!$A$2:$DX$83,125,0)</f>
        <v>#N/A</v>
      </c>
      <c r="DV116" s="127" t="e">
        <f>VLOOKUP(Input!$C19,'2020Data'!$A$2:$DX$83,126,0)</f>
        <v>#N/A</v>
      </c>
      <c r="DW116" s="109" t="e">
        <f>VLOOKUP(Input!$C19,'2020Data'!$A$2:$DX$83,127,0)</f>
        <v>#N/A</v>
      </c>
      <c r="DX116" s="109" t="e">
        <f>VLOOKUP(Input!$C19,'2020Data'!$A$2:$DZ$83,128,0)</f>
        <v>#N/A</v>
      </c>
      <c r="DY116" s="109" t="e">
        <f>VLOOKUP(Input!$C19,'2020Data'!$A$2:$DZ$83,129,0)</f>
        <v>#N/A</v>
      </c>
      <c r="DZ116" s="109" t="e">
        <f>VLOOKUP(Input!$C19,'2020Data'!$A$2:$DZ$83,130,0)</f>
        <v>#N/A</v>
      </c>
      <c r="EA116" s="110" t="e">
        <f>VLOOKUP(Input!$C19,'2020Data'!$A$2:$EA$83,131,0)</f>
        <v>#N/A</v>
      </c>
      <c r="EB116" s="110" t="e">
        <f>VLOOKUP(Input!$C19,'2020Data'!$A$2:$EB$83,132,0)</f>
        <v>#N/A</v>
      </c>
    </row>
    <row r="117" spans="2:132" ht="15" thickBot="1">
      <c r="B117" s="114" t="e">
        <f>VLOOKUP(Input!$C20,'2020Data'!$A$2:$DX$83,1,FALSE)</f>
        <v>#N/A</v>
      </c>
      <c r="C117" s="108" t="e">
        <f>VLOOKUP(Input!$C15,'2020Data'!$A$2:$DX$83,3,0)</f>
        <v>#N/A</v>
      </c>
      <c r="D117" s="108" t="e">
        <f>VLOOKUP(Input!C20,'2020Data'!$A2:$DX83,4,0)</f>
        <v>#N/A</v>
      </c>
      <c r="E117" s="108" t="e">
        <f>VLOOKUP(Input!$C20,'2020Data'!$A$2:$DX$83,5,0)</f>
        <v>#N/A</v>
      </c>
      <c r="F117" s="108" t="e">
        <f>VLOOKUP(Input!$C20,'2020Data'!$A$2:$DX$83,6,0)</f>
        <v>#N/A</v>
      </c>
      <c r="G117" s="32" t="e">
        <f>VLOOKUP(Input!$C20,'2020Data'!$A$2:$DX$83,7,0)</f>
        <v>#N/A</v>
      </c>
      <c r="H117" s="108" t="e">
        <f>VLOOKUP(Input!$C20,'2020Data'!$A$2:$DX$83,8,0)</f>
        <v>#N/A</v>
      </c>
      <c r="I117" s="109" t="e">
        <f>VLOOKUP(Input!$C20,'2020Data'!$A$2:$DX$83,9,0)</f>
        <v>#N/A</v>
      </c>
      <c r="J117" s="125" t="e">
        <f>VLOOKUP(Input!$C20,'2020Data'!$A$2:$DX$83,10,0)</f>
        <v>#N/A</v>
      </c>
      <c r="K117" s="125" t="e">
        <f>VLOOKUP(Input!$C20,'2020Data'!$A$2:$DX$83,11,0)</f>
        <v>#N/A</v>
      </c>
      <c r="L117" s="125" t="e">
        <f>VLOOKUP(Input!$C20,'2020Data'!$A2:$DX83,12,0)</f>
        <v>#N/A</v>
      </c>
      <c r="M117" s="110" t="e">
        <f>VLOOKUP(Input!$C20,'2020Data'!$A$2:$DX$83,13,0)</f>
        <v>#N/A</v>
      </c>
      <c r="N117" s="125" t="e">
        <f>VLOOKUP(Input!$C20,'2020Data'!$A$2:$DX$83,14,0)</f>
        <v>#N/A</v>
      </c>
      <c r="O117" s="125" t="e">
        <f>VLOOKUP(Input!$C20,'2020Data'!$A$2:$DX$83,15,0)</f>
        <v>#N/A</v>
      </c>
      <c r="P117" s="125" t="e">
        <f>VLOOKUP(Input!$C20,'2020Data'!$A$2:$DX$83,16,0)</f>
        <v>#N/A</v>
      </c>
      <c r="Q117" s="125" t="e">
        <f>VLOOKUP(Input!$C20,'2020Data'!$A$2:$DX$83,17,0)</f>
        <v>#N/A</v>
      </c>
      <c r="R117" s="110" t="e">
        <f>VLOOKUP(Input!$C20,'2020Data'!$A$2:$DX$83,18,0)</f>
        <v>#N/A</v>
      </c>
      <c r="S117" s="125" t="e">
        <f>VLOOKUP(Input!$C20,'2020Data'!$A$2:$DX$83,19,0)</f>
        <v>#N/A</v>
      </c>
      <c r="T117" s="125" t="e">
        <f>VLOOKUP(Input!$C20,'2020Data'!$A$2:$DX$83,20,0)</f>
        <v>#N/A</v>
      </c>
      <c r="U117" s="125" t="e">
        <f>VLOOKUP(Input!$C20,'2020Data'!$A$2:$DX$83,21,0)</f>
        <v>#N/A</v>
      </c>
      <c r="V117" s="125" t="e">
        <f>VLOOKUP(Input!$C20,'2020Data'!$A$2:$DX$83,22,0)</f>
        <v>#N/A</v>
      </c>
      <c r="W117" s="110" t="e">
        <f>VLOOKUP(Input!$C20,'2020Data'!$A$2:$DX$83,23,0)</f>
        <v>#N/A</v>
      </c>
      <c r="X117" s="126" t="e">
        <f>VLOOKUP(Input!$C20,'2020Data'!$A$2:$DX$83,24,0)</f>
        <v>#N/A</v>
      </c>
      <c r="Y117" s="126" t="e">
        <f>VLOOKUP(Input!$C20,'2020Data'!$A$2:$DX$83,25,0)</f>
        <v>#N/A</v>
      </c>
      <c r="Z117" s="126" t="e">
        <f>VLOOKUP(Input!$C20,'2020Data'!$A$2:$DX$83,26,0)</f>
        <v>#N/A</v>
      </c>
      <c r="AA117" s="126" t="e">
        <f>VLOOKUP(Input!$C20,'2020Data'!$A$2:$DX$83,27,0)</f>
        <v>#N/A</v>
      </c>
      <c r="AB117" s="125" t="e">
        <f>VLOOKUP(Input!$C20,'2020Data'!$A$2:$DX$83,28,0)</f>
        <v>#N/A</v>
      </c>
      <c r="AC117" s="125" t="e">
        <f>VLOOKUP(Input!$C20,'2020Data'!$A$2:$DX$83,29,0)</f>
        <v>#N/A</v>
      </c>
      <c r="AD117" s="125" t="e">
        <f>VLOOKUP(Input!$C20,'2020Data'!$A$2:$DX$83,30,0)</f>
        <v>#N/A</v>
      </c>
      <c r="AE117" s="125" t="e">
        <f>VLOOKUP(Input!$C20,'2020Data'!$A$2:$DX$83,31,0)</f>
        <v>#N/A</v>
      </c>
      <c r="AF117" s="125" t="e">
        <f>VLOOKUP(Input!$C20,'2020Data'!$A$2:$DX$83,32,0)</f>
        <v>#N/A</v>
      </c>
      <c r="AG117" s="125" t="e">
        <f>VLOOKUP(Input!$C20,'2020Data'!$A$2:$DX$83,33,0)</f>
        <v>#N/A</v>
      </c>
      <c r="AH117" s="125" t="e">
        <f>VLOOKUP(Input!$C20,'2020Data'!$A$2:$DX$83,34,0)</f>
        <v>#N/A</v>
      </c>
      <c r="AI117" s="125" t="e">
        <f>VLOOKUP(Input!$C20,'2020Data'!$A$2:$DX$83,35,0)</f>
        <v>#N/A</v>
      </c>
      <c r="AJ117" s="110" t="e">
        <f>VLOOKUP(Input!$C20,'2020Data'!$A$2:$DX$83,36,0)</f>
        <v>#N/A</v>
      </c>
      <c r="AK117" s="125" t="e">
        <f>VLOOKUP(Input!$C20,'2020Data'!$A$2:$DX$83,37,0)</f>
        <v>#N/A</v>
      </c>
      <c r="AL117" s="125" t="e">
        <f>VLOOKUP(Input!$C20,'2020Data'!$A$2:$DX$83,38,0)</f>
        <v>#N/A</v>
      </c>
      <c r="AM117" s="125" t="e">
        <f>VLOOKUP(Input!$C20,'2020Data'!$A$2:$DX$83,39,0)</f>
        <v>#N/A</v>
      </c>
      <c r="AN117" s="125" t="e">
        <f>VLOOKUP(Input!$C20,'2020Data'!$A$2:$DX$83,40,0)</f>
        <v>#N/A</v>
      </c>
      <c r="AO117" s="125" t="e">
        <f>VLOOKUP(Input!$C20,'2020Data'!$A$2:$DX$83,41,0)</f>
        <v>#N/A</v>
      </c>
      <c r="AP117" s="155" t="e">
        <f>VLOOKUP(Input!$C20,'2020Data'!$A$2:$DX$83,42,0)</f>
        <v>#N/A</v>
      </c>
      <c r="AQ117" s="110" t="e">
        <f>VLOOKUP(Input!$C20,'2020Data'!$A$2:$DX$83,43,0)</f>
        <v>#N/A</v>
      </c>
      <c r="AR117" s="125" t="e">
        <f>VLOOKUP(Input!$C20,'2020Data'!$A$2:$DX$83,44,0)</f>
        <v>#N/A</v>
      </c>
      <c r="AS117" s="125" t="e">
        <f>VLOOKUP(Input!$C20,'2020Data'!$A$2:$DX$83,45,0)</f>
        <v>#N/A</v>
      </c>
      <c r="AT117" s="125" t="e">
        <f>VLOOKUP(Input!$C20,'2020Data'!$A$2:$DX$83,46,0)</f>
        <v>#N/A</v>
      </c>
      <c r="AU117" s="125" t="e">
        <f>VLOOKUP(Input!$C20,'2020Data'!$A$2:$DX$83,47,0)</f>
        <v>#N/A</v>
      </c>
      <c r="AV117" s="125" t="e">
        <f>VLOOKUP(Input!$C20,'2020Data'!$A$2:$DX$83,48,0)</f>
        <v>#N/A</v>
      </c>
      <c r="AW117" s="125" t="e">
        <f>VLOOKUP(Input!$C20,'2020Data'!$A$2:$DX$83,49,0)</f>
        <v>#N/A</v>
      </c>
      <c r="AX117" s="125" t="e">
        <f>VLOOKUP(Input!$C20,'2020Data'!$A$2:$DX$83,50,0)</f>
        <v>#N/A</v>
      </c>
      <c r="AY117" s="125" t="e">
        <f>VLOOKUP(Input!$C20,'2020Data'!$A$2:$DX$83,51,0)</f>
        <v>#N/A</v>
      </c>
      <c r="AZ117" s="108" t="e">
        <f>VLOOKUP(Input!$C20,'2020Data'!$A$2:$DX$83,52,0)</f>
        <v>#N/A</v>
      </c>
      <c r="BA117" s="109" t="e">
        <f>VLOOKUP(Input!$C20,'2020Data'!$A$2:$DX$83,53,0)</f>
        <v>#N/A</v>
      </c>
      <c r="BB117" s="108" t="e">
        <f>VLOOKUP(Input!$C20,'2020Data'!$A$2:$DX$83,54)</f>
        <v>#N/A</v>
      </c>
      <c r="BC117" s="108" t="e">
        <f>VLOOKUP(Input!$C20,'2020Data'!$A$2:$DX$83,55,0)</f>
        <v>#N/A</v>
      </c>
      <c r="BD117" s="108" t="e">
        <f>VLOOKUP(Input!$C20,'2020Data'!$A$2:$DX$83,56,0)</f>
        <v>#N/A</v>
      </c>
      <c r="BE117" s="108" t="e">
        <f>VLOOKUP(Input!$C20,'2020Data'!$A$2:$DX$83,57,0)</f>
        <v>#N/A</v>
      </c>
      <c r="BF117" s="108" t="e">
        <f>VLOOKUP(Input!$C20,'2020Data'!$A$2:$DX$83,58,0)</f>
        <v>#N/A</v>
      </c>
      <c r="BG117" s="108" t="e">
        <f>VLOOKUP(Input!$C20,'2020Data'!$A$2:$DX$83,59,0)</f>
        <v>#N/A</v>
      </c>
      <c r="BH117" s="108" t="e">
        <f>VLOOKUP(Input!$C20,'2020Data'!$A$2:$DX$83,60,0)</f>
        <v>#N/A</v>
      </c>
      <c r="BI117" s="108" t="e">
        <f>VLOOKUP(Input!$C20,'2020Data'!$A$2:$DX$83,61,0)</f>
        <v>#N/A</v>
      </c>
      <c r="BJ117" s="108" t="e">
        <f>VLOOKUP(Input!$C20,'2020Data'!$A$2:$DX$83,62,0)</f>
        <v>#N/A</v>
      </c>
      <c r="BK117" s="108" t="e">
        <f>VLOOKUP(Input!$C20,'2020Data'!$A$2:$DX$83,63,0)</f>
        <v>#N/A</v>
      </c>
      <c r="BL117" s="109" t="e">
        <f>VLOOKUP(Input!$C20,'2020Data'!$A$2:$DX$83,64,0)</f>
        <v>#N/A</v>
      </c>
      <c r="BM117" s="108" t="e">
        <f>VLOOKUP(Input!$C20,'2020Data'!$A$2:$DX$83,65,0)</f>
        <v>#N/A</v>
      </c>
      <c r="BN117" s="108" t="e">
        <f>VLOOKUP(Input!$C20,'2020Data'!$A$2:$DX$83,66,0)</f>
        <v>#N/A</v>
      </c>
      <c r="BO117" s="109" t="e">
        <f>VLOOKUP(Input!$C20,'2020Data'!$A$2:$DX$83,67,0)</f>
        <v>#N/A</v>
      </c>
      <c r="BP117" s="108" t="e">
        <f>VLOOKUP(Input!$C20,'2020Data'!$A$2:$DX$83,68,0)</f>
        <v>#N/A</v>
      </c>
      <c r="BQ117" s="108" t="e">
        <f>VLOOKUP(Input!$C20,'2020Data'!$A$2:$DX$83,69,0)</f>
        <v>#N/A</v>
      </c>
      <c r="BR117" s="108" t="e">
        <f>VLOOKUP(Input!$C20,'2020Data'!$A$2:$DX$83,70,0)</f>
        <v>#N/A</v>
      </c>
      <c r="BS117" s="108" t="e">
        <f>VLOOKUP(Input!$C20,'2020Data'!$A$2:$DX$83,71,0)</f>
        <v>#N/A</v>
      </c>
      <c r="BT117" s="108" t="e">
        <f>VLOOKUP(Input!$C20,'2020Data'!$A$2:$DX$83,72,0)</f>
        <v>#N/A</v>
      </c>
      <c r="BU117" s="109" t="e">
        <f>VLOOKUP(Input!$C20,'2020Data'!$A$2:$DX$83,73)</f>
        <v>#N/A</v>
      </c>
      <c r="BV117" s="108" t="e">
        <f>VLOOKUP(Input!$C20,'2020Data'!$A$2:$DX$83,74,0)</f>
        <v>#N/A</v>
      </c>
      <c r="BW117" s="169" t="e">
        <f>VLOOKUP(Input!$C20,'2020Data'!$A$2:$DX$83,75,0)</f>
        <v>#N/A</v>
      </c>
      <c r="BX117" s="169" t="e">
        <f>VLOOKUP(Input!$C20,'2020Data'!$A$2:$DX$83,76,0)</f>
        <v>#N/A</v>
      </c>
      <c r="BY117" s="109" t="e">
        <f>VLOOKUP(Input!$C20,'2020Data'!$A$2:$DX$83,77,0)</f>
        <v>#N/A</v>
      </c>
      <c r="BZ117" s="108" t="e">
        <f>VLOOKUP(Input!$C20,'2020Data'!$A$2:$DX$83,78,0)</f>
        <v>#N/A</v>
      </c>
      <c r="CA117" s="108" t="e">
        <f>VLOOKUP(Input!$C20,'2020Data'!$A$2:$DX$83,79,0)</f>
        <v>#N/A</v>
      </c>
      <c r="CB117" s="108" t="e">
        <f>VLOOKUP(Input!$C20,'2020Data'!$A$2:$DX$83,80,0)</f>
        <v>#N/A</v>
      </c>
      <c r="CC117" s="108" t="e">
        <f>VLOOKUP(Input!$C20,'2020Data'!$A$2:$DX$83,81,0)</f>
        <v>#N/A</v>
      </c>
      <c r="CD117" s="108" t="e">
        <f>VLOOKUP(Input!$C20,'2020Data'!$A$2:$DX$83,82,0)</f>
        <v>#N/A</v>
      </c>
      <c r="CE117" s="108" t="e">
        <f>VLOOKUP(Input!$C20,'2020Data'!$A$2:$DX$83,83,0)</f>
        <v>#N/A</v>
      </c>
      <c r="CF117" s="108" t="e">
        <f>VLOOKUP(Input!$C20,'2020Data'!$A$2:$DX$83,84,0)</f>
        <v>#N/A</v>
      </c>
      <c r="CG117" s="108" t="e">
        <f>VLOOKUP(Input!$C20,'2020Data'!$A$2:$DX$83,85,0)</f>
        <v>#N/A</v>
      </c>
      <c r="CH117" s="109" t="e">
        <f>VLOOKUP(Input!$C20,'2020Data'!$A$2:$DX$83,86,0)</f>
        <v>#N/A</v>
      </c>
      <c r="CI117" s="108" t="e">
        <f>VLOOKUP(Input!$C20,'2020Data'!$A$2:$DX$83,87,0)</f>
        <v>#N/A</v>
      </c>
      <c r="CJ117" s="109" t="e">
        <f>VLOOKUP(Input!$C20,'2020Data'!$A$2:$DX$83,88,0)</f>
        <v>#N/A</v>
      </c>
      <c r="CK117" s="108" t="e">
        <f>VLOOKUP(Input!$C20,'2020Data'!$A$2:$DX$83,89,0)</f>
        <v>#N/A</v>
      </c>
      <c r="CL117" s="107" t="e">
        <f>VLOOKUP(Input!$C20,'2020Data'!$A$2:$DX$83,90,0)</f>
        <v>#N/A</v>
      </c>
      <c r="CM117" s="107" t="e">
        <f>VLOOKUP(Input!$C20,'2020Data'!$A$2:$DX$83,91,0)</f>
        <v>#N/A</v>
      </c>
      <c r="CN117" s="107" t="e">
        <f>VLOOKUP(Input!$C20,'2020Data'!$A$2:$DX$83,92,0)</f>
        <v>#N/A</v>
      </c>
      <c r="CO117" s="169" t="e">
        <f>VLOOKUP(Input!$C20,'2020Data'!$A$2:$DX$83,93,0)</f>
        <v>#N/A</v>
      </c>
      <c r="CP117" s="108" t="e">
        <f>VLOOKUP(Input!$C20,'2020Data'!$A$2:$DX$83,94,0)</f>
        <v>#N/A</v>
      </c>
      <c r="CQ117" s="169" t="e">
        <f>VLOOKUP(Input!$C20,'2020Data'!$A$2:$DX$83,95,0)</f>
        <v>#N/A</v>
      </c>
      <c r="CR117" s="169" t="e">
        <f>VLOOKUP(Input!$C20,'2020Data'!$A$2:$DX$83,96,0)</f>
        <v>#N/A</v>
      </c>
      <c r="CS117" s="169" t="e">
        <f>VLOOKUP(Input!$C20,'2020Data'!$A$2:$DX$83,97,0)</f>
        <v>#N/A</v>
      </c>
      <c r="CT117" s="108" t="e">
        <f>VLOOKUP(Input!$C20,'2020Data'!$A$2:$DX$83,98,0)</f>
        <v>#N/A</v>
      </c>
      <c r="CU117" s="108" t="e">
        <f>VLOOKUP(Input!$C20,'2020Data'!$A$2:$DX$83,99,0)</f>
        <v>#N/A</v>
      </c>
      <c r="CV117" s="125" t="e">
        <f>VLOOKUP(Input!$C20,'2020Data'!$A$2:$DX$83,100,0)</f>
        <v>#N/A</v>
      </c>
      <c r="CW117" s="109" t="e">
        <f>VLOOKUP(Input!$C20,'2020Data'!$A$2:$DX$83,101,0)</f>
        <v>#N/A</v>
      </c>
      <c r="CX117" s="107" t="e">
        <f>VLOOKUP(Input!$C20,'2020Data'!$A$2:$DX$83,102,0)</f>
        <v>#N/A</v>
      </c>
      <c r="CY117" s="107" t="e">
        <f>VLOOKUP(Input!$C20,'2020Data'!$A$2:$DX$83,103,0)</f>
        <v>#N/A</v>
      </c>
      <c r="CZ117" s="108" t="e">
        <f>VLOOKUP(Input!$C20,'2020Data'!$A$2:$DX$83,104,0)</f>
        <v>#N/A</v>
      </c>
      <c r="DA117" s="108" t="e">
        <f>VLOOKUP(Input!$C20,'2020Data'!$A$2:$DX$83,105,0)</f>
        <v>#N/A</v>
      </c>
      <c r="DB117" s="143" t="e">
        <f>VLOOKUP(Input!$C20,'2020Data'!$A$2:$DX$83,106,0)</f>
        <v>#N/A</v>
      </c>
      <c r="DC117" s="108" t="e">
        <f>VLOOKUP(Input!$C20,'2020Data'!$A$2:$DX$83,107,0)</f>
        <v>#N/A</v>
      </c>
      <c r="DD117" s="108" t="e">
        <f>VLOOKUP(Input!$C20,'2020Data'!$A$2:$DX$83,108,0)</f>
        <v>#N/A</v>
      </c>
      <c r="DE117" s="108" t="e">
        <f>VLOOKUP(Input!$C20,'2020Data'!$A$2:$DX$83,109,0)</f>
        <v>#N/A</v>
      </c>
      <c r="DF117" s="108" t="e">
        <f>VLOOKUP(Input!$C20,'2020Data'!$A$2:$DX$83,110,0)</f>
        <v>#N/A</v>
      </c>
      <c r="DG117" s="108" t="e">
        <f>VLOOKUP(Input!$C20,'2020Data'!$A$2:$DX$83,111,0)</f>
        <v>#N/A</v>
      </c>
      <c r="DH117" s="108" t="e">
        <f>VLOOKUP(Input!$C20,'2020Data'!$A$2:$DX$83,112,0)</f>
        <v>#N/A</v>
      </c>
      <c r="DI117" s="108" t="e">
        <f>VLOOKUP(Input!$C20,'2020Data'!$A$2:$DX$83,113,0)</f>
        <v>#N/A</v>
      </c>
      <c r="DJ117" s="108" t="e">
        <f>VLOOKUP(Input!$C20,'2020Data'!$A$2:$DX$83,114,0)</f>
        <v>#N/A</v>
      </c>
      <c r="DK117" s="108" t="e">
        <f>VLOOKUP(Input!$C20,'2020Data'!$A$2:$DX$83,115,0)</f>
        <v>#N/A</v>
      </c>
      <c r="DL117" s="108" t="e">
        <f>VLOOKUP(Input!$C20,'2020Data'!$A$2:$DX$83,116,0)</f>
        <v>#N/A</v>
      </c>
      <c r="DM117" s="108" t="e">
        <f>VLOOKUP(Input!$C20,'2020Data'!$A$2:$DX$83,117,0)</f>
        <v>#N/A</v>
      </c>
      <c r="DN117" s="108" t="e">
        <f>VLOOKUP(Input!$C20,'2020Data'!$A$2:$DX$83,118,0)</f>
        <v>#N/A</v>
      </c>
      <c r="DO117" s="128" t="e">
        <f>VLOOKUP(Input!$C20,'2020Data'!$A$2:$DX$83,119,0)</f>
        <v>#N/A</v>
      </c>
      <c r="DP117" s="127" t="e">
        <f>VLOOKUP(Input!$C20,'2020Data'!$A$2:$DX$83,120,0)</f>
        <v>#N/A</v>
      </c>
      <c r="DQ117" s="127" t="e">
        <f>VLOOKUP(Input!$C20,'2020Data'!$A$2:$DX$83,121,0)</f>
        <v>#N/A</v>
      </c>
      <c r="DR117" s="127" t="e">
        <f>VLOOKUP(Input!$C20,'2020Data'!$A$2:$DX$83,122,0)</f>
        <v>#N/A</v>
      </c>
      <c r="DS117" s="127" t="e">
        <f>VLOOKUP(Input!$C20,'2020Data'!$A$2:$DX$83,123,0)</f>
        <v>#N/A</v>
      </c>
      <c r="DT117" s="199" t="e">
        <f>VLOOKUP(Input!$C20,'2020Data'!$A$2:$DX$83,124,0)</f>
        <v>#N/A</v>
      </c>
      <c r="DU117" s="199" t="e">
        <f>VLOOKUP(Input!$C20,'2020Data'!$A$2:$DX$83,125,0)</f>
        <v>#N/A</v>
      </c>
      <c r="DV117" s="127" t="e">
        <f>VLOOKUP(Input!$C20,'2020Data'!$A$2:$DX$83,126,0)</f>
        <v>#N/A</v>
      </c>
      <c r="DW117" s="109" t="e">
        <f>VLOOKUP(Input!$C20,'2020Data'!$A$2:$DX$83,127,0)</f>
        <v>#N/A</v>
      </c>
      <c r="DX117" s="109" t="e">
        <f>VLOOKUP(Input!$C20,'2020Data'!$A$2:$DZ$83,128,0)</f>
        <v>#N/A</v>
      </c>
      <c r="DY117" s="109" t="e">
        <f>VLOOKUP(Input!$C20,'2020Data'!$A$2:$DZ$83,129,0)</f>
        <v>#N/A</v>
      </c>
      <c r="DZ117" s="109" t="e">
        <f>VLOOKUP(Input!$C20,'2020Data'!$A$2:$DZ$83,130,0)</f>
        <v>#N/A</v>
      </c>
      <c r="EA117" s="110" t="e">
        <f>VLOOKUP(Input!$C20,'2020Data'!$A$2:$EA$83,131,0)</f>
        <v>#N/A</v>
      </c>
      <c r="EB117" s="110" t="e">
        <f>VLOOKUP(Input!$C20,'2020Data'!$A$2:$EB$83,132,0)</f>
        <v>#N/A</v>
      </c>
    </row>
    <row r="118" spans="2:132" ht="15" thickBot="1">
      <c r="B118" s="97" t="s">
        <v>5</v>
      </c>
      <c r="C118" s="108">
        <f>C104</f>
        <v>127893.03658536586</v>
      </c>
      <c r="D118" s="108">
        <f t="shared" ref="D118:BH118" si="172">D104</f>
        <v>3.8536585365853657</v>
      </c>
      <c r="E118" s="108">
        <f t="shared" si="172"/>
        <v>0.24390243902439024</v>
      </c>
      <c r="F118" s="108">
        <f t="shared" si="172"/>
        <v>57349.304878048781</v>
      </c>
      <c r="G118" s="32">
        <f t="shared" si="172"/>
        <v>0</v>
      </c>
      <c r="H118" s="108">
        <f t="shared" si="172"/>
        <v>57349.304878048781</v>
      </c>
      <c r="I118" s="109">
        <f t="shared" si="172"/>
        <v>0.55860402439024393</v>
      </c>
      <c r="J118" s="125">
        <f t="shared" si="172"/>
        <v>1506575.2195121951</v>
      </c>
      <c r="K118" s="125">
        <f t="shared" si="172"/>
        <v>617046.46341463411</v>
      </c>
      <c r="L118" s="125">
        <f t="shared" si="172"/>
        <v>2123621.6829268294</v>
      </c>
      <c r="M118" s="110">
        <f t="shared" si="172"/>
        <v>17.287800632851209</v>
      </c>
      <c r="N118" s="125">
        <f t="shared" si="172"/>
        <v>198577.89146341462</v>
      </c>
      <c r="O118" s="125">
        <f t="shared" si="172"/>
        <v>111500.88182926827</v>
      </c>
      <c r="P118" s="125">
        <f t="shared" si="172"/>
        <v>26027.300365853658</v>
      </c>
      <c r="Q118" s="125">
        <f t="shared" si="172"/>
        <v>336106.0736585366</v>
      </c>
      <c r="R118" s="110">
        <f t="shared" si="172"/>
        <v>2.4316584674325834</v>
      </c>
      <c r="S118" s="125">
        <f t="shared" si="172"/>
        <v>527219.00073170732</v>
      </c>
      <c r="T118" s="125">
        <f t="shared" si="172"/>
        <v>2986946.7573170732</v>
      </c>
      <c r="U118" s="125">
        <f t="shared" si="172"/>
        <v>1185.3048780487804</v>
      </c>
      <c r="V118" s="125">
        <f t="shared" si="172"/>
        <v>2986946.7573170732</v>
      </c>
      <c r="W118" s="110">
        <f t="shared" si="172"/>
        <v>23.785876426428075</v>
      </c>
      <c r="X118" s="111">
        <f t="shared" si="172"/>
        <v>0.73261416898678755</v>
      </c>
      <c r="Y118" s="111">
        <f t="shared" si="172"/>
        <v>0.10030630260243596</v>
      </c>
      <c r="Z118" s="111">
        <f t="shared" si="172"/>
        <v>0.16707952841077636</v>
      </c>
      <c r="AA118" s="111">
        <f t="shared" si="172"/>
        <v>6.7454827715878103E-4</v>
      </c>
      <c r="AB118" s="125">
        <f t="shared" si="172"/>
        <v>537127.39024390245</v>
      </c>
      <c r="AC118" s="125">
        <f t="shared" si="172"/>
        <v>2986946.7573170732</v>
      </c>
      <c r="AD118" s="125">
        <f t="shared" si="172"/>
        <v>2475912.5487804879</v>
      </c>
      <c r="AE118" s="125" t="e">
        <f t="shared" si="172"/>
        <v>#DIV/0!</v>
      </c>
      <c r="AF118" s="125" t="e">
        <f t="shared" si="172"/>
        <v>#REF!</v>
      </c>
      <c r="AG118" s="125" t="e">
        <f t="shared" si="172"/>
        <v>#REF!</v>
      </c>
      <c r="AH118" s="125" t="e">
        <f t="shared" si="172"/>
        <v>#DIV/0!</v>
      </c>
      <c r="AI118" s="125">
        <f t="shared" si="172"/>
        <v>5462859.3060975615</v>
      </c>
      <c r="AJ118" s="110">
        <f t="shared" si="172"/>
        <v>38.540649192355723</v>
      </c>
      <c r="AK118" s="125">
        <f t="shared" si="172"/>
        <v>175801.30487804877</v>
      </c>
      <c r="AL118" s="125">
        <f t="shared" si="172"/>
        <v>19149.658536585364</v>
      </c>
      <c r="AM118" s="125">
        <f t="shared" si="172"/>
        <v>183932.21951219512</v>
      </c>
      <c r="AN118" s="125" t="e">
        <f t="shared" si="172"/>
        <v>#DIV/0!</v>
      </c>
      <c r="AO118" s="125">
        <f t="shared" si="172"/>
        <v>183932.21951219512</v>
      </c>
      <c r="AP118" s="125">
        <f t="shared" si="172"/>
        <v>3204220.5975609757</v>
      </c>
      <c r="AQ118" s="110">
        <f t="shared" si="172"/>
        <v>25.179342187007585</v>
      </c>
      <c r="AR118" s="125" t="e">
        <f t="shared" si="172"/>
        <v>#DIV/0!</v>
      </c>
      <c r="AS118" s="125">
        <f t="shared" si="172"/>
        <v>216232.91463414635</v>
      </c>
      <c r="AT118" s="125">
        <f t="shared" si="172"/>
        <v>0</v>
      </c>
      <c r="AU118" s="125">
        <f t="shared" si="172"/>
        <v>5487.8048780487807</v>
      </c>
      <c r="AV118" s="125">
        <f t="shared" si="172"/>
        <v>1757.7560975609756</v>
      </c>
      <c r="AW118" s="125" t="e">
        <f t="shared" si="172"/>
        <v>#DIV/0!</v>
      </c>
      <c r="AX118" s="125">
        <f t="shared" si="172"/>
        <v>11802.304878048781</v>
      </c>
      <c r="AY118" s="125">
        <f t="shared" si="172"/>
        <v>235280.78048780488</v>
      </c>
      <c r="AZ118" s="108">
        <f t="shared" si="172"/>
        <v>183066.81707317074</v>
      </c>
      <c r="BA118" s="109">
        <f t="shared" si="172"/>
        <v>1.8180562645258997</v>
      </c>
      <c r="BB118" s="108">
        <f t="shared" si="172"/>
        <v>7535.1219512195121</v>
      </c>
      <c r="BC118" s="108">
        <f t="shared" si="172"/>
        <v>7535.1219512195121</v>
      </c>
      <c r="BD118" s="108">
        <f t="shared" si="172"/>
        <v>11333.439024390244</v>
      </c>
      <c r="BE118" s="108">
        <f t="shared" si="172"/>
        <v>2974.9268292682927</v>
      </c>
      <c r="BF118" s="108">
        <f t="shared" si="172"/>
        <v>121234.4756097561</v>
      </c>
      <c r="BG118" s="108">
        <f t="shared" si="172"/>
        <v>6.2073170731707314</v>
      </c>
      <c r="BH118" s="108">
        <f t="shared" si="172"/>
        <v>89</v>
      </c>
      <c r="BI118" s="108">
        <f t="shared" ref="BI118:BM118" si="173">BI104</f>
        <v>0</v>
      </c>
      <c r="BJ118" s="108">
        <f t="shared" si="173"/>
        <v>95.207317073170728</v>
      </c>
      <c r="BK118" s="108">
        <f t="shared" si="173"/>
        <v>356594.40243902442</v>
      </c>
      <c r="BL118" s="109">
        <f t="shared" si="173"/>
        <v>5.2497504786709221</v>
      </c>
      <c r="BM118" s="108">
        <f t="shared" si="173"/>
        <v>175</v>
      </c>
      <c r="BN118" s="108">
        <f t="shared" ref="BN118:CK118" si="174">BN104</f>
        <v>68252.629629629635</v>
      </c>
      <c r="BO118" s="109">
        <f t="shared" si="174"/>
        <v>0.47751293359349556</v>
      </c>
      <c r="BP118" s="108">
        <f t="shared" si="174"/>
        <v>213470.43902439025</v>
      </c>
      <c r="BQ118" s="108">
        <f t="shared" si="174"/>
        <v>0</v>
      </c>
      <c r="BR118" s="108">
        <f t="shared" si="174"/>
        <v>403820.90243902442</v>
      </c>
      <c r="BS118" s="108">
        <f t="shared" si="174"/>
        <v>356301.15853658534</v>
      </c>
      <c r="BT118" s="108">
        <f t="shared" si="174"/>
        <v>760122.06097560981</v>
      </c>
      <c r="BU118" s="109">
        <f t="shared" si="174"/>
        <v>4.175997303907768</v>
      </c>
      <c r="BV118" s="108">
        <f t="shared" si="174"/>
        <v>12440.601421887757</v>
      </c>
      <c r="BW118" s="169">
        <f t="shared" si="174"/>
        <v>64.441531851566012</v>
      </c>
      <c r="BX118" s="109">
        <f t="shared" si="174"/>
        <v>1.9800662230484027</v>
      </c>
      <c r="BY118" s="109">
        <f t="shared" si="174"/>
        <v>1.275205534905776</v>
      </c>
      <c r="BZ118" s="108">
        <f t="shared" si="174"/>
        <v>833.93902439024396</v>
      </c>
      <c r="CA118" s="108">
        <f t="shared" si="174"/>
        <v>117.58536585365853</v>
      </c>
      <c r="CB118" s="108">
        <f t="shared" si="174"/>
        <v>379.1219512195122</v>
      </c>
      <c r="CC118" s="108">
        <f t="shared" si="174"/>
        <v>1330.6463414634147</v>
      </c>
      <c r="CD118" s="108">
        <f t="shared" si="174"/>
        <v>24046.036585365855</v>
      </c>
      <c r="CE118" s="108">
        <f t="shared" si="174"/>
        <v>1778.3414634146341</v>
      </c>
      <c r="CF118" s="108">
        <f t="shared" si="174"/>
        <v>5947.8780487804879</v>
      </c>
      <c r="CG118" s="108">
        <f t="shared" si="174"/>
        <v>31772.256097560974</v>
      </c>
      <c r="CH118" s="109">
        <f t="shared" si="174"/>
        <v>0.25037138726775787</v>
      </c>
      <c r="CI118" s="108">
        <v>128973.69797421731</v>
      </c>
      <c r="CJ118" s="109">
        <f t="shared" si="174"/>
        <v>2.1109883695462304</v>
      </c>
      <c r="CK118" s="108">
        <f t="shared" si="174"/>
        <v>70900.036585365859</v>
      </c>
      <c r="CL118" s="128"/>
      <c r="CM118" s="128"/>
      <c r="CN118" s="128"/>
      <c r="CO118" s="169">
        <f t="shared" ref="CO118:CW118" si="175">CO104</f>
        <v>9.4025609756097559</v>
      </c>
      <c r="CP118" s="108">
        <f t="shared" si="175"/>
        <v>16297.159833081027</v>
      </c>
      <c r="CQ118" s="169">
        <f t="shared" si="175"/>
        <v>0.72158536585365851</v>
      </c>
      <c r="CR118" s="169">
        <f t="shared" si="175"/>
        <v>27.930731707317076</v>
      </c>
      <c r="CS118" s="169">
        <f t="shared" si="175"/>
        <v>38.054878048780481</v>
      </c>
      <c r="CT118" s="108">
        <f t="shared" si="175"/>
        <v>3525.7294518176614</v>
      </c>
      <c r="CU118" s="108">
        <f t="shared" si="175"/>
        <v>2097.8565822784808</v>
      </c>
      <c r="CV118" s="125">
        <f t="shared" si="175"/>
        <v>80521.951280487803</v>
      </c>
      <c r="CW118" s="109">
        <f t="shared" si="175"/>
        <v>37.307317073170729</v>
      </c>
      <c r="CX118" s="128"/>
      <c r="CY118" s="128"/>
      <c r="CZ118" s="108">
        <f t="shared" ref="CZ118:DF118" si="176">CZ104</f>
        <v>5310.2439024390242</v>
      </c>
      <c r="DA118" s="108">
        <f t="shared" si="176"/>
        <v>5148.1585365853662</v>
      </c>
      <c r="DB118" s="108">
        <f t="shared" si="176"/>
        <v>91.939024390243901</v>
      </c>
      <c r="DC118" s="108">
        <f t="shared" si="176"/>
        <v>39539.817073170729</v>
      </c>
      <c r="DD118" s="108">
        <f t="shared" si="176"/>
        <v>86914.357142857145</v>
      </c>
      <c r="DE118" s="108">
        <f t="shared" si="176"/>
        <v>541093.92753623193</v>
      </c>
      <c r="DF118" s="108">
        <f t="shared" si="176"/>
        <v>11596.707317073171</v>
      </c>
      <c r="DG118" s="108">
        <f t="shared" ref="DG118:DL118" si="177">DG104</f>
        <v>50.524390243902438</v>
      </c>
      <c r="DH118" s="108">
        <f t="shared" si="177"/>
        <v>0.13459697965437967</v>
      </c>
      <c r="DI118" s="108">
        <f t="shared" si="177"/>
        <v>45.975609756097562</v>
      </c>
      <c r="DJ118" s="108">
        <f t="shared" si="177"/>
        <v>45.780487804878049</v>
      </c>
      <c r="DK118" s="213">
        <f t="shared" si="177"/>
        <v>1057.6047197640119</v>
      </c>
      <c r="DL118" s="108">
        <f t="shared" si="177"/>
        <v>9019.8963414634145</v>
      </c>
      <c r="DM118" s="129"/>
      <c r="DN118" s="127"/>
      <c r="DO118" s="107"/>
      <c r="DS118" s="109"/>
      <c r="DT118" s="114"/>
      <c r="DW118" s="109">
        <f>DW104</f>
        <v>1.2571928523466971</v>
      </c>
      <c r="DX118" s="109">
        <f>DX104</f>
        <v>0</v>
      </c>
      <c r="DY118" s="109">
        <f>DY104</f>
        <v>2.739861546619986</v>
      </c>
      <c r="DZ118" s="109">
        <f>DZ104</f>
        <v>1.4361357572877798</v>
      </c>
      <c r="EA118" s="110">
        <f t="shared" ref="EA118:EB118" si="178">EA104</f>
        <v>0.49983097653631681</v>
      </c>
      <c r="EB118" s="110">
        <f t="shared" si="178"/>
        <v>0.53005193551369711</v>
      </c>
    </row>
  </sheetData>
  <sheetProtection formatCells="0" formatColumns="0" formatRows="0" sort="0" autoFilter="0" pivotTables="0"/>
  <pageMargins left="0.7" right="0.7" top="0.75" bottom="0.75" header="0.3" footer="0.3"/>
  <pageSetup orientation="portrait" r:id="rId1"/>
  <ignoredErrors>
    <ignoredError sqref="AI15:AI21 BJ15:BJ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333"/>
  <sheetViews>
    <sheetView topLeftCell="A2" workbookViewId="0">
      <selection activeCell="J27" sqref="J27"/>
    </sheetView>
  </sheetViews>
  <sheetFormatPr baseColWidth="10" defaultColWidth="8.83203125" defaultRowHeight="15"/>
  <cols>
    <col min="2" max="2" width="36.33203125" customWidth="1"/>
    <col min="9" max="9" width="14" customWidth="1"/>
    <col min="10" max="10" width="17.5" bestFit="1" customWidth="1"/>
    <col min="11" max="11" width="16.83203125" bestFit="1" customWidth="1"/>
  </cols>
  <sheetData>
    <row r="1" spans="1:11">
      <c r="A1" s="13" t="s">
        <v>214</v>
      </c>
      <c r="B1" s="13" t="s">
        <v>215</v>
      </c>
      <c r="C1" s="13" t="s">
        <v>216</v>
      </c>
      <c r="D1" s="13" t="s">
        <v>217</v>
      </c>
      <c r="E1" s="13" t="s">
        <v>877</v>
      </c>
      <c r="F1" s="13" t="s">
        <v>878</v>
      </c>
      <c r="G1" s="13" t="s">
        <v>879</v>
      </c>
    </row>
    <row r="2" spans="1:11">
      <c r="A2" s="15">
        <v>10</v>
      </c>
      <c r="B2" s="14" t="s">
        <v>218</v>
      </c>
      <c r="C2" s="14" t="s">
        <v>219</v>
      </c>
      <c r="D2" s="14" t="s">
        <v>220</v>
      </c>
      <c r="E2" s="15">
        <v>5529</v>
      </c>
      <c r="F2" s="15">
        <v>2412</v>
      </c>
      <c r="G2" s="15">
        <v>52</v>
      </c>
      <c r="J2" s="16" t="s">
        <v>882</v>
      </c>
    </row>
    <row r="3" spans="1:11">
      <c r="A3" s="15">
        <v>10</v>
      </c>
      <c r="B3" s="14" t="s">
        <v>221</v>
      </c>
      <c r="C3" s="14" t="s">
        <v>222</v>
      </c>
      <c r="D3" s="14" t="s">
        <v>220</v>
      </c>
      <c r="E3" s="15">
        <v>3900</v>
      </c>
      <c r="F3" s="15">
        <v>2412</v>
      </c>
      <c r="G3" s="15">
        <v>52</v>
      </c>
      <c r="I3" s="16" t="s">
        <v>880</v>
      </c>
      <c r="J3" t="s">
        <v>883</v>
      </c>
      <c r="K3" t="s">
        <v>884</v>
      </c>
    </row>
    <row r="4" spans="1:11">
      <c r="A4" s="15">
        <v>10</v>
      </c>
      <c r="B4" s="14" t="s">
        <v>223</v>
      </c>
      <c r="C4" s="14" t="s">
        <v>224</v>
      </c>
      <c r="D4" s="14" t="s">
        <v>220</v>
      </c>
      <c r="E4" s="15">
        <v>3900</v>
      </c>
      <c r="F4" s="15">
        <v>2412</v>
      </c>
      <c r="G4" s="15">
        <v>52</v>
      </c>
      <c r="I4" s="17">
        <v>2</v>
      </c>
      <c r="J4">
        <v>17480</v>
      </c>
      <c r="K4">
        <v>6235</v>
      </c>
    </row>
    <row r="5" spans="1:11">
      <c r="A5" s="15">
        <v>100</v>
      </c>
      <c r="B5" s="14" t="s">
        <v>225</v>
      </c>
      <c r="C5" s="14" t="s">
        <v>226</v>
      </c>
      <c r="D5" s="14" t="s">
        <v>227</v>
      </c>
      <c r="E5" s="15">
        <v>0</v>
      </c>
      <c r="F5" s="15">
        <v>610</v>
      </c>
      <c r="G5" s="15">
        <v>52</v>
      </c>
      <c r="I5" s="17">
        <v>5</v>
      </c>
      <c r="J5">
        <v>6734</v>
      </c>
      <c r="K5">
        <v>2691</v>
      </c>
    </row>
    <row r="6" spans="1:11">
      <c r="A6" s="15">
        <v>100</v>
      </c>
      <c r="B6" s="14" t="s">
        <v>228</v>
      </c>
      <c r="C6" s="14" t="s">
        <v>229</v>
      </c>
      <c r="D6" s="14" t="s">
        <v>220</v>
      </c>
      <c r="E6" s="15">
        <v>19000</v>
      </c>
      <c r="F6" s="15">
        <v>2829</v>
      </c>
      <c r="G6" s="15">
        <v>52</v>
      </c>
      <c r="I6" s="17">
        <v>9</v>
      </c>
      <c r="J6">
        <v>55536</v>
      </c>
      <c r="K6">
        <v>13211</v>
      </c>
    </row>
    <row r="7" spans="1:11">
      <c r="A7" s="15">
        <v>100</v>
      </c>
      <c r="B7" s="14" t="s">
        <v>230</v>
      </c>
      <c r="C7" s="14" t="s">
        <v>231</v>
      </c>
      <c r="D7" s="14" t="s">
        <v>220</v>
      </c>
      <c r="E7" s="15">
        <v>12500</v>
      </c>
      <c r="F7" s="15">
        <v>2040</v>
      </c>
      <c r="G7" s="15">
        <v>52</v>
      </c>
      <c r="I7" s="17">
        <v>10</v>
      </c>
      <c r="J7">
        <v>13329</v>
      </c>
      <c r="K7">
        <v>7236</v>
      </c>
    </row>
    <row r="8" spans="1:11">
      <c r="A8" s="15">
        <v>100</v>
      </c>
      <c r="B8" s="14" t="s">
        <v>232</v>
      </c>
      <c r="C8" s="14" t="s">
        <v>233</v>
      </c>
      <c r="D8" s="14" t="s">
        <v>220</v>
      </c>
      <c r="E8" s="15">
        <v>18500</v>
      </c>
      <c r="F8" s="15">
        <v>2040</v>
      </c>
      <c r="G8" s="15">
        <v>52</v>
      </c>
      <c r="I8" s="17">
        <v>12</v>
      </c>
      <c r="J8">
        <v>135815</v>
      </c>
      <c r="K8">
        <v>26535</v>
      </c>
    </row>
    <row r="9" spans="1:11">
      <c r="A9" s="15">
        <v>100</v>
      </c>
      <c r="B9" s="14" t="s">
        <v>234</v>
      </c>
      <c r="C9" s="14" t="s">
        <v>235</v>
      </c>
      <c r="D9" s="14" t="s">
        <v>220</v>
      </c>
      <c r="E9" s="15">
        <v>1993</v>
      </c>
      <c r="F9" s="15">
        <v>2040</v>
      </c>
      <c r="G9" s="15">
        <v>52</v>
      </c>
      <c r="I9" s="17">
        <v>16</v>
      </c>
      <c r="J9">
        <v>64300</v>
      </c>
      <c r="K9">
        <v>16880</v>
      </c>
    </row>
    <row r="10" spans="1:11">
      <c r="A10" s="15">
        <v>100</v>
      </c>
      <c r="B10" s="14" t="s">
        <v>236</v>
      </c>
      <c r="C10" s="14" t="s">
        <v>237</v>
      </c>
      <c r="D10" s="14" t="s">
        <v>227</v>
      </c>
      <c r="E10" s="15">
        <v>0</v>
      </c>
      <c r="F10" s="15">
        <v>610</v>
      </c>
      <c r="G10" s="15">
        <v>52</v>
      </c>
      <c r="I10" s="17">
        <v>20</v>
      </c>
      <c r="J10">
        <v>244881</v>
      </c>
      <c r="K10">
        <v>52230</v>
      </c>
    </row>
    <row r="11" spans="1:11">
      <c r="A11" s="15">
        <v>100</v>
      </c>
      <c r="B11" s="14" t="s">
        <v>238</v>
      </c>
      <c r="C11" s="14" t="s">
        <v>239</v>
      </c>
      <c r="D11" s="14" t="s">
        <v>220</v>
      </c>
      <c r="E11" s="15">
        <v>18500</v>
      </c>
      <c r="F11" s="15">
        <v>2040</v>
      </c>
      <c r="G11" s="15">
        <v>52</v>
      </c>
      <c r="I11" s="17">
        <v>28</v>
      </c>
      <c r="J11">
        <v>500</v>
      </c>
      <c r="K11">
        <v>896</v>
      </c>
    </row>
    <row r="12" spans="1:11">
      <c r="A12" s="15">
        <v>100</v>
      </c>
      <c r="B12" s="14" t="s">
        <v>240</v>
      </c>
      <c r="C12" s="14" t="s">
        <v>241</v>
      </c>
      <c r="D12" s="14" t="s">
        <v>220</v>
      </c>
      <c r="E12" s="15">
        <v>18000</v>
      </c>
      <c r="F12" s="15">
        <v>2040</v>
      </c>
      <c r="G12" s="15">
        <v>52</v>
      </c>
      <c r="I12" s="17">
        <v>30</v>
      </c>
      <c r="J12">
        <v>64908</v>
      </c>
      <c r="K12">
        <v>15137</v>
      </c>
    </row>
    <row r="13" spans="1:11">
      <c r="A13" s="15">
        <v>100</v>
      </c>
      <c r="B13" s="14" t="s">
        <v>242</v>
      </c>
      <c r="C13" s="14" t="s">
        <v>243</v>
      </c>
      <c r="D13" s="14" t="s">
        <v>220</v>
      </c>
      <c r="E13" s="15">
        <v>17350</v>
      </c>
      <c r="F13" s="15">
        <v>2040</v>
      </c>
      <c r="G13" s="15">
        <v>52</v>
      </c>
      <c r="I13" s="17">
        <v>41</v>
      </c>
      <c r="J13">
        <v>3072</v>
      </c>
      <c r="K13">
        <v>3253</v>
      </c>
    </row>
    <row r="14" spans="1:11">
      <c r="A14" s="15">
        <v>100</v>
      </c>
      <c r="B14" s="14" t="s">
        <v>244</v>
      </c>
      <c r="C14" s="14" t="s">
        <v>245</v>
      </c>
      <c r="D14" s="14" t="s">
        <v>220</v>
      </c>
      <c r="E14" s="15">
        <v>19500</v>
      </c>
      <c r="F14" s="15">
        <v>2040</v>
      </c>
      <c r="G14" s="15">
        <v>52</v>
      </c>
      <c r="I14" s="17">
        <v>49</v>
      </c>
      <c r="J14">
        <v>20000</v>
      </c>
      <c r="K14">
        <v>2602</v>
      </c>
    </row>
    <row r="15" spans="1:11">
      <c r="A15" s="15">
        <v>100</v>
      </c>
      <c r="B15" s="14" t="s">
        <v>246</v>
      </c>
      <c r="C15" s="14" t="s">
        <v>247</v>
      </c>
      <c r="D15" s="14" t="s">
        <v>220</v>
      </c>
      <c r="E15" s="15">
        <v>9030</v>
      </c>
      <c r="F15" s="15">
        <v>2040</v>
      </c>
      <c r="G15" s="15">
        <v>52</v>
      </c>
      <c r="I15" s="17">
        <v>50</v>
      </c>
      <c r="J15">
        <v>1550</v>
      </c>
      <c r="K15">
        <v>1611</v>
      </c>
    </row>
    <row r="16" spans="1:11">
      <c r="A16" s="15">
        <v>100</v>
      </c>
      <c r="B16" s="14" t="s">
        <v>248</v>
      </c>
      <c r="C16" s="14" t="s">
        <v>249</v>
      </c>
      <c r="D16" s="14" t="s">
        <v>220</v>
      </c>
      <c r="E16" s="15">
        <v>14707</v>
      </c>
      <c r="F16" s="15">
        <v>1400</v>
      </c>
      <c r="G16" s="15">
        <v>36</v>
      </c>
      <c r="I16" s="17">
        <v>51</v>
      </c>
      <c r="J16">
        <v>47500</v>
      </c>
      <c r="K16">
        <v>7928</v>
      </c>
    </row>
    <row r="17" spans="1:11">
      <c r="A17" s="15">
        <v>100</v>
      </c>
      <c r="B17" s="14" t="s">
        <v>250</v>
      </c>
      <c r="C17" s="14" t="s">
        <v>251</v>
      </c>
      <c r="D17" s="14" t="s">
        <v>220</v>
      </c>
      <c r="E17" s="15">
        <v>23450</v>
      </c>
      <c r="F17" s="15">
        <v>2829</v>
      </c>
      <c r="G17" s="15">
        <v>52</v>
      </c>
      <c r="I17" s="17">
        <v>56</v>
      </c>
      <c r="J17">
        <v>34781</v>
      </c>
      <c r="K17">
        <v>6604</v>
      </c>
    </row>
    <row r="18" spans="1:11">
      <c r="A18" s="15">
        <v>100</v>
      </c>
      <c r="B18" s="14" t="s">
        <v>252</v>
      </c>
      <c r="C18" s="14" t="s">
        <v>253</v>
      </c>
      <c r="D18" s="14" t="s">
        <v>220</v>
      </c>
      <c r="E18" s="15">
        <v>19500</v>
      </c>
      <c r="F18" s="15">
        <v>2040</v>
      </c>
      <c r="G18" s="15">
        <v>49</v>
      </c>
      <c r="I18" s="17">
        <v>64</v>
      </c>
      <c r="J18">
        <v>37000</v>
      </c>
      <c r="K18">
        <v>2475</v>
      </c>
    </row>
    <row r="19" spans="1:11">
      <c r="A19" s="15">
        <v>100</v>
      </c>
      <c r="B19" s="14" t="s">
        <v>254</v>
      </c>
      <c r="C19" s="14" t="s">
        <v>255</v>
      </c>
      <c r="D19" s="14" t="s">
        <v>220</v>
      </c>
      <c r="E19" s="15">
        <v>10600</v>
      </c>
      <c r="F19" s="15">
        <v>2040</v>
      </c>
      <c r="G19" s="15">
        <v>52</v>
      </c>
      <c r="I19" s="17">
        <v>86</v>
      </c>
      <c r="J19">
        <v>117476</v>
      </c>
      <c r="K19">
        <v>17268</v>
      </c>
    </row>
    <row r="20" spans="1:11">
      <c r="A20" s="15">
        <v>100</v>
      </c>
      <c r="B20" s="14" t="s">
        <v>256</v>
      </c>
      <c r="C20" s="14" t="s">
        <v>257</v>
      </c>
      <c r="D20" s="14" t="s">
        <v>220</v>
      </c>
      <c r="E20" s="15">
        <v>18500</v>
      </c>
      <c r="F20" s="15">
        <v>2040</v>
      </c>
      <c r="G20" s="15">
        <v>52</v>
      </c>
      <c r="I20" s="17">
        <v>88</v>
      </c>
      <c r="J20">
        <v>68271</v>
      </c>
      <c r="K20">
        <v>14434</v>
      </c>
    </row>
    <row r="21" spans="1:11">
      <c r="A21" s="15">
        <v>100</v>
      </c>
      <c r="B21" s="14" t="s">
        <v>258</v>
      </c>
      <c r="C21" s="14" t="s">
        <v>259</v>
      </c>
      <c r="D21" s="14" t="s">
        <v>220</v>
      </c>
      <c r="E21" s="15">
        <v>13532</v>
      </c>
      <c r="F21" s="15">
        <v>2040</v>
      </c>
      <c r="G21" s="15">
        <v>52</v>
      </c>
      <c r="I21" s="17">
        <v>91</v>
      </c>
      <c r="J21">
        <v>1000</v>
      </c>
      <c r="K21">
        <v>880</v>
      </c>
    </row>
    <row r="22" spans="1:11">
      <c r="A22" s="15">
        <v>100</v>
      </c>
      <c r="B22" s="14" t="s">
        <v>260</v>
      </c>
      <c r="C22" s="14" t="s">
        <v>261</v>
      </c>
      <c r="D22" s="14" t="s">
        <v>220</v>
      </c>
      <c r="E22" s="15">
        <v>15562</v>
      </c>
      <c r="F22" s="15">
        <v>2040</v>
      </c>
      <c r="G22" s="15">
        <v>52</v>
      </c>
      <c r="I22" s="17">
        <v>94</v>
      </c>
      <c r="J22">
        <v>5305</v>
      </c>
      <c r="K22">
        <v>2407</v>
      </c>
    </row>
    <row r="23" spans="1:11">
      <c r="A23" s="15">
        <v>100</v>
      </c>
      <c r="B23" s="14" t="s">
        <v>262</v>
      </c>
      <c r="C23" s="14" t="s">
        <v>263</v>
      </c>
      <c r="D23" s="14" t="s">
        <v>220</v>
      </c>
      <c r="E23" s="15">
        <v>12900</v>
      </c>
      <c r="F23" s="15">
        <v>2040</v>
      </c>
      <c r="G23" s="15">
        <v>52</v>
      </c>
      <c r="I23" s="17">
        <v>100</v>
      </c>
      <c r="J23">
        <v>418116</v>
      </c>
      <c r="K23">
        <v>59278</v>
      </c>
    </row>
    <row r="24" spans="1:11">
      <c r="A24" s="15">
        <v>100</v>
      </c>
      <c r="B24" s="14" t="s">
        <v>264</v>
      </c>
      <c r="C24" s="14" t="s">
        <v>265</v>
      </c>
      <c r="D24" s="14" t="s">
        <v>220</v>
      </c>
      <c r="E24" s="15">
        <v>10984</v>
      </c>
      <c r="F24" s="15">
        <v>2040</v>
      </c>
      <c r="G24" s="15">
        <v>52</v>
      </c>
      <c r="I24" s="17">
        <v>109</v>
      </c>
      <c r="J24">
        <v>54954</v>
      </c>
      <c r="K24">
        <v>6384</v>
      </c>
    </row>
    <row r="25" spans="1:11">
      <c r="A25" s="15">
        <v>100</v>
      </c>
      <c r="B25" s="14" t="s">
        <v>266</v>
      </c>
      <c r="C25" s="14" t="s">
        <v>267</v>
      </c>
      <c r="D25" s="14" t="s">
        <v>220</v>
      </c>
      <c r="E25" s="15">
        <v>19500</v>
      </c>
      <c r="F25" s="15">
        <v>2040</v>
      </c>
      <c r="G25" s="15">
        <v>52</v>
      </c>
      <c r="I25" s="17">
        <v>117</v>
      </c>
      <c r="J25">
        <v>4700</v>
      </c>
      <c r="K25">
        <v>3571</v>
      </c>
    </row>
    <row r="26" spans="1:11">
      <c r="A26" s="15">
        <v>100</v>
      </c>
      <c r="B26" s="14" t="s">
        <v>268</v>
      </c>
      <c r="C26" s="14" t="s">
        <v>269</v>
      </c>
      <c r="D26" s="14" t="s">
        <v>220</v>
      </c>
      <c r="E26" s="15">
        <v>16800</v>
      </c>
      <c r="F26" s="15">
        <v>2040</v>
      </c>
      <c r="G26" s="15">
        <v>52</v>
      </c>
      <c r="I26" s="17">
        <v>120</v>
      </c>
      <c r="J26">
        <v>4034</v>
      </c>
      <c r="K26">
        <v>2376</v>
      </c>
    </row>
    <row r="27" spans="1:11">
      <c r="A27" s="15">
        <v>100</v>
      </c>
      <c r="B27" s="14" t="s">
        <v>270</v>
      </c>
      <c r="C27" s="14" t="s">
        <v>271</v>
      </c>
      <c r="D27" s="14" t="s">
        <v>220</v>
      </c>
      <c r="E27" s="15">
        <v>12400</v>
      </c>
      <c r="F27" s="15">
        <v>2040</v>
      </c>
      <c r="G27" s="15">
        <v>52</v>
      </c>
      <c r="I27" s="17">
        <v>125</v>
      </c>
      <c r="J27">
        <v>172520</v>
      </c>
      <c r="K27">
        <v>31749</v>
      </c>
    </row>
    <row r="28" spans="1:11">
      <c r="A28" s="15">
        <v>100</v>
      </c>
      <c r="B28" s="14" t="s">
        <v>272</v>
      </c>
      <c r="C28" s="14" t="s">
        <v>273</v>
      </c>
      <c r="D28" s="14" t="s">
        <v>220</v>
      </c>
      <c r="E28" s="15">
        <v>11193</v>
      </c>
      <c r="F28" s="15">
        <v>2040</v>
      </c>
      <c r="G28" s="15">
        <v>52</v>
      </c>
      <c r="I28" s="17">
        <v>139</v>
      </c>
      <c r="J28">
        <v>2203</v>
      </c>
      <c r="K28">
        <v>3120</v>
      </c>
    </row>
    <row r="29" spans="1:11">
      <c r="A29" s="15">
        <v>100</v>
      </c>
      <c r="B29" s="14" t="s">
        <v>274</v>
      </c>
      <c r="C29" s="14" t="s">
        <v>275</v>
      </c>
      <c r="D29" s="14" t="s">
        <v>220</v>
      </c>
      <c r="E29" s="15">
        <v>12037</v>
      </c>
      <c r="F29" s="15">
        <v>2040</v>
      </c>
      <c r="G29" s="15">
        <v>52</v>
      </c>
      <c r="I29" s="17">
        <v>140</v>
      </c>
      <c r="J29">
        <v>2950</v>
      </c>
      <c r="K29">
        <v>988</v>
      </c>
    </row>
    <row r="30" spans="1:11">
      <c r="A30" s="15">
        <v>100</v>
      </c>
      <c r="B30" s="14" t="s">
        <v>276</v>
      </c>
      <c r="C30" s="14" t="s">
        <v>277</v>
      </c>
      <c r="D30" s="14" t="s">
        <v>220</v>
      </c>
      <c r="E30" s="15">
        <v>20019</v>
      </c>
      <c r="F30" s="15">
        <v>2040</v>
      </c>
      <c r="G30" s="15">
        <v>52</v>
      </c>
      <c r="I30" s="17">
        <v>143</v>
      </c>
      <c r="J30">
        <v>144976</v>
      </c>
      <c r="K30">
        <v>30876</v>
      </c>
    </row>
    <row r="31" spans="1:11">
      <c r="A31" s="15">
        <v>100</v>
      </c>
      <c r="B31" s="14" t="s">
        <v>278</v>
      </c>
      <c r="C31" s="14" t="s">
        <v>279</v>
      </c>
      <c r="D31" s="14" t="s">
        <v>220</v>
      </c>
      <c r="E31" s="15">
        <v>16605</v>
      </c>
      <c r="F31" s="15">
        <v>2040</v>
      </c>
      <c r="G31" s="15">
        <v>52</v>
      </c>
      <c r="I31" s="17">
        <v>150</v>
      </c>
      <c r="J31">
        <v>61420</v>
      </c>
      <c r="K31">
        <v>6192</v>
      </c>
    </row>
    <row r="32" spans="1:11">
      <c r="A32" s="15">
        <v>100</v>
      </c>
      <c r="B32" s="14" t="s">
        <v>280</v>
      </c>
      <c r="C32" s="14" t="s">
        <v>281</v>
      </c>
      <c r="D32" s="14" t="s">
        <v>220</v>
      </c>
      <c r="E32" s="15">
        <v>12729</v>
      </c>
      <c r="F32" s="15">
        <v>2040</v>
      </c>
      <c r="G32" s="15">
        <v>52</v>
      </c>
      <c r="I32" s="17">
        <v>153</v>
      </c>
      <c r="J32">
        <v>2064</v>
      </c>
      <c r="K32">
        <v>1651</v>
      </c>
    </row>
    <row r="33" spans="1:11">
      <c r="A33" s="15">
        <v>100</v>
      </c>
      <c r="B33" s="14" t="s">
        <v>282</v>
      </c>
      <c r="C33" s="14" t="s">
        <v>283</v>
      </c>
      <c r="D33" s="14" t="s">
        <v>220</v>
      </c>
      <c r="E33" s="15">
        <v>10700</v>
      </c>
      <c r="F33" s="15">
        <v>2040</v>
      </c>
      <c r="G33" s="15">
        <v>52</v>
      </c>
      <c r="I33" s="17">
        <v>154</v>
      </c>
      <c r="J33">
        <v>135</v>
      </c>
      <c r="K33">
        <v>624</v>
      </c>
    </row>
    <row r="34" spans="1:11">
      <c r="A34" s="15">
        <v>100</v>
      </c>
      <c r="B34" s="14" t="s">
        <v>284</v>
      </c>
      <c r="C34" s="14" t="s">
        <v>285</v>
      </c>
      <c r="D34" s="14" t="s">
        <v>220</v>
      </c>
      <c r="E34" s="15">
        <v>12025</v>
      </c>
      <c r="F34" s="15">
        <v>2040</v>
      </c>
      <c r="G34" s="15">
        <v>52</v>
      </c>
      <c r="I34" s="17">
        <v>162</v>
      </c>
      <c r="J34">
        <v>12760</v>
      </c>
      <c r="K34">
        <v>4344</v>
      </c>
    </row>
    <row r="35" spans="1:11">
      <c r="A35" s="15">
        <v>109</v>
      </c>
      <c r="B35" s="14" t="s">
        <v>286</v>
      </c>
      <c r="C35" s="14" t="s">
        <v>287</v>
      </c>
      <c r="D35" s="14" t="s">
        <v>220</v>
      </c>
      <c r="E35" s="15">
        <v>21450</v>
      </c>
      <c r="F35" s="15">
        <v>3046</v>
      </c>
      <c r="G35" s="15">
        <v>52</v>
      </c>
      <c r="I35" s="17">
        <v>180</v>
      </c>
      <c r="J35">
        <v>4400</v>
      </c>
      <c r="K35">
        <v>2288</v>
      </c>
    </row>
    <row r="36" spans="1:11">
      <c r="A36" s="15">
        <v>109</v>
      </c>
      <c r="B36" s="14" t="s">
        <v>288</v>
      </c>
      <c r="C36" s="14" t="s">
        <v>289</v>
      </c>
      <c r="D36" s="14" t="s">
        <v>220</v>
      </c>
      <c r="E36" s="15">
        <v>33504</v>
      </c>
      <c r="F36" s="15">
        <v>3338</v>
      </c>
      <c r="G36" s="15">
        <v>52</v>
      </c>
      <c r="I36" s="17">
        <v>181</v>
      </c>
      <c r="J36">
        <v>37273</v>
      </c>
      <c r="K36">
        <v>8957</v>
      </c>
    </row>
    <row r="37" spans="1:11">
      <c r="A37" s="15">
        <v>117</v>
      </c>
      <c r="B37" s="14" t="s">
        <v>290</v>
      </c>
      <c r="C37" s="14" t="s">
        <v>291</v>
      </c>
      <c r="D37" s="14" t="s">
        <v>220</v>
      </c>
      <c r="E37" s="15">
        <v>2400</v>
      </c>
      <c r="F37" s="15">
        <v>1750</v>
      </c>
      <c r="G37" s="15">
        <v>52</v>
      </c>
      <c r="I37" s="17">
        <v>189</v>
      </c>
      <c r="J37">
        <v>581310</v>
      </c>
      <c r="K37">
        <v>76775</v>
      </c>
    </row>
    <row r="38" spans="1:11">
      <c r="A38" s="15">
        <v>117</v>
      </c>
      <c r="B38" s="14" t="s">
        <v>292</v>
      </c>
      <c r="C38" s="14" t="s">
        <v>293</v>
      </c>
      <c r="D38" s="14" t="s">
        <v>220</v>
      </c>
      <c r="E38" s="15">
        <v>2300</v>
      </c>
      <c r="F38" s="15">
        <v>1821</v>
      </c>
      <c r="G38" s="15">
        <v>52</v>
      </c>
      <c r="I38" s="17">
        <v>190</v>
      </c>
      <c r="J38">
        <v>501751</v>
      </c>
      <c r="K38">
        <v>64655</v>
      </c>
    </row>
    <row r="39" spans="1:11">
      <c r="A39" s="15">
        <v>12</v>
      </c>
      <c r="B39" s="14" t="s">
        <v>294</v>
      </c>
      <c r="C39" s="14" t="s">
        <v>295</v>
      </c>
      <c r="D39" s="14" t="s">
        <v>220</v>
      </c>
      <c r="E39" s="15">
        <v>18500</v>
      </c>
      <c r="F39" s="15">
        <v>1896</v>
      </c>
      <c r="G39" s="15">
        <v>52</v>
      </c>
      <c r="I39" s="17">
        <v>198</v>
      </c>
      <c r="J39">
        <v>56700</v>
      </c>
      <c r="K39">
        <v>6656</v>
      </c>
    </row>
    <row r="40" spans="1:11">
      <c r="A40" s="15">
        <v>12</v>
      </c>
      <c r="B40" s="14" t="s">
        <v>296</v>
      </c>
      <c r="C40" s="14" t="s">
        <v>297</v>
      </c>
      <c r="D40" s="14" t="s">
        <v>220</v>
      </c>
      <c r="E40" s="15">
        <v>22000</v>
      </c>
      <c r="F40" s="15">
        <v>2144</v>
      </c>
      <c r="G40" s="15">
        <v>52</v>
      </c>
      <c r="I40" s="17">
        <v>212</v>
      </c>
      <c r="J40">
        <v>9606</v>
      </c>
      <c r="K40">
        <v>1560</v>
      </c>
    </row>
    <row r="41" spans="1:11">
      <c r="A41" s="15">
        <v>12</v>
      </c>
      <c r="B41" s="14" t="s">
        <v>298</v>
      </c>
      <c r="C41" s="14" t="s">
        <v>299</v>
      </c>
      <c r="D41" s="14" t="s">
        <v>220</v>
      </c>
      <c r="E41" s="15">
        <v>12035</v>
      </c>
      <c r="F41" s="15">
        <v>1896</v>
      </c>
      <c r="G41" s="15">
        <v>52</v>
      </c>
      <c r="I41" s="17">
        <v>213</v>
      </c>
      <c r="J41">
        <v>1795</v>
      </c>
      <c r="K41">
        <v>1296</v>
      </c>
    </row>
    <row r="42" spans="1:11">
      <c r="A42" s="15">
        <v>12</v>
      </c>
      <c r="B42" s="14" t="s">
        <v>300</v>
      </c>
      <c r="C42" s="14" t="s">
        <v>301</v>
      </c>
      <c r="D42" s="14" t="s">
        <v>220</v>
      </c>
      <c r="E42" s="15">
        <v>8930</v>
      </c>
      <c r="F42" s="15">
        <v>2106</v>
      </c>
      <c r="G42" s="15">
        <v>52</v>
      </c>
      <c r="I42" s="17">
        <v>215</v>
      </c>
      <c r="J42">
        <v>9800</v>
      </c>
      <c r="K42">
        <v>2598</v>
      </c>
    </row>
    <row r="43" spans="1:11">
      <c r="A43" s="15">
        <v>12</v>
      </c>
      <c r="B43" s="14" t="s">
        <v>302</v>
      </c>
      <c r="C43" s="14" t="s">
        <v>303</v>
      </c>
      <c r="D43" s="14" t="s">
        <v>220</v>
      </c>
      <c r="E43" s="15">
        <v>9750</v>
      </c>
      <c r="F43" s="15">
        <v>2106</v>
      </c>
      <c r="G43" s="15">
        <v>52</v>
      </c>
      <c r="I43" s="17">
        <v>228</v>
      </c>
      <c r="J43">
        <v>29549</v>
      </c>
      <c r="K43">
        <v>6816</v>
      </c>
    </row>
    <row r="44" spans="1:11">
      <c r="A44" s="15">
        <v>12</v>
      </c>
      <c r="B44" s="14" t="s">
        <v>304</v>
      </c>
      <c r="C44" s="14" t="s">
        <v>305</v>
      </c>
      <c r="D44" s="14" t="s">
        <v>220</v>
      </c>
      <c r="E44" s="15">
        <v>21000</v>
      </c>
      <c r="F44" s="15">
        <v>2638</v>
      </c>
      <c r="G44" s="15">
        <v>52</v>
      </c>
      <c r="I44" s="17">
        <v>231</v>
      </c>
      <c r="J44">
        <v>1287</v>
      </c>
      <c r="K44">
        <v>1912</v>
      </c>
    </row>
    <row r="45" spans="1:11">
      <c r="A45" s="15">
        <v>12</v>
      </c>
      <c r="B45" s="14" t="s">
        <v>306</v>
      </c>
      <c r="C45" s="14" t="s">
        <v>307</v>
      </c>
      <c r="D45" s="14" t="s">
        <v>220</v>
      </c>
      <c r="E45" s="15">
        <v>3000</v>
      </c>
      <c r="F45" s="15">
        <v>2498</v>
      </c>
      <c r="G45" s="15">
        <v>52</v>
      </c>
      <c r="I45" s="17">
        <v>236</v>
      </c>
      <c r="J45">
        <v>12633</v>
      </c>
      <c r="K45">
        <v>4235</v>
      </c>
    </row>
    <row r="46" spans="1:11">
      <c r="A46" s="15">
        <v>12</v>
      </c>
      <c r="B46" s="14" t="s">
        <v>308</v>
      </c>
      <c r="C46" s="14" t="s">
        <v>309</v>
      </c>
      <c r="D46" s="14" t="s">
        <v>220</v>
      </c>
      <c r="E46" s="15">
        <v>20000</v>
      </c>
      <c r="F46" s="15">
        <v>2898</v>
      </c>
      <c r="G46" s="15">
        <v>52</v>
      </c>
      <c r="I46" s="17">
        <v>238</v>
      </c>
      <c r="J46">
        <v>500</v>
      </c>
      <c r="K46">
        <v>1005</v>
      </c>
    </row>
    <row r="47" spans="1:11">
      <c r="A47" s="15">
        <v>12</v>
      </c>
      <c r="B47" s="14" t="s">
        <v>310</v>
      </c>
      <c r="C47" s="14" t="s">
        <v>311</v>
      </c>
      <c r="D47" s="14" t="s">
        <v>220</v>
      </c>
      <c r="E47" s="15">
        <v>4000</v>
      </c>
      <c r="F47" s="15">
        <v>2122</v>
      </c>
      <c r="G47" s="15">
        <v>52</v>
      </c>
      <c r="I47" s="17">
        <v>240</v>
      </c>
      <c r="J47">
        <v>33482</v>
      </c>
      <c r="K47">
        <v>8181</v>
      </c>
    </row>
    <row r="48" spans="1:11">
      <c r="A48" s="15">
        <v>12</v>
      </c>
      <c r="B48" s="14" t="s">
        <v>312</v>
      </c>
      <c r="C48" s="14" t="s">
        <v>313</v>
      </c>
      <c r="D48" s="14" t="s">
        <v>220</v>
      </c>
      <c r="E48" s="15">
        <v>5000</v>
      </c>
      <c r="F48" s="15">
        <v>2107</v>
      </c>
      <c r="G48" s="15">
        <v>52</v>
      </c>
      <c r="I48" s="17">
        <v>254</v>
      </c>
      <c r="J48">
        <v>22000</v>
      </c>
      <c r="K48">
        <v>6644</v>
      </c>
    </row>
    <row r="49" spans="1:11">
      <c r="A49" s="15">
        <v>12</v>
      </c>
      <c r="B49" s="14" t="s">
        <v>314</v>
      </c>
      <c r="C49" s="14" t="s">
        <v>315</v>
      </c>
      <c r="D49" s="14" t="s">
        <v>220</v>
      </c>
      <c r="E49" s="15">
        <v>1600</v>
      </c>
      <c r="F49" s="15">
        <v>1829</v>
      </c>
      <c r="G49" s="15">
        <v>52</v>
      </c>
      <c r="I49" s="17">
        <v>256</v>
      </c>
      <c r="J49">
        <v>20000</v>
      </c>
      <c r="K49">
        <v>3136</v>
      </c>
    </row>
    <row r="50" spans="1:11">
      <c r="A50" s="15">
        <v>12</v>
      </c>
      <c r="B50" s="14" t="s">
        <v>316</v>
      </c>
      <c r="C50" s="14" t="s">
        <v>317</v>
      </c>
      <c r="D50" s="14" t="s">
        <v>220</v>
      </c>
      <c r="E50" s="15">
        <v>10000</v>
      </c>
      <c r="F50" s="15">
        <v>2295</v>
      </c>
      <c r="G50" s="15">
        <v>52</v>
      </c>
      <c r="I50" s="17">
        <v>262</v>
      </c>
      <c r="J50">
        <v>10000</v>
      </c>
      <c r="K50">
        <v>2730</v>
      </c>
    </row>
    <row r="51" spans="1:11">
      <c r="A51" s="15">
        <v>120</v>
      </c>
      <c r="B51" s="14" t="s">
        <v>318</v>
      </c>
      <c r="C51" s="14" t="s">
        <v>319</v>
      </c>
      <c r="D51" s="14" t="s">
        <v>220</v>
      </c>
      <c r="E51" s="15">
        <v>4034</v>
      </c>
      <c r="F51" s="15">
        <v>2376</v>
      </c>
      <c r="G51" s="15">
        <v>52</v>
      </c>
      <c r="I51" s="17">
        <v>264</v>
      </c>
      <c r="J51">
        <v>32956</v>
      </c>
      <c r="K51">
        <v>3000</v>
      </c>
    </row>
    <row r="52" spans="1:11">
      <c r="A52" s="15">
        <v>125</v>
      </c>
      <c r="B52" s="14" t="s">
        <v>320</v>
      </c>
      <c r="C52" s="14" t="s">
        <v>321</v>
      </c>
      <c r="D52" s="14" t="s">
        <v>220</v>
      </c>
      <c r="E52" s="15">
        <v>15126</v>
      </c>
      <c r="F52" s="15">
        <v>2496</v>
      </c>
      <c r="G52" s="15">
        <v>52</v>
      </c>
      <c r="I52" s="17">
        <v>266</v>
      </c>
      <c r="J52">
        <v>0</v>
      </c>
      <c r="K52">
        <v>212</v>
      </c>
    </row>
    <row r="53" spans="1:11">
      <c r="A53" s="15">
        <v>125</v>
      </c>
      <c r="B53" s="14" t="s">
        <v>322</v>
      </c>
      <c r="C53" s="14" t="s">
        <v>323</v>
      </c>
      <c r="D53" s="14" t="s">
        <v>220</v>
      </c>
      <c r="E53" s="15">
        <v>15000</v>
      </c>
      <c r="F53" s="15">
        <v>2496</v>
      </c>
      <c r="G53" s="15">
        <v>52</v>
      </c>
      <c r="I53" s="17">
        <v>269</v>
      </c>
      <c r="J53">
        <v>2510</v>
      </c>
      <c r="K53">
        <v>3123</v>
      </c>
    </row>
    <row r="54" spans="1:11">
      <c r="A54" s="15">
        <v>125</v>
      </c>
      <c r="B54" s="14" t="s">
        <v>324</v>
      </c>
      <c r="C54" s="14" t="s">
        <v>325</v>
      </c>
      <c r="D54" s="14" t="s">
        <v>220</v>
      </c>
      <c r="E54" s="15">
        <v>9700</v>
      </c>
      <c r="F54" s="15">
        <v>2496</v>
      </c>
      <c r="G54" s="15">
        <v>52</v>
      </c>
      <c r="I54" s="17">
        <v>283</v>
      </c>
      <c r="J54">
        <v>805</v>
      </c>
      <c r="K54">
        <v>1000</v>
      </c>
    </row>
    <row r="55" spans="1:11">
      <c r="A55" s="15">
        <v>125</v>
      </c>
      <c r="B55" s="14" t="s">
        <v>326</v>
      </c>
      <c r="C55" s="14" t="s">
        <v>327</v>
      </c>
      <c r="D55" s="14" t="s">
        <v>220</v>
      </c>
      <c r="E55" s="15">
        <v>8107</v>
      </c>
      <c r="F55" s="15">
        <v>2496</v>
      </c>
      <c r="G55" s="15">
        <v>52</v>
      </c>
      <c r="I55" s="17">
        <v>284</v>
      </c>
      <c r="J55">
        <v>736</v>
      </c>
      <c r="K55">
        <v>1378</v>
      </c>
    </row>
    <row r="56" spans="1:11">
      <c r="A56" s="15">
        <v>125</v>
      </c>
      <c r="B56" s="14" t="s">
        <v>328</v>
      </c>
      <c r="C56" s="14" t="s">
        <v>329</v>
      </c>
      <c r="D56" s="14" t="s">
        <v>220</v>
      </c>
      <c r="E56" s="15">
        <v>15500</v>
      </c>
      <c r="F56" s="15">
        <v>2496</v>
      </c>
      <c r="G56" s="15">
        <v>52</v>
      </c>
      <c r="I56" s="17">
        <v>295</v>
      </c>
      <c r="J56">
        <v>1099</v>
      </c>
      <c r="K56">
        <v>1030</v>
      </c>
    </row>
    <row r="57" spans="1:11">
      <c r="A57" s="15">
        <v>125</v>
      </c>
      <c r="B57" s="14" t="s">
        <v>330</v>
      </c>
      <c r="C57" s="14" t="s">
        <v>331</v>
      </c>
      <c r="D57" s="14" t="s">
        <v>227</v>
      </c>
      <c r="E57" s="15">
        <v>312</v>
      </c>
      <c r="F57" s="15">
        <v>891</v>
      </c>
      <c r="G57" s="15">
        <v>52</v>
      </c>
      <c r="I57" s="17">
        <v>298</v>
      </c>
      <c r="J57">
        <v>5644</v>
      </c>
      <c r="K57">
        <v>2856</v>
      </c>
    </row>
    <row r="58" spans="1:11">
      <c r="A58" s="15">
        <v>125</v>
      </c>
      <c r="B58" s="14" t="s">
        <v>332</v>
      </c>
      <c r="C58" s="14" t="s">
        <v>333</v>
      </c>
      <c r="D58" s="14" t="s">
        <v>220</v>
      </c>
      <c r="E58" s="15">
        <v>10000</v>
      </c>
      <c r="F58" s="15">
        <v>2496</v>
      </c>
      <c r="G58" s="15">
        <v>52</v>
      </c>
      <c r="I58" s="17">
        <v>300</v>
      </c>
      <c r="J58">
        <v>10300</v>
      </c>
      <c r="K58">
        <v>2416</v>
      </c>
    </row>
    <row r="59" spans="1:11">
      <c r="A59" s="15">
        <v>125</v>
      </c>
      <c r="B59" s="14" t="s">
        <v>334</v>
      </c>
      <c r="C59" s="14" t="s">
        <v>335</v>
      </c>
      <c r="D59" s="14" t="s">
        <v>220</v>
      </c>
      <c r="E59" s="15">
        <v>10358</v>
      </c>
      <c r="F59" s="15">
        <v>3402</v>
      </c>
      <c r="G59" s="15">
        <v>49</v>
      </c>
      <c r="I59" s="17">
        <v>311</v>
      </c>
      <c r="J59">
        <v>120000</v>
      </c>
      <c r="K59">
        <v>13562</v>
      </c>
    </row>
    <row r="60" spans="1:11">
      <c r="A60" s="15">
        <v>125</v>
      </c>
      <c r="B60" s="14" t="s">
        <v>336</v>
      </c>
      <c r="C60" s="14" t="s">
        <v>337</v>
      </c>
      <c r="D60" s="14" t="s">
        <v>220</v>
      </c>
      <c r="E60" s="15">
        <v>22000</v>
      </c>
      <c r="F60" s="15">
        <v>2496</v>
      </c>
      <c r="G60" s="15">
        <v>52</v>
      </c>
      <c r="I60" s="17">
        <v>315</v>
      </c>
      <c r="J60">
        <v>500</v>
      </c>
      <c r="K60">
        <v>877</v>
      </c>
    </row>
    <row r="61" spans="1:11">
      <c r="A61" s="15">
        <v>125</v>
      </c>
      <c r="B61" s="14" t="s">
        <v>338</v>
      </c>
      <c r="C61" s="14" t="s">
        <v>339</v>
      </c>
      <c r="D61" s="14" t="s">
        <v>220</v>
      </c>
      <c r="E61" s="15">
        <v>24665</v>
      </c>
      <c r="F61" s="15">
        <v>2496</v>
      </c>
      <c r="G61" s="15">
        <v>52</v>
      </c>
      <c r="I61" s="17">
        <v>316</v>
      </c>
      <c r="J61">
        <v>13213</v>
      </c>
      <c r="K61">
        <v>4601</v>
      </c>
    </row>
    <row r="62" spans="1:11">
      <c r="A62" s="15">
        <v>125</v>
      </c>
      <c r="B62" s="14" t="s">
        <v>340</v>
      </c>
      <c r="C62" s="14" t="s">
        <v>341</v>
      </c>
      <c r="D62" s="14" t="s">
        <v>220</v>
      </c>
      <c r="E62" s="15">
        <v>9200</v>
      </c>
      <c r="F62" s="15">
        <v>2496</v>
      </c>
      <c r="G62" s="15">
        <v>52</v>
      </c>
      <c r="I62" s="17">
        <v>324</v>
      </c>
      <c r="J62">
        <v>888</v>
      </c>
      <c r="K62">
        <v>714</v>
      </c>
    </row>
    <row r="63" spans="1:11">
      <c r="A63" s="15">
        <v>125</v>
      </c>
      <c r="B63" s="14" t="s">
        <v>342</v>
      </c>
      <c r="C63" s="14" t="s">
        <v>343</v>
      </c>
      <c r="D63" s="14" t="s">
        <v>220</v>
      </c>
      <c r="E63" s="15">
        <v>12352</v>
      </c>
      <c r="F63" s="15">
        <v>2496</v>
      </c>
      <c r="G63" s="15">
        <v>52</v>
      </c>
      <c r="I63" s="17">
        <v>329</v>
      </c>
      <c r="J63">
        <v>278097</v>
      </c>
      <c r="K63">
        <v>27544</v>
      </c>
    </row>
    <row r="64" spans="1:11">
      <c r="A64" s="15">
        <v>125</v>
      </c>
      <c r="B64" s="14" t="s">
        <v>344</v>
      </c>
      <c r="C64" s="14" t="s">
        <v>345</v>
      </c>
      <c r="D64" s="14" t="s">
        <v>220</v>
      </c>
      <c r="E64" s="15">
        <v>20200</v>
      </c>
      <c r="F64" s="15">
        <v>2496</v>
      </c>
      <c r="G64" s="15">
        <v>52</v>
      </c>
      <c r="I64" s="17">
        <v>334</v>
      </c>
      <c r="J64">
        <v>1424</v>
      </c>
      <c r="K64">
        <v>917</v>
      </c>
    </row>
    <row r="65" spans="1:11">
      <c r="A65" s="15">
        <v>139</v>
      </c>
      <c r="B65" s="14" t="s">
        <v>346</v>
      </c>
      <c r="C65" s="14" t="s">
        <v>347</v>
      </c>
      <c r="D65" s="14" t="s">
        <v>220</v>
      </c>
      <c r="E65" s="15">
        <v>2100</v>
      </c>
      <c r="F65" s="15">
        <v>2080</v>
      </c>
      <c r="G65" s="15">
        <v>52</v>
      </c>
      <c r="I65" s="17">
        <v>343</v>
      </c>
      <c r="J65">
        <v>7776</v>
      </c>
      <c r="K65">
        <v>3616</v>
      </c>
    </row>
    <row r="66" spans="1:11">
      <c r="A66" s="15">
        <v>139</v>
      </c>
      <c r="B66" s="14" t="s">
        <v>348</v>
      </c>
      <c r="C66" s="14" t="s">
        <v>349</v>
      </c>
      <c r="D66" s="14" t="s">
        <v>220</v>
      </c>
      <c r="E66" s="15">
        <v>103</v>
      </c>
      <c r="F66" s="15">
        <v>1040</v>
      </c>
      <c r="G66" s="15">
        <v>52</v>
      </c>
      <c r="I66" s="17">
        <v>344</v>
      </c>
      <c r="J66">
        <v>324951</v>
      </c>
      <c r="K66">
        <v>75358</v>
      </c>
    </row>
    <row r="67" spans="1:11">
      <c r="A67" s="15">
        <v>140</v>
      </c>
      <c r="B67" s="14" t="s">
        <v>350</v>
      </c>
      <c r="C67" s="14" t="s">
        <v>351</v>
      </c>
      <c r="D67" s="14" t="s">
        <v>220</v>
      </c>
      <c r="E67" s="15">
        <v>2950</v>
      </c>
      <c r="F67" s="15">
        <v>988</v>
      </c>
      <c r="G67" s="15">
        <v>52</v>
      </c>
      <c r="I67" s="17">
        <v>357</v>
      </c>
      <c r="J67">
        <v>890</v>
      </c>
      <c r="K67">
        <v>1946</v>
      </c>
    </row>
    <row r="68" spans="1:11">
      <c r="A68" s="15">
        <v>143</v>
      </c>
      <c r="B68" s="14" t="s">
        <v>352</v>
      </c>
      <c r="C68" s="14" t="s">
        <v>353</v>
      </c>
      <c r="D68" s="14" t="s">
        <v>220</v>
      </c>
      <c r="E68" s="15">
        <v>7527</v>
      </c>
      <c r="F68" s="15">
        <v>2032</v>
      </c>
      <c r="G68" s="15">
        <v>52</v>
      </c>
      <c r="I68" s="17">
        <v>384</v>
      </c>
      <c r="J68">
        <v>0</v>
      </c>
      <c r="K68">
        <v>420</v>
      </c>
    </row>
    <row r="69" spans="1:11">
      <c r="A69" s="15">
        <v>143</v>
      </c>
      <c r="B69" s="14" t="s">
        <v>354</v>
      </c>
      <c r="C69" s="14" t="s">
        <v>355</v>
      </c>
      <c r="D69" s="14" t="s">
        <v>220</v>
      </c>
      <c r="E69" s="15">
        <v>5045</v>
      </c>
      <c r="F69" s="15">
        <v>2016</v>
      </c>
      <c r="G69" s="15">
        <v>52</v>
      </c>
      <c r="I69" s="17">
        <v>398</v>
      </c>
      <c r="J69">
        <v>50493</v>
      </c>
      <c r="K69">
        <v>8046</v>
      </c>
    </row>
    <row r="70" spans="1:11">
      <c r="A70" s="15">
        <v>143</v>
      </c>
      <c r="B70" s="14" t="s">
        <v>356</v>
      </c>
      <c r="C70" s="14" t="s">
        <v>357</v>
      </c>
      <c r="D70" s="14" t="s">
        <v>220</v>
      </c>
      <c r="E70" s="15">
        <v>7072</v>
      </c>
      <c r="F70" s="15">
        <v>2016</v>
      </c>
      <c r="G70" s="15">
        <v>52</v>
      </c>
      <c r="I70" s="17">
        <v>400</v>
      </c>
      <c r="J70">
        <v>3325</v>
      </c>
      <c r="K70">
        <v>2974</v>
      </c>
    </row>
    <row r="71" spans="1:11">
      <c r="A71" s="15">
        <v>143</v>
      </c>
      <c r="B71" s="14" t="s">
        <v>358</v>
      </c>
      <c r="C71" s="14" t="s">
        <v>359</v>
      </c>
      <c r="D71" s="14" t="s">
        <v>220</v>
      </c>
      <c r="E71" s="15">
        <v>9585</v>
      </c>
      <c r="F71" s="15">
        <v>2016</v>
      </c>
      <c r="G71" s="15">
        <v>43</v>
      </c>
      <c r="I71" s="17">
        <v>408</v>
      </c>
      <c r="J71">
        <v>20976</v>
      </c>
      <c r="K71">
        <v>4152</v>
      </c>
    </row>
    <row r="72" spans="1:11">
      <c r="A72" s="15">
        <v>143</v>
      </c>
      <c r="B72" s="14" t="s">
        <v>360</v>
      </c>
      <c r="C72" s="14" t="s">
        <v>361</v>
      </c>
      <c r="D72" s="14" t="s">
        <v>220</v>
      </c>
      <c r="E72" s="15">
        <v>6313</v>
      </c>
      <c r="F72" s="15">
        <v>2016</v>
      </c>
      <c r="G72" s="15">
        <v>52</v>
      </c>
      <c r="I72" s="17">
        <v>432</v>
      </c>
      <c r="J72">
        <v>1680</v>
      </c>
      <c r="K72">
        <v>332</v>
      </c>
    </row>
    <row r="73" spans="1:11">
      <c r="A73" s="15">
        <v>143</v>
      </c>
      <c r="B73" s="14" t="s">
        <v>362</v>
      </c>
      <c r="C73" s="14" t="s">
        <v>363</v>
      </c>
      <c r="D73" s="14" t="s">
        <v>220</v>
      </c>
      <c r="E73" s="15">
        <v>6834</v>
      </c>
      <c r="F73" s="15">
        <v>2032</v>
      </c>
      <c r="G73" s="15">
        <v>52</v>
      </c>
      <c r="I73" s="17">
        <v>452</v>
      </c>
      <c r="J73">
        <v>14229</v>
      </c>
      <c r="K73">
        <v>2834</v>
      </c>
    </row>
    <row r="74" spans="1:11">
      <c r="A74" s="15">
        <v>143</v>
      </c>
      <c r="B74" s="14" t="s">
        <v>364</v>
      </c>
      <c r="C74" s="14" t="s">
        <v>365</v>
      </c>
      <c r="D74" s="14" t="s">
        <v>220</v>
      </c>
      <c r="E74" s="15">
        <v>13445</v>
      </c>
      <c r="F74" s="15">
        <v>2016</v>
      </c>
      <c r="G74" s="15">
        <v>52</v>
      </c>
      <c r="I74" s="17">
        <v>502</v>
      </c>
      <c r="J74">
        <v>3581</v>
      </c>
      <c r="K74">
        <v>1932</v>
      </c>
    </row>
    <row r="75" spans="1:11">
      <c r="A75" s="15">
        <v>143</v>
      </c>
      <c r="B75" s="14" t="s">
        <v>366</v>
      </c>
      <c r="C75" s="14" t="s">
        <v>367</v>
      </c>
      <c r="D75" s="14" t="s">
        <v>220</v>
      </c>
      <c r="E75" s="15">
        <v>25661</v>
      </c>
      <c r="F75" s="15">
        <v>2032</v>
      </c>
      <c r="G75" s="15">
        <v>52</v>
      </c>
      <c r="I75" s="17">
        <v>517</v>
      </c>
      <c r="J75">
        <v>3000</v>
      </c>
      <c r="K75">
        <v>2930</v>
      </c>
    </row>
    <row r="76" spans="1:11">
      <c r="A76" s="15">
        <v>143</v>
      </c>
      <c r="B76" s="14" t="s">
        <v>368</v>
      </c>
      <c r="C76" s="14" t="s">
        <v>369</v>
      </c>
      <c r="D76" s="14" t="s">
        <v>220</v>
      </c>
      <c r="E76" s="15">
        <v>4962</v>
      </c>
      <c r="F76" s="15">
        <v>2016</v>
      </c>
      <c r="G76" s="15">
        <v>52</v>
      </c>
      <c r="I76" s="17">
        <v>552</v>
      </c>
      <c r="J76">
        <v>1468</v>
      </c>
      <c r="K76">
        <v>2193</v>
      </c>
    </row>
    <row r="77" spans="1:11">
      <c r="A77" s="15">
        <v>143</v>
      </c>
      <c r="B77" s="14" t="s">
        <v>370</v>
      </c>
      <c r="C77" s="14" t="s">
        <v>371</v>
      </c>
      <c r="D77" s="14" t="s">
        <v>220</v>
      </c>
      <c r="E77" s="15">
        <v>8121</v>
      </c>
      <c r="F77" s="15">
        <v>2032</v>
      </c>
      <c r="G77" s="15">
        <v>52</v>
      </c>
      <c r="I77" s="17">
        <v>649</v>
      </c>
      <c r="J77">
        <v>170</v>
      </c>
      <c r="K77">
        <v>800</v>
      </c>
    </row>
    <row r="78" spans="1:11">
      <c r="A78" s="15">
        <v>143</v>
      </c>
      <c r="B78" s="14" t="s">
        <v>372</v>
      </c>
      <c r="C78" s="14" t="s">
        <v>373</v>
      </c>
      <c r="D78" s="14" t="s">
        <v>220</v>
      </c>
      <c r="E78" s="15">
        <v>915</v>
      </c>
      <c r="F78" s="15">
        <v>2286</v>
      </c>
      <c r="G78" s="15">
        <v>52</v>
      </c>
      <c r="I78" s="17" t="s">
        <v>881</v>
      </c>
      <c r="J78">
        <v>4053067</v>
      </c>
      <c r="K78">
        <v>721873</v>
      </c>
    </row>
    <row r="79" spans="1:11">
      <c r="A79" s="15">
        <v>143</v>
      </c>
      <c r="B79" s="14" t="s">
        <v>374</v>
      </c>
      <c r="C79" s="14" t="s">
        <v>375</v>
      </c>
      <c r="D79" s="14" t="s">
        <v>220</v>
      </c>
      <c r="E79" s="15">
        <v>23990</v>
      </c>
      <c r="F79" s="15">
        <v>2032</v>
      </c>
      <c r="G79" s="15">
        <v>52</v>
      </c>
    </row>
    <row r="80" spans="1:11">
      <c r="A80" s="15">
        <v>143</v>
      </c>
      <c r="B80" s="14" t="s">
        <v>376</v>
      </c>
      <c r="C80" s="14" t="s">
        <v>377</v>
      </c>
      <c r="D80" s="14" t="s">
        <v>220</v>
      </c>
      <c r="E80" s="15">
        <v>1400</v>
      </c>
      <c r="F80" s="15">
        <v>2286</v>
      </c>
      <c r="G80" s="15">
        <v>52</v>
      </c>
    </row>
    <row r="81" spans="1:7">
      <c r="A81" s="15">
        <v>143</v>
      </c>
      <c r="B81" s="14" t="s">
        <v>378</v>
      </c>
      <c r="C81" s="14" t="s">
        <v>379</v>
      </c>
      <c r="D81" s="14" t="s">
        <v>220</v>
      </c>
      <c r="E81" s="15">
        <v>11068</v>
      </c>
      <c r="F81" s="15">
        <v>2032</v>
      </c>
      <c r="G81" s="15">
        <v>52</v>
      </c>
    </row>
    <row r="82" spans="1:7">
      <c r="A82" s="15">
        <v>143</v>
      </c>
      <c r="B82" s="14" t="s">
        <v>380</v>
      </c>
      <c r="C82" s="14" t="s">
        <v>381</v>
      </c>
      <c r="D82" s="14" t="s">
        <v>220</v>
      </c>
      <c r="E82" s="15">
        <v>13038</v>
      </c>
      <c r="F82" s="15">
        <v>2016</v>
      </c>
      <c r="G82" s="15">
        <v>52</v>
      </c>
    </row>
    <row r="83" spans="1:7">
      <c r="A83" s="15">
        <v>150</v>
      </c>
      <c r="B83" s="14" t="s">
        <v>382</v>
      </c>
      <c r="C83" s="14" t="s">
        <v>383</v>
      </c>
      <c r="D83" s="14" t="s">
        <v>220</v>
      </c>
      <c r="E83" s="15">
        <v>8000</v>
      </c>
      <c r="F83" s="15">
        <v>2064</v>
      </c>
      <c r="G83" s="15">
        <v>52</v>
      </c>
    </row>
    <row r="84" spans="1:7">
      <c r="A84" s="15">
        <v>150</v>
      </c>
      <c r="B84" s="14" t="s">
        <v>384</v>
      </c>
      <c r="C84" s="14" t="s">
        <v>385</v>
      </c>
      <c r="D84" s="14" t="s">
        <v>220</v>
      </c>
      <c r="E84" s="15">
        <v>16500</v>
      </c>
      <c r="F84" s="15">
        <v>2064</v>
      </c>
      <c r="G84" s="15">
        <v>52</v>
      </c>
    </row>
    <row r="85" spans="1:7">
      <c r="A85" s="15">
        <v>150</v>
      </c>
      <c r="B85" s="14" t="s">
        <v>386</v>
      </c>
      <c r="C85" s="14" t="s">
        <v>387</v>
      </c>
      <c r="D85" s="14" t="s">
        <v>220</v>
      </c>
      <c r="E85" s="15">
        <v>36920</v>
      </c>
      <c r="F85" s="15">
        <v>2064</v>
      </c>
      <c r="G85" s="15">
        <v>52</v>
      </c>
    </row>
    <row r="86" spans="1:7">
      <c r="A86" s="15">
        <v>153</v>
      </c>
      <c r="B86" s="14" t="s">
        <v>388</v>
      </c>
      <c r="C86" s="14" t="s">
        <v>389</v>
      </c>
      <c r="D86" s="14" t="s">
        <v>220</v>
      </c>
      <c r="E86" s="15">
        <v>2064</v>
      </c>
      <c r="F86" s="15">
        <v>1651</v>
      </c>
      <c r="G86" s="15">
        <v>52</v>
      </c>
    </row>
    <row r="87" spans="1:7">
      <c r="A87" s="15">
        <v>154</v>
      </c>
      <c r="B87" s="14" t="s">
        <v>390</v>
      </c>
      <c r="C87" s="14" t="s">
        <v>391</v>
      </c>
      <c r="D87" s="14" t="s">
        <v>227</v>
      </c>
      <c r="E87" s="15">
        <v>135</v>
      </c>
      <c r="F87" s="15">
        <v>624</v>
      </c>
      <c r="G87" s="15">
        <v>49</v>
      </c>
    </row>
    <row r="88" spans="1:7">
      <c r="A88" s="15">
        <v>16</v>
      </c>
      <c r="B88" s="14" t="s">
        <v>392</v>
      </c>
      <c r="C88" s="14" t="s">
        <v>393</v>
      </c>
      <c r="D88" s="14" t="s">
        <v>220</v>
      </c>
      <c r="E88" s="15">
        <v>10000</v>
      </c>
      <c r="F88" s="15">
        <v>2808</v>
      </c>
      <c r="G88" s="15">
        <v>52</v>
      </c>
    </row>
    <row r="89" spans="1:7">
      <c r="A89" s="15">
        <v>16</v>
      </c>
      <c r="B89" s="14" t="s">
        <v>394</v>
      </c>
      <c r="C89" s="14" t="s">
        <v>395</v>
      </c>
      <c r="D89" s="14" t="s">
        <v>220</v>
      </c>
      <c r="E89" s="15">
        <v>10000</v>
      </c>
      <c r="F89" s="15">
        <v>2808</v>
      </c>
      <c r="G89" s="15">
        <v>52</v>
      </c>
    </row>
    <row r="90" spans="1:7">
      <c r="A90" s="15">
        <v>16</v>
      </c>
      <c r="B90" s="14" t="s">
        <v>396</v>
      </c>
      <c r="C90" s="14" t="s">
        <v>397</v>
      </c>
      <c r="D90" s="14" t="s">
        <v>220</v>
      </c>
      <c r="E90" s="15">
        <v>8100</v>
      </c>
      <c r="F90" s="15">
        <v>2808</v>
      </c>
      <c r="G90" s="15">
        <v>52</v>
      </c>
    </row>
    <row r="91" spans="1:7">
      <c r="A91" s="15">
        <v>16</v>
      </c>
      <c r="B91" s="14" t="s">
        <v>398</v>
      </c>
      <c r="C91" s="14" t="s">
        <v>399</v>
      </c>
      <c r="D91" s="14" t="s">
        <v>220</v>
      </c>
      <c r="E91" s="15">
        <v>10000</v>
      </c>
      <c r="F91" s="15">
        <v>2808</v>
      </c>
      <c r="G91" s="15">
        <v>52</v>
      </c>
    </row>
    <row r="92" spans="1:7">
      <c r="A92" s="15">
        <v>16</v>
      </c>
      <c r="B92" s="14" t="s">
        <v>400</v>
      </c>
      <c r="C92" s="14" t="s">
        <v>401</v>
      </c>
      <c r="D92" s="14" t="s">
        <v>220</v>
      </c>
      <c r="E92" s="15">
        <v>15000</v>
      </c>
      <c r="F92" s="15">
        <v>2840</v>
      </c>
      <c r="G92" s="15">
        <v>52</v>
      </c>
    </row>
    <row r="93" spans="1:7">
      <c r="A93" s="15">
        <v>16</v>
      </c>
      <c r="B93" s="14" t="s">
        <v>402</v>
      </c>
      <c r="C93" s="14" t="s">
        <v>403</v>
      </c>
      <c r="D93" s="14" t="s">
        <v>220</v>
      </c>
      <c r="E93" s="15">
        <v>11200</v>
      </c>
      <c r="F93" s="15">
        <v>2808</v>
      </c>
      <c r="G93" s="15">
        <v>52</v>
      </c>
    </row>
    <row r="94" spans="1:7">
      <c r="A94" s="15">
        <v>162</v>
      </c>
      <c r="B94" s="14" t="s">
        <v>404</v>
      </c>
      <c r="C94" s="14" t="s">
        <v>405</v>
      </c>
      <c r="D94" s="14" t="s">
        <v>220</v>
      </c>
      <c r="E94" s="15">
        <v>10000</v>
      </c>
      <c r="F94" s="15">
        <v>2316</v>
      </c>
      <c r="G94" s="15">
        <v>52</v>
      </c>
    </row>
    <row r="95" spans="1:7">
      <c r="A95" s="15">
        <v>162</v>
      </c>
      <c r="B95" s="14" t="s">
        <v>406</v>
      </c>
      <c r="C95" s="14" t="s">
        <v>407</v>
      </c>
      <c r="D95" s="14" t="s">
        <v>220</v>
      </c>
      <c r="E95" s="15">
        <v>2760</v>
      </c>
      <c r="F95" s="15">
        <v>2028</v>
      </c>
      <c r="G95" s="15">
        <v>52</v>
      </c>
    </row>
    <row r="96" spans="1:7">
      <c r="A96" s="15">
        <v>180</v>
      </c>
      <c r="B96" s="14" t="s">
        <v>408</v>
      </c>
      <c r="C96" s="14" t="s">
        <v>409</v>
      </c>
      <c r="D96" s="14" t="s">
        <v>220</v>
      </c>
      <c r="E96" s="15">
        <v>4400</v>
      </c>
      <c r="F96" s="15">
        <v>2288</v>
      </c>
      <c r="G96" s="15">
        <v>52</v>
      </c>
    </row>
    <row r="97" spans="1:7">
      <c r="A97" s="15">
        <v>181</v>
      </c>
      <c r="B97" s="14" t="s">
        <v>410</v>
      </c>
      <c r="C97" s="14" t="s">
        <v>411</v>
      </c>
      <c r="D97" s="14" t="s">
        <v>220</v>
      </c>
      <c r="E97" s="15">
        <v>1910</v>
      </c>
      <c r="F97" s="15">
        <v>2158</v>
      </c>
      <c r="G97" s="15">
        <v>52</v>
      </c>
    </row>
    <row r="98" spans="1:7">
      <c r="A98" s="15">
        <v>181</v>
      </c>
      <c r="B98" s="14" t="s">
        <v>412</v>
      </c>
      <c r="C98" s="14" t="s">
        <v>413</v>
      </c>
      <c r="D98" s="14" t="s">
        <v>220</v>
      </c>
      <c r="E98" s="15">
        <v>11383</v>
      </c>
      <c r="F98" s="15">
        <v>2158</v>
      </c>
      <c r="G98" s="15">
        <v>52</v>
      </c>
    </row>
    <row r="99" spans="1:7">
      <c r="A99" s="15">
        <v>181</v>
      </c>
      <c r="B99" s="14" t="s">
        <v>414</v>
      </c>
      <c r="C99" s="14" t="s">
        <v>415</v>
      </c>
      <c r="D99" s="14" t="s">
        <v>220</v>
      </c>
      <c r="E99" s="15">
        <v>3206</v>
      </c>
      <c r="F99" s="15">
        <v>2158</v>
      </c>
      <c r="G99" s="15">
        <v>52</v>
      </c>
    </row>
    <row r="100" spans="1:7">
      <c r="A100" s="15">
        <v>181</v>
      </c>
      <c r="B100" s="14" t="s">
        <v>416</v>
      </c>
      <c r="C100" s="14" t="s">
        <v>417</v>
      </c>
      <c r="D100" s="14" t="s">
        <v>220</v>
      </c>
      <c r="E100" s="15">
        <v>20774</v>
      </c>
      <c r="F100" s="15">
        <v>2483</v>
      </c>
      <c r="G100" s="15">
        <v>52</v>
      </c>
    </row>
    <row r="101" spans="1:7">
      <c r="A101" s="15">
        <v>189</v>
      </c>
      <c r="B101" s="14" t="s">
        <v>418</v>
      </c>
      <c r="C101" s="14" t="s">
        <v>419</v>
      </c>
      <c r="D101" s="14" t="s">
        <v>220</v>
      </c>
      <c r="E101" s="15">
        <v>8720</v>
      </c>
      <c r="F101" s="15">
        <v>1976</v>
      </c>
      <c r="G101" s="15">
        <v>50</v>
      </c>
    </row>
    <row r="102" spans="1:7">
      <c r="A102" s="15">
        <v>189</v>
      </c>
      <c r="B102" s="14" t="s">
        <v>420</v>
      </c>
      <c r="C102" s="14" t="s">
        <v>421</v>
      </c>
      <c r="D102" s="14" t="s">
        <v>220</v>
      </c>
      <c r="E102" s="15">
        <v>19620</v>
      </c>
      <c r="F102" s="15">
        <v>2129</v>
      </c>
      <c r="G102" s="15">
        <v>50</v>
      </c>
    </row>
    <row r="103" spans="1:7">
      <c r="A103" s="15">
        <v>189</v>
      </c>
      <c r="B103" s="14" t="s">
        <v>422</v>
      </c>
      <c r="C103" s="14" t="s">
        <v>423</v>
      </c>
      <c r="D103" s="14" t="s">
        <v>220</v>
      </c>
      <c r="E103" s="15">
        <v>12000</v>
      </c>
      <c r="F103" s="15">
        <v>1763</v>
      </c>
      <c r="G103" s="15">
        <v>50</v>
      </c>
    </row>
    <row r="104" spans="1:7">
      <c r="A104" s="15">
        <v>189</v>
      </c>
      <c r="B104" s="14" t="s">
        <v>424</v>
      </c>
      <c r="C104" s="14" t="s">
        <v>425</v>
      </c>
      <c r="D104" s="14" t="s">
        <v>220</v>
      </c>
      <c r="E104" s="15">
        <v>19620</v>
      </c>
      <c r="F104" s="15">
        <v>2855</v>
      </c>
      <c r="G104" s="15">
        <v>50</v>
      </c>
    </row>
    <row r="105" spans="1:7">
      <c r="A105" s="15">
        <v>189</v>
      </c>
      <c r="B105" s="14" t="s">
        <v>426</v>
      </c>
      <c r="C105" s="14" t="s">
        <v>427</v>
      </c>
      <c r="D105" s="14" t="s">
        <v>220</v>
      </c>
      <c r="E105" s="15">
        <v>17440</v>
      </c>
      <c r="F105" s="15">
        <v>2021</v>
      </c>
      <c r="G105" s="15">
        <v>50</v>
      </c>
    </row>
    <row r="106" spans="1:7">
      <c r="A106" s="15">
        <v>189</v>
      </c>
      <c r="B106" s="14" t="s">
        <v>428</v>
      </c>
      <c r="C106" s="14" t="s">
        <v>429</v>
      </c>
      <c r="D106" s="14" t="s">
        <v>220</v>
      </c>
      <c r="E106" s="15">
        <v>34936</v>
      </c>
      <c r="F106" s="15">
        <v>2017</v>
      </c>
      <c r="G106" s="15">
        <v>50</v>
      </c>
    </row>
    <row r="107" spans="1:7">
      <c r="A107" s="15">
        <v>189</v>
      </c>
      <c r="B107" s="14" t="s">
        <v>430</v>
      </c>
      <c r="C107" s="14" t="s">
        <v>431</v>
      </c>
      <c r="D107" s="14" t="s">
        <v>220</v>
      </c>
      <c r="E107" s="15">
        <v>3270</v>
      </c>
      <c r="F107" s="15">
        <v>1767</v>
      </c>
      <c r="G107" s="15">
        <v>50</v>
      </c>
    </row>
    <row r="108" spans="1:7">
      <c r="A108" s="15">
        <v>189</v>
      </c>
      <c r="B108" s="14" t="s">
        <v>432</v>
      </c>
      <c r="C108" s="14" t="s">
        <v>433</v>
      </c>
      <c r="D108" s="14" t="s">
        <v>220</v>
      </c>
      <c r="E108" s="15">
        <v>551</v>
      </c>
      <c r="F108" s="15">
        <v>945</v>
      </c>
      <c r="G108" s="15">
        <v>50</v>
      </c>
    </row>
    <row r="109" spans="1:7">
      <c r="A109" s="15">
        <v>189</v>
      </c>
      <c r="B109" s="14" t="s">
        <v>434</v>
      </c>
      <c r="C109" s="14" t="s">
        <v>435</v>
      </c>
      <c r="D109" s="14" t="s">
        <v>220</v>
      </c>
      <c r="E109" s="15">
        <v>9265</v>
      </c>
      <c r="F109" s="15">
        <v>1740</v>
      </c>
      <c r="G109" s="15">
        <v>50</v>
      </c>
    </row>
    <row r="110" spans="1:7">
      <c r="A110" s="15">
        <v>189</v>
      </c>
      <c r="B110" s="14" t="s">
        <v>436</v>
      </c>
      <c r="C110" s="14" t="s">
        <v>437</v>
      </c>
      <c r="D110" s="14" t="s">
        <v>220</v>
      </c>
      <c r="E110" s="15">
        <v>9040</v>
      </c>
      <c r="F110" s="15">
        <v>1516</v>
      </c>
      <c r="G110" s="15">
        <v>50</v>
      </c>
    </row>
    <row r="111" spans="1:7">
      <c r="A111" s="15">
        <v>189</v>
      </c>
      <c r="B111" s="14" t="s">
        <v>438</v>
      </c>
      <c r="C111" s="14" t="s">
        <v>439</v>
      </c>
      <c r="D111" s="14" t="s">
        <v>220</v>
      </c>
      <c r="E111" s="15">
        <v>15260</v>
      </c>
      <c r="F111" s="15">
        <v>2157</v>
      </c>
      <c r="G111" s="15">
        <v>50</v>
      </c>
    </row>
    <row r="112" spans="1:7">
      <c r="A112" s="15">
        <v>189</v>
      </c>
      <c r="B112" s="14" t="s">
        <v>440</v>
      </c>
      <c r="C112" s="14" t="s">
        <v>441</v>
      </c>
      <c r="D112" s="14" t="s">
        <v>220</v>
      </c>
      <c r="E112" s="15">
        <v>10900</v>
      </c>
      <c r="F112" s="15">
        <v>1375</v>
      </c>
      <c r="G112" s="15">
        <v>50</v>
      </c>
    </row>
    <row r="113" spans="1:7">
      <c r="A113" s="15">
        <v>189</v>
      </c>
      <c r="B113" s="14" t="s">
        <v>442</v>
      </c>
      <c r="C113" s="14" t="s">
        <v>443</v>
      </c>
      <c r="D113" s="14" t="s">
        <v>220</v>
      </c>
      <c r="E113" s="15">
        <v>12190</v>
      </c>
      <c r="F113" s="15">
        <v>1752</v>
      </c>
      <c r="G113" s="15">
        <v>50</v>
      </c>
    </row>
    <row r="114" spans="1:7">
      <c r="A114" s="15">
        <v>189</v>
      </c>
      <c r="B114" s="14" t="s">
        <v>444</v>
      </c>
      <c r="C114" s="14" t="s">
        <v>445</v>
      </c>
      <c r="D114" s="14" t="s">
        <v>220</v>
      </c>
      <c r="E114" s="15">
        <v>18530</v>
      </c>
      <c r="F114" s="15">
        <v>1635</v>
      </c>
      <c r="G114" s="15">
        <v>50</v>
      </c>
    </row>
    <row r="115" spans="1:7">
      <c r="A115" s="15">
        <v>189</v>
      </c>
      <c r="B115" s="14" t="s">
        <v>446</v>
      </c>
      <c r="C115" s="14" t="s">
        <v>447</v>
      </c>
      <c r="D115" s="14" t="s">
        <v>220</v>
      </c>
      <c r="E115" s="15">
        <v>11178</v>
      </c>
      <c r="F115" s="15">
        <v>1718</v>
      </c>
      <c r="G115" s="15">
        <v>50</v>
      </c>
    </row>
    <row r="116" spans="1:7">
      <c r="A116" s="15">
        <v>189</v>
      </c>
      <c r="B116" s="14" t="s">
        <v>448</v>
      </c>
      <c r="C116" s="14" t="s">
        <v>449</v>
      </c>
      <c r="D116" s="14" t="s">
        <v>220</v>
      </c>
      <c r="E116" s="15">
        <v>19000</v>
      </c>
      <c r="F116" s="15">
        <v>2160</v>
      </c>
      <c r="G116" s="15">
        <v>50</v>
      </c>
    </row>
    <row r="117" spans="1:7">
      <c r="A117" s="15">
        <v>189</v>
      </c>
      <c r="B117" s="14" t="s">
        <v>254</v>
      </c>
      <c r="C117" s="14" t="s">
        <v>450</v>
      </c>
      <c r="D117" s="14" t="s">
        <v>220</v>
      </c>
      <c r="E117" s="15">
        <v>4524</v>
      </c>
      <c r="F117" s="15">
        <v>1861</v>
      </c>
      <c r="G117" s="15">
        <v>50</v>
      </c>
    </row>
    <row r="118" spans="1:7">
      <c r="A118" s="15">
        <v>189</v>
      </c>
      <c r="B118" s="14" t="s">
        <v>451</v>
      </c>
      <c r="C118" s="14" t="s">
        <v>452</v>
      </c>
      <c r="D118" s="14" t="s">
        <v>220</v>
      </c>
      <c r="E118" s="15">
        <v>20000</v>
      </c>
      <c r="F118" s="15">
        <v>2031</v>
      </c>
      <c r="G118" s="15">
        <v>28</v>
      </c>
    </row>
    <row r="119" spans="1:7">
      <c r="A119" s="15">
        <v>189</v>
      </c>
      <c r="B119" s="14" t="s">
        <v>453</v>
      </c>
      <c r="C119" s="14" t="s">
        <v>454</v>
      </c>
      <c r="D119" s="14" t="s">
        <v>220</v>
      </c>
      <c r="E119" s="15">
        <v>8930</v>
      </c>
      <c r="F119" s="15">
        <v>2056</v>
      </c>
      <c r="G119" s="15">
        <v>50</v>
      </c>
    </row>
    <row r="120" spans="1:7">
      <c r="A120" s="15">
        <v>189</v>
      </c>
      <c r="B120" s="14" t="s">
        <v>455</v>
      </c>
      <c r="C120" s="14" t="s">
        <v>456</v>
      </c>
      <c r="D120" s="14" t="s">
        <v>220</v>
      </c>
      <c r="E120" s="15">
        <v>4578</v>
      </c>
      <c r="F120" s="15">
        <v>1762</v>
      </c>
      <c r="G120" s="15">
        <v>50</v>
      </c>
    </row>
    <row r="121" spans="1:7">
      <c r="A121" s="15">
        <v>189</v>
      </c>
      <c r="B121" s="14" t="s">
        <v>457</v>
      </c>
      <c r="C121" s="14" t="s">
        <v>458</v>
      </c>
      <c r="D121" s="14" t="s">
        <v>220</v>
      </c>
      <c r="E121" s="15">
        <v>8339</v>
      </c>
      <c r="F121" s="15">
        <v>1744</v>
      </c>
      <c r="G121" s="15">
        <v>50</v>
      </c>
    </row>
    <row r="122" spans="1:7">
      <c r="A122" s="15">
        <v>189</v>
      </c>
      <c r="B122" s="14" t="s">
        <v>459</v>
      </c>
      <c r="C122" s="14" t="s">
        <v>460</v>
      </c>
      <c r="D122" s="14" t="s">
        <v>220</v>
      </c>
      <c r="E122" s="15">
        <v>6213</v>
      </c>
      <c r="F122" s="15">
        <v>2033</v>
      </c>
      <c r="G122" s="15">
        <v>50</v>
      </c>
    </row>
    <row r="123" spans="1:7">
      <c r="A123" s="15">
        <v>189</v>
      </c>
      <c r="B123" s="14" t="s">
        <v>461</v>
      </c>
      <c r="C123" s="14" t="s">
        <v>462</v>
      </c>
      <c r="D123" s="14" t="s">
        <v>220</v>
      </c>
      <c r="E123" s="15">
        <v>12116</v>
      </c>
      <c r="F123" s="15">
        <v>1794</v>
      </c>
      <c r="G123" s="15">
        <v>50</v>
      </c>
    </row>
    <row r="124" spans="1:7">
      <c r="A124" s="15">
        <v>189</v>
      </c>
      <c r="B124" s="14" t="s">
        <v>463</v>
      </c>
      <c r="C124" s="14" t="s">
        <v>464</v>
      </c>
      <c r="D124" s="14" t="s">
        <v>220</v>
      </c>
      <c r="E124" s="15">
        <v>16000</v>
      </c>
      <c r="F124" s="15">
        <v>2146</v>
      </c>
      <c r="G124" s="15">
        <v>50</v>
      </c>
    </row>
    <row r="125" spans="1:7">
      <c r="A125" s="15">
        <v>189</v>
      </c>
      <c r="B125" s="14" t="s">
        <v>465</v>
      </c>
      <c r="C125" s="14" t="s">
        <v>466</v>
      </c>
      <c r="D125" s="14" t="s">
        <v>220</v>
      </c>
      <c r="E125" s="15">
        <v>4360</v>
      </c>
      <c r="F125" s="15">
        <v>2046</v>
      </c>
      <c r="G125" s="15">
        <v>50</v>
      </c>
    </row>
    <row r="126" spans="1:7">
      <c r="A126" s="15">
        <v>189</v>
      </c>
      <c r="B126" s="14" t="s">
        <v>467</v>
      </c>
      <c r="C126" s="14" t="s">
        <v>468</v>
      </c>
      <c r="D126" s="14" t="s">
        <v>220</v>
      </c>
      <c r="E126" s="15">
        <v>8391</v>
      </c>
      <c r="F126" s="15">
        <v>1883</v>
      </c>
      <c r="G126" s="15">
        <v>50</v>
      </c>
    </row>
    <row r="127" spans="1:7">
      <c r="A127" s="15">
        <v>189</v>
      </c>
      <c r="B127" s="14" t="s">
        <v>469</v>
      </c>
      <c r="C127" s="14" t="s">
        <v>470</v>
      </c>
      <c r="D127" s="14" t="s">
        <v>220</v>
      </c>
      <c r="E127" s="15">
        <v>12252</v>
      </c>
      <c r="F127" s="15">
        <v>2071</v>
      </c>
      <c r="G127" s="15">
        <v>50</v>
      </c>
    </row>
    <row r="128" spans="1:7">
      <c r="A128" s="15">
        <v>189</v>
      </c>
      <c r="B128" s="14" t="s">
        <v>471</v>
      </c>
      <c r="C128" s="14" t="s">
        <v>472</v>
      </c>
      <c r="D128" s="14" t="s">
        <v>220</v>
      </c>
      <c r="E128" s="15">
        <v>11445</v>
      </c>
      <c r="F128" s="15">
        <v>2045</v>
      </c>
      <c r="G128" s="15">
        <v>50</v>
      </c>
    </row>
    <row r="129" spans="1:7">
      <c r="A129" s="15">
        <v>189</v>
      </c>
      <c r="B129" s="14" t="s">
        <v>473</v>
      </c>
      <c r="C129" s="14" t="s">
        <v>474</v>
      </c>
      <c r="D129" s="14" t="s">
        <v>220</v>
      </c>
      <c r="E129" s="15">
        <v>9045</v>
      </c>
      <c r="F129" s="15">
        <v>2012</v>
      </c>
      <c r="G129" s="15">
        <v>31</v>
      </c>
    </row>
    <row r="130" spans="1:7">
      <c r="A130" s="15">
        <v>189</v>
      </c>
      <c r="B130" s="14" t="s">
        <v>475</v>
      </c>
      <c r="C130" s="14" t="s">
        <v>476</v>
      </c>
      <c r="D130" s="14" t="s">
        <v>220</v>
      </c>
      <c r="E130" s="15">
        <v>7722</v>
      </c>
      <c r="F130" s="15">
        <v>1768</v>
      </c>
      <c r="G130" s="15">
        <v>50</v>
      </c>
    </row>
    <row r="131" spans="1:7">
      <c r="A131" s="15">
        <v>189</v>
      </c>
      <c r="B131" s="14" t="s">
        <v>477</v>
      </c>
      <c r="C131" s="14" t="s">
        <v>478</v>
      </c>
      <c r="D131" s="14" t="s">
        <v>220</v>
      </c>
      <c r="E131" s="15">
        <v>19864</v>
      </c>
      <c r="F131" s="15">
        <v>1767</v>
      </c>
      <c r="G131" s="15">
        <v>50</v>
      </c>
    </row>
    <row r="132" spans="1:7">
      <c r="A132" s="15">
        <v>189</v>
      </c>
      <c r="B132" s="14" t="s">
        <v>479</v>
      </c>
      <c r="C132" s="14" t="s">
        <v>480</v>
      </c>
      <c r="D132" s="14" t="s">
        <v>220</v>
      </c>
      <c r="E132" s="15">
        <v>10400</v>
      </c>
      <c r="F132" s="15">
        <v>1760</v>
      </c>
      <c r="G132" s="15">
        <v>50</v>
      </c>
    </row>
    <row r="133" spans="1:7">
      <c r="A133" s="15">
        <v>189</v>
      </c>
      <c r="B133" s="14" t="s">
        <v>481</v>
      </c>
      <c r="C133" s="14" t="s">
        <v>482</v>
      </c>
      <c r="D133" s="14" t="s">
        <v>220</v>
      </c>
      <c r="E133" s="15">
        <v>7922</v>
      </c>
      <c r="F133" s="15">
        <v>1768</v>
      </c>
      <c r="G133" s="15">
        <v>50</v>
      </c>
    </row>
    <row r="134" spans="1:7">
      <c r="A134" s="15">
        <v>189</v>
      </c>
      <c r="B134" s="14" t="s">
        <v>483</v>
      </c>
      <c r="C134" s="14" t="s">
        <v>484</v>
      </c>
      <c r="D134" s="14" t="s">
        <v>220</v>
      </c>
      <c r="E134" s="15">
        <v>16459</v>
      </c>
      <c r="F134" s="15">
        <v>1758</v>
      </c>
      <c r="G134" s="15">
        <v>50</v>
      </c>
    </row>
    <row r="135" spans="1:7">
      <c r="A135" s="15">
        <v>189</v>
      </c>
      <c r="B135" s="14" t="s">
        <v>485</v>
      </c>
      <c r="C135" s="14" t="s">
        <v>486</v>
      </c>
      <c r="D135" s="14" t="s">
        <v>220</v>
      </c>
      <c r="E135" s="15">
        <v>18094</v>
      </c>
      <c r="F135" s="15">
        <v>2018</v>
      </c>
      <c r="G135" s="15">
        <v>50</v>
      </c>
    </row>
    <row r="136" spans="1:7">
      <c r="A136" s="15">
        <v>189</v>
      </c>
      <c r="B136" s="14" t="s">
        <v>487</v>
      </c>
      <c r="C136" s="14" t="s">
        <v>488</v>
      </c>
      <c r="D136" s="14" t="s">
        <v>220</v>
      </c>
      <c r="E136" s="15">
        <v>14660</v>
      </c>
      <c r="F136" s="15">
        <v>2053</v>
      </c>
      <c r="G136" s="15">
        <v>50</v>
      </c>
    </row>
    <row r="137" spans="1:7">
      <c r="A137" s="15">
        <v>189</v>
      </c>
      <c r="B137" s="14" t="s">
        <v>489</v>
      </c>
      <c r="C137" s="14" t="s">
        <v>490</v>
      </c>
      <c r="D137" s="14" t="s">
        <v>220</v>
      </c>
      <c r="E137" s="15">
        <v>20393</v>
      </c>
      <c r="F137" s="15">
        <v>2154</v>
      </c>
      <c r="G137" s="15">
        <v>50</v>
      </c>
    </row>
    <row r="138" spans="1:7">
      <c r="A138" s="15">
        <v>189</v>
      </c>
      <c r="B138" s="14" t="s">
        <v>491</v>
      </c>
      <c r="C138" s="14" t="s">
        <v>492</v>
      </c>
      <c r="D138" s="14" t="s">
        <v>220</v>
      </c>
      <c r="E138" s="15">
        <v>450</v>
      </c>
      <c r="F138" s="15">
        <v>695</v>
      </c>
      <c r="G138" s="15">
        <v>50</v>
      </c>
    </row>
    <row r="139" spans="1:7">
      <c r="A139" s="15">
        <v>189</v>
      </c>
      <c r="B139" s="14" t="s">
        <v>493</v>
      </c>
      <c r="C139" s="14" t="s">
        <v>494</v>
      </c>
      <c r="D139" s="14" t="s">
        <v>220</v>
      </c>
      <c r="E139" s="15">
        <v>3636</v>
      </c>
      <c r="F139" s="15">
        <v>2022</v>
      </c>
      <c r="G139" s="15">
        <v>50</v>
      </c>
    </row>
    <row r="140" spans="1:7">
      <c r="A140" s="15">
        <v>189</v>
      </c>
      <c r="B140" s="14" t="s">
        <v>495</v>
      </c>
      <c r="C140" s="14" t="s">
        <v>496</v>
      </c>
      <c r="D140" s="14" t="s">
        <v>220</v>
      </c>
      <c r="E140" s="15">
        <v>26000</v>
      </c>
      <c r="F140" s="15">
        <v>1956</v>
      </c>
      <c r="G140" s="15">
        <v>50</v>
      </c>
    </row>
    <row r="141" spans="1:7">
      <c r="A141" s="15">
        <v>189</v>
      </c>
      <c r="B141" s="14" t="s">
        <v>497</v>
      </c>
      <c r="C141" s="14" t="s">
        <v>498</v>
      </c>
      <c r="D141" s="14" t="s">
        <v>220</v>
      </c>
      <c r="E141" s="15">
        <v>88000</v>
      </c>
      <c r="F141" s="15">
        <v>2049</v>
      </c>
      <c r="G141" s="15">
        <v>50</v>
      </c>
    </row>
    <row r="142" spans="1:7">
      <c r="A142" s="15">
        <v>189</v>
      </c>
      <c r="B142" s="14" t="s">
        <v>499</v>
      </c>
      <c r="C142" s="14" t="s">
        <v>500</v>
      </c>
      <c r="D142" s="14" t="s">
        <v>227</v>
      </c>
      <c r="E142" s="15">
        <v>-3</v>
      </c>
      <c r="F142" s="15">
        <v>-3</v>
      </c>
      <c r="G142" s="15">
        <v>-3</v>
      </c>
    </row>
    <row r="143" spans="1:7">
      <c r="A143" s="15">
        <v>190</v>
      </c>
      <c r="B143" s="14" t="s">
        <v>501</v>
      </c>
      <c r="C143" s="14" t="s">
        <v>502</v>
      </c>
      <c r="D143" s="14" t="s">
        <v>220</v>
      </c>
      <c r="E143" s="15">
        <v>10500</v>
      </c>
      <c r="F143" s="15">
        <v>1799</v>
      </c>
      <c r="G143" s="15">
        <v>52</v>
      </c>
    </row>
    <row r="144" spans="1:7">
      <c r="A144" s="15">
        <v>190</v>
      </c>
      <c r="B144" s="14" t="s">
        <v>380</v>
      </c>
      <c r="C144" s="14" t="s">
        <v>503</v>
      </c>
      <c r="D144" s="14" t="s">
        <v>220</v>
      </c>
      <c r="E144" s="15">
        <v>12000</v>
      </c>
      <c r="F144" s="15">
        <v>1909</v>
      </c>
      <c r="G144" s="15">
        <v>52</v>
      </c>
    </row>
    <row r="145" spans="1:7">
      <c r="A145" s="15">
        <v>190</v>
      </c>
      <c r="B145" s="14" t="s">
        <v>504</v>
      </c>
      <c r="C145" s="14" t="s">
        <v>505</v>
      </c>
      <c r="D145" s="14" t="s">
        <v>220</v>
      </c>
      <c r="E145" s="15">
        <v>6922</v>
      </c>
      <c r="F145" s="15">
        <v>1140</v>
      </c>
      <c r="G145" s="15">
        <v>33</v>
      </c>
    </row>
    <row r="146" spans="1:7">
      <c r="A146" s="15">
        <v>190</v>
      </c>
      <c r="B146" s="14" t="s">
        <v>506</v>
      </c>
      <c r="C146" s="14" t="s">
        <v>507</v>
      </c>
      <c r="D146" s="14" t="s">
        <v>220</v>
      </c>
      <c r="E146" s="15">
        <v>2700</v>
      </c>
      <c r="F146" s="15">
        <v>2054</v>
      </c>
      <c r="G146" s="15">
        <v>52</v>
      </c>
    </row>
    <row r="147" spans="1:7">
      <c r="A147" s="15">
        <v>190</v>
      </c>
      <c r="B147" s="14" t="s">
        <v>508</v>
      </c>
      <c r="C147" s="14" t="s">
        <v>509</v>
      </c>
      <c r="D147" s="14" t="s">
        <v>220</v>
      </c>
      <c r="E147" s="15">
        <v>13268</v>
      </c>
      <c r="F147" s="15">
        <v>2209</v>
      </c>
      <c r="G147" s="15">
        <v>52</v>
      </c>
    </row>
    <row r="148" spans="1:7">
      <c r="A148" s="15">
        <v>190</v>
      </c>
      <c r="B148" s="14" t="s">
        <v>510</v>
      </c>
      <c r="C148" s="14" t="s">
        <v>511</v>
      </c>
      <c r="D148" s="14" t="s">
        <v>220</v>
      </c>
      <c r="E148" s="15">
        <v>12000</v>
      </c>
      <c r="F148" s="15">
        <v>2261</v>
      </c>
      <c r="G148" s="15">
        <v>52</v>
      </c>
    </row>
    <row r="149" spans="1:7">
      <c r="A149" s="15">
        <v>190</v>
      </c>
      <c r="B149" s="14" t="s">
        <v>512</v>
      </c>
      <c r="C149" s="14" t="s">
        <v>513</v>
      </c>
      <c r="D149" s="14" t="s">
        <v>220</v>
      </c>
      <c r="E149" s="15">
        <v>7247</v>
      </c>
      <c r="F149" s="15">
        <v>2207</v>
      </c>
      <c r="G149" s="15">
        <v>52</v>
      </c>
    </row>
    <row r="150" spans="1:7">
      <c r="A150" s="15">
        <v>190</v>
      </c>
      <c r="B150" s="14" t="s">
        <v>514</v>
      </c>
      <c r="C150" s="14" t="s">
        <v>515</v>
      </c>
      <c r="D150" s="14" t="s">
        <v>220</v>
      </c>
      <c r="E150" s="15">
        <v>42000</v>
      </c>
      <c r="F150" s="15">
        <v>2654</v>
      </c>
      <c r="G150" s="15">
        <v>52</v>
      </c>
    </row>
    <row r="151" spans="1:7">
      <c r="A151" s="15">
        <v>190</v>
      </c>
      <c r="B151" s="14" t="s">
        <v>516</v>
      </c>
      <c r="C151" s="14" t="s">
        <v>517</v>
      </c>
      <c r="D151" s="14" t="s">
        <v>220</v>
      </c>
      <c r="E151" s="15">
        <v>9500</v>
      </c>
      <c r="F151" s="15">
        <v>2362</v>
      </c>
      <c r="G151" s="15">
        <v>52</v>
      </c>
    </row>
    <row r="152" spans="1:7">
      <c r="A152" s="15">
        <v>190</v>
      </c>
      <c r="B152" s="14" t="s">
        <v>518</v>
      </c>
      <c r="C152" s="14" t="s">
        <v>519</v>
      </c>
      <c r="D152" s="14" t="s">
        <v>220</v>
      </c>
      <c r="E152" s="15">
        <v>5883</v>
      </c>
      <c r="F152" s="15">
        <v>2012</v>
      </c>
      <c r="G152" s="15">
        <v>52</v>
      </c>
    </row>
    <row r="153" spans="1:7">
      <c r="A153" s="15">
        <v>190</v>
      </c>
      <c r="B153" s="14" t="s">
        <v>520</v>
      </c>
      <c r="C153" s="14" t="s">
        <v>521</v>
      </c>
      <c r="D153" s="14" t="s">
        <v>220</v>
      </c>
      <c r="E153" s="15">
        <v>10500</v>
      </c>
      <c r="F153" s="15">
        <v>2357</v>
      </c>
      <c r="G153" s="15">
        <v>52</v>
      </c>
    </row>
    <row r="154" spans="1:7">
      <c r="A154" s="15">
        <v>190</v>
      </c>
      <c r="B154" s="14" t="s">
        <v>522</v>
      </c>
      <c r="C154" s="14" t="s">
        <v>523</v>
      </c>
      <c r="D154" s="14" t="s">
        <v>220</v>
      </c>
      <c r="E154" s="15">
        <v>6100</v>
      </c>
      <c r="F154" s="15">
        <v>2150</v>
      </c>
      <c r="G154" s="15">
        <v>52</v>
      </c>
    </row>
    <row r="155" spans="1:7">
      <c r="A155" s="15">
        <v>190</v>
      </c>
      <c r="B155" s="14" t="s">
        <v>524</v>
      </c>
      <c r="C155" s="14" t="s">
        <v>525</v>
      </c>
      <c r="D155" s="14" t="s">
        <v>220</v>
      </c>
      <c r="E155" s="15">
        <v>14000</v>
      </c>
      <c r="F155" s="15">
        <v>2463</v>
      </c>
      <c r="G155" s="15">
        <v>52</v>
      </c>
    </row>
    <row r="156" spans="1:7">
      <c r="A156" s="15">
        <v>190</v>
      </c>
      <c r="B156" s="14" t="s">
        <v>526</v>
      </c>
      <c r="C156" s="14" t="s">
        <v>527</v>
      </c>
      <c r="D156" s="14" t="s">
        <v>220</v>
      </c>
      <c r="E156" s="15">
        <v>20000</v>
      </c>
      <c r="F156" s="15">
        <v>1960</v>
      </c>
      <c r="G156" s="15">
        <v>52</v>
      </c>
    </row>
    <row r="157" spans="1:7">
      <c r="A157" s="15">
        <v>190</v>
      </c>
      <c r="B157" s="14" t="s">
        <v>528</v>
      </c>
      <c r="C157" s="14" t="s">
        <v>529</v>
      </c>
      <c r="D157" s="14" t="s">
        <v>220</v>
      </c>
      <c r="E157" s="15">
        <v>10137</v>
      </c>
      <c r="F157" s="15">
        <v>2159</v>
      </c>
      <c r="G157" s="15">
        <v>52</v>
      </c>
    </row>
    <row r="158" spans="1:7">
      <c r="A158" s="15">
        <v>190</v>
      </c>
      <c r="B158" s="14" t="s">
        <v>530</v>
      </c>
      <c r="C158" s="14" t="s">
        <v>531</v>
      </c>
      <c r="D158" s="14" t="s">
        <v>220</v>
      </c>
      <c r="E158" s="15">
        <v>15000</v>
      </c>
      <c r="F158" s="15">
        <v>2215</v>
      </c>
      <c r="G158" s="15">
        <v>52</v>
      </c>
    </row>
    <row r="159" spans="1:7">
      <c r="A159" s="15">
        <v>190</v>
      </c>
      <c r="B159" s="14" t="s">
        <v>532</v>
      </c>
      <c r="C159" s="14" t="s">
        <v>533</v>
      </c>
      <c r="D159" s="14" t="s">
        <v>220</v>
      </c>
      <c r="E159" s="15">
        <v>15000</v>
      </c>
      <c r="F159" s="15">
        <v>2254</v>
      </c>
      <c r="G159" s="15">
        <v>52</v>
      </c>
    </row>
    <row r="160" spans="1:7">
      <c r="A160" s="15">
        <v>190</v>
      </c>
      <c r="B160" s="14" t="s">
        <v>534</v>
      </c>
      <c r="C160" s="14" t="s">
        <v>535</v>
      </c>
      <c r="D160" s="14" t="s">
        <v>220</v>
      </c>
      <c r="E160" s="15">
        <v>12300</v>
      </c>
      <c r="F160" s="15">
        <v>2357</v>
      </c>
      <c r="G160" s="15">
        <v>52</v>
      </c>
    </row>
    <row r="161" spans="1:7">
      <c r="A161" s="15">
        <v>190</v>
      </c>
      <c r="B161" s="14" t="s">
        <v>536</v>
      </c>
      <c r="C161" s="14" t="s">
        <v>537</v>
      </c>
      <c r="D161" s="14" t="s">
        <v>220</v>
      </c>
      <c r="E161" s="15">
        <v>30000</v>
      </c>
      <c r="F161" s="15">
        <v>2667</v>
      </c>
      <c r="G161" s="15">
        <v>52</v>
      </c>
    </row>
    <row r="162" spans="1:7">
      <c r="A162" s="15">
        <v>190</v>
      </c>
      <c r="B162" s="14" t="s">
        <v>538</v>
      </c>
      <c r="C162" s="14" t="s">
        <v>539</v>
      </c>
      <c r="D162" s="14" t="s">
        <v>220</v>
      </c>
      <c r="E162" s="15">
        <v>23357</v>
      </c>
      <c r="F162" s="15">
        <v>2359</v>
      </c>
      <c r="G162" s="15">
        <v>52</v>
      </c>
    </row>
    <row r="163" spans="1:7">
      <c r="A163" s="15">
        <v>190</v>
      </c>
      <c r="B163" s="14" t="s">
        <v>540</v>
      </c>
      <c r="C163" s="14" t="s">
        <v>541</v>
      </c>
      <c r="D163" s="14" t="s">
        <v>220</v>
      </c>
      <c r="E163" s="15">
        <v>21100</v>
      </c>
      <c r="F163" s="15">
        <v>2354</v>
      </c>
      <c r="G163" s="15">
        <v>52</v>
      </c>
    </row>
    <row r="164" spans="1:7">
      <c r="A164" s="15">
        <v>190</v>
      </c>
      <c r="B164" s="14" t="s">
        <v>542</v>
      </c>
      <c r="C164" s="14" t="s">
        <v>543</v>
      </c>
      <c r="D164" s="14" t="s">
        <v>220</v>
      </c>
      <c r="E164" s="15">
        <v>6910</v>
      </c>
      <c r="F164" s="15">
        <v>1909</v>
      </c>
      <c r="G164" s="15">
        <v>52</v>
      </c>
    </row>
    <row r="165" spans="1:7">
      <c r="A165" s="15">
        <v>190</v>
      </c>
      <c r="B165" s="14" t="s">
        <v>544</v>
      </c>
      <c r="C165" s="14" t="s">
        <v>545</v>
      </c>
      <c r="D165" s="14" t="s">
        <v>220</v>
      </c>
      <c r="E165" s="15">
        <v>32000</v>
      </c>
      <c r="F165" s="15">
        <v>2660</v>
      </c>
      <c r="G165" s="15">
        <v>52</v>
      </c>
    </row>
    <row r="166" spans="1:7">
      <c r="A166" s="15">
        <v>190</v>
      </c>
      <c r="B166" s="14" t="s">
        <v>546</v>
      </c>
      <c r="C166" s="14" t="s">
        <v>547</v>
      </c>
      <c r="D166" s="14" t="s">
        <v>220</v>
      </c>
      <c r="E166" s="15">
        <v>72000</v>
      </c>
      <c r="F166" s="15">
        <v>3557</v>
      </c>
      <c r="G166" s="15">
        <v>52</v>
      </c>
    </row>
    <row r="167" spans="1:7">
      <c r="A167" s="15">
        <v>190</v>
      </c>
      <c r="B167" s="14" t="s">
        <v>548</v>
      </c>
      <c r="C167" s="14" t="s">
        <v>549</v>
      </c>
      <c r="D167" s="14" t="s">
        <v>220</v>
      </c>
      <c r="E167" s="15">
        <v>12000</v>
      </c>
      <c r="F167" s="15">
        <v>2357</v>
      </c>
      <c r="G167" s="15">
        <v>52</v>
      </c>
    </row>
    <row r="168" spans="1:7">
      <c r="A168" s="15">
        <v>190</v>
      </c>
      <c r="B168" s="14" t="s">
        <v>550</v>
      </c>
      <c r="C168" s="14" t="s">
        <v>551</v>
      </c>
      <c r="D168" s="14" t="s">
        <v>220</v>
      </c>
      <c r="E168" s="15">
        <v>78500</v>
      </c>
      <c r="F168" s="15">
        <v>4270</v>
      </c>
      <c r="G168" s="15">
        <v>52</v>
      </c>
    </row>
    <row r="169" spans="1:7">
      <c r="A169" s="15">
        <v>190</v>
      </c>
      <c r="B169" s="14" t="s">
        <v>552</v>
      </c>
      <c r="C169" s="14" t="s">
        <v>553</v>
      </c>
      <c r="D169" s="14" t="s">
        <v>220</v>
      </c>
      <c r="E169" s="15">
        <v>552</v>
      </c>
      <c r="F169" s="15">
        <v>2000</v>
      </c>
      <c r="G169" s="15">
        <v>52</v>
      </c>
    </row>
    <row r="170" spans="1:7">
      <c r="A170" s="15">
        <v>190</v>
      </c>
      <c r="B170" s="14" t="s">
        <v>554</v>
      </c>
      <c r="C170" s="14" t="s">
        <v>555</v>
      </c>
      <c r="D170" s="14" t="s">
        <v>220</v>
      </c>
      <c r="E170" s="15">
        <v>275</v>
      </c>
      <c r="F170" s="15">
        <v>2000</v>
      </c>
      <c r="G170" s="15">
        <v>52</v>
      </c>
    </row>
    <row r="171" spans="1:7">
      <c r="A171" s="15">
        <v>198</v>
      </c>
      <c r="B171" s="14" t="s">
        <v>556</v>
      </c>
      <c r="C171" s="14" t="s">
        <v>557</v>
      </c>
      <c r="D171" s="14" t="s">
        <v>220</v>
      </c>
      <c r="E171" s="15">
        <v>25000</v>
      </c>
      <c r="F171" s="15">
        <v>2744</v>
      </c>
      <c r="G171" s="15">
        <v>52</v>
      </c>
    </row>
    <row r="172" spans="1:7">
      <c r="A172" s="15">
        <v>198</v>
      </c>
      <c r="B172" s="14" t="s">
        <v>558</v>
      </c>
      <c r="C172" s="14" t="s">
        <v>559</v>
      </c>
      <c r="D172" s="14" t="s">
        <v>220</v>
      </c>
      <c r="E172" s="15">
        <v>5700</v>
      </c>
      <c r="F172" s="15">
        <v>1600</v>
      </c>
      <c r="G172" s="15">
        <v>52</v>
      </c>
    </row>
    <row r="173" spans="1:7">
      <c r="A173" s="15">
        <v>198</v>
      </c>
      <c r="B173" s="14" t="s">
        <v>560</v>
      </c>
      <c r="C173" s="14" t="s">
        <v>561</v>
      </c>
      <c r="D173" s="14" t="s">
        <v>220</v>
      </c>
      <c r="E173" s="15">
        <v>26000</v>
      </c>
      <c r="F173" s="15">
        <v>2312</v>
      </c>
      <c r="G173" s="15">
        <v>44</v>
      </c>
    </row>
    <row r="174" spans="1:7">
      <c r="A174" s="15">
        <v>2</v>
      </c>
      <c r="B174" s="14" t="s">
        <v>562</v>
      </c>
      <c r="C174" s="14" t="s">
        <v>563</v>
      </c>
      <c r="D174" s="14" t="s">
        <v>220</v>
      </c>
      <c r="E174" s="15">
        <v>5600</v>
      </c>
      <c r="F174" s="15">
        <v>3077</v>
      </c>
      <c r="G174" s="15">
        <v>52</v>
      </c>
    </row>
    <row r="175" spans="1:7">
      <c r="A175" s="15">
        <v>2</v>
      </c>
      <c r="B175" s="14" t="s">
        <v>564</v>
      </c>
      <c r="C175" s="14" t="s">
        <v>565</v>
      </c>
      <c r="D175" s="14" t="s">
        <v>220</v>
      </c>
      <c r="E175" s="15">
        <v>11880</v>
      </c>
      <c r="F175" s="15">
        <v>3158</v>
      </c>
      <c r="G175" s="15">
        <v>52</v>
      </c>
    </row>
    <row r="176" spans="1:7">
      <c r="A176" s="15">
        <v>20</v>
      </c>
      <c r="B176" s="14" t="s">
        <v>566</v>
      </c>
      <c r="C176" s="14" t="s">
        <v>567</v>
      </c>
      <c r="D176" s="14" t="s">
        <v>220</v>
      </c>
      <c r="E176" s="15">
        <v>36176</v>
      </c>
      <c r="F176" s="15">
        <v>2346</v>
      </c>
      <c r="G176" s="15">
        <v>52</v>
      </c>
    </row>
    <row r="177" spans="1:7">
      <c r="A177" s="15">
        <v>20</v>
      </c>
      <c r="B177" s="14" t="s">
        <v>568</v>
      </c>
      <c r="C177" s="14" t="s">
        <v>569</v>
      </c>
      <c r="D177" s="14" t="s">
        <v>220</v>
      </c>
      <c r="E177" s="15">
        <v>14967</v>
      </c>
      <c r="F177" s="15">
        <v>2526</v>
      </c>
      <c r="G177" s="15">
        <v>52</v>
      </c>
    </row>
    <row r="178" spans="1:7">
      <c r="A178" s="15">
        <v>20</v>
      </c>
      <c r="B178" s="14" t="s">
        <v>570</v>
      </c>
      <c r="C178" s="14" t="s">
        <v>571</v>
      </c>
      <c r="D178" s="14" t="s">
        <v>220</v>
      </c>
      <c r="E178" s="15">
        <v>8266</v>
      </c>
      <c r="F178" s="15">
        <v>2542</v>
      </c>
      <c r="G178" s="15">
        <v>52</v>
      </c>
    </row>
    <row r="179" spans="1:7">
      <c r="A179" s="15">
        <v>20</v>
      </c>
      <c r="B179" s="14" t="s">
        <v>572</v>
      </c>
      <c r="C179" s="14" t="s">
        <v>573</v>
      </c>
      <c r="D179" s="14" t="s">
        <v>220</v>
      </c>
      <c r="E179" s="15">
        <v>8580</v>
      </c>
      <c r="F179" s="15">
        <v>2392</v>
      </c>
      <c r="G179" s="15">
        <v>52</v>
      </c>
    </row>
    <row r="180" spans="1:7">
      <c r="A180" s="15">
        <v>20</v>
      </c>
      <c r="B180" s="14" t="s">
        <v>574</v>
      </c>
      <c r="C180" s="14" t="s">
        <v>575</v>
      </c>
      <c r="D180" s="14" t="s">
        <v>220</v>
      </c>
      <c r="E180" s="15">
        <v>8110</v>
      </c>
      <c r="F180" s="15">
        <v>2542</v>
      </c>
      <c r="G180" s="15">
        <v>52</v>
      </c>
    </row>
    <row r="181" spans="1:7">
      <c r="A181" s="15">
        <v>20</v>
      </c>
      <c r="B181" s="14" t="s">
        <v>576</v>
      </c>
      <c r="C181" s="14" t="s">
        <v>577</v>
      </c>
      <c r="D181" s="14" t="s">
        <v>220</v>
      </c>
      <c r="E181" s="15">
        <v>6700</v>
      </c>
      <c r="F181" s="15">
        <v>2392</v>
      </c>
      <c r="G181" s="15">
        <v>52</v>
      </c>
    </row>
    <row r="182" spans="1:7">
      <c r="A182" s="15">
        <v>20</v>
      </c>
      <c r="B182" s="14" t="s">
        <v>578</v>
      </c>
      <c r="C182" s="14" t="s">
        <v>579</v>
      </c>
      <c r="D182" s="14" t="s">
        <v>220</v>
      </c>
      <c r="E182" s="15">
        <v>11000</v>
      </c>
      <c r="F182" s="15">
        <v>2746</v>
      </c>
      <c r="G182" s="15">
        <v>52</v>
      </c>
    </row>
    <row r="183" spans="1:7">
      <c r="A183" s="15">
        <v>20</v>
      </c>
      <c r="B183" s="14" t="s">
        <v>580</v>
      </c>
      <c r="C183" s="14" t="s">
        <v>581</v>
      </c>
      <c r="D183" s="14" t="s">
        <v>220</v>
      </c>
      <c r="E183" s="15">
        <v>14500</v>
      </c>
      <c r="F183" s="15">
        <v>2746</v>
      </c>
      <c r="G183" s="15">
        <v>52</v>
      </c>
    </row>
    <row r="184" spans="1:7">
      <c r="A184" s="15">
        <v>20</v>
      </c>
      <c r="B184" s="14" t="s">
        <v>582</v>
      </c>
      <c r="C184" s="14" t="s">
        <v>583</v>
      </c>
      <c r="D184" s="14" t="s">
        <v>220</v>
      </c>
      <c r="E184" s="15">
        <v>15120</v>
      </c>
      <c r="F184" s="15">
        <v>2542</v>
      </c>
      <c r="G184" s="15">
        <v>52</v>
      </c>
    </row>
    <row r="185" spans="1:7">
      <c r="A185" s="15">
        <v>20</v>
      </c>
      <c r="B185" s="14" t="s">
        <v>584</v>
      </c>
      <c r="C185" s="14" t="s">
        <v>585</v>
      </c>
      <c r="D185" s="14" t="s">
        <v>220</v>
      </c>
      <c r="E185" s="15">
        <v>7536</v>
      </c>
      <c r="F185" s="15">
        <v>2340</v>
      </c>
      <c r="G185" s="15">
        <v>52</v>
      </c>
    </row>
    <row r="186" spans="1:7">
      <c r="A186" s="15">
        <v>20</v>
      </c>
      <c r="B186" s="14" t="s">
        <v>586</v>
      </c>
      <c r="C186" s="14" t="s">
        <v>587</v>
      </c>
      <c r="D186" s="14" t="s">
        <v>220</v>
      </c>
      <c r="E186" s="15">
        <v>10738</v>
      </c>
      <c r="F186" s="15">
        <v>2392</v>
      </c>
      <c r="G186" s="15">
        <v>52</v>
      </c>
    </row>
    <row r="187" spans="1:7">
      <c r="A187" s="15">
        <v>20</v>
      </c>
      <c r="B187" s="14" t="s">
        <v>588</v>
      </c>
      <c r="C187" s="14" t="s">
        <v>589</v>
      </c>
      <c r="D187" s="14" t="s">
        <v>220</v>
      </c>
      <c r="E187" s="15">
        <v>10000</v>
      </c>
      <c r="F187" s="15">
        <v>2392</v>
      </c>
      <c r="G187" s="15">
        <v>52</v>
      </c>
    </row>
    <row r="188" spans="1:7">
      <c r="A188" s="15">
        <v>20</v>
      </c>
      <c r="B188" s="14" t="s">
        <v>590</v>
      </c>
      <c r="C188" s="14" t="s">
        <v>591</v>
      </c>
      <c r="D188" s="14" t="s">
        <v>220</v>
      </c>
      <c r="E188" s="15">
        <v>9017</v>
      </c>
      <c r="F188" s="15">
        <v>2542</v>
      </c>
      <c r="G188" s="15">
        <v>52</v>
      </c>
    </row>
    <row r="189" spans="1:7">
      <c r="A189" s="15">
        <v>20</v>
      </c>
      <c r="B189" s="14" t="s">
        <v>592</v>
      </c>
      <c r="C189" s="14" t="s">
        <v>593</v>
      </c>
      <c r="D189" s="14" t="s">
        <v>220</v>
      </c>
      <c r="E189" s="15">
        <v>9017</v>
      </c>
      <c r="F189" s="15">
        <v>2542</v>
      </c>
      <c r="G189" s="15">
        <v>52</v>
      </c>
    </row>
    <row r="190" spans="1:7">
      <c r="A190" s="15">
        <v>20</v>
      </c>
      <c r="B190" s="14" t="s">
        <v>594</v>
      </c>
      <c r="C190" s="14" t="s">
        <v>595</v>
      </c>
      <c r="D190" s="14" t="s">
        <v>220</v>
      </c>
      <c r="E190" s="15">
        <v>16000</v>
      </c>
      <c r="F190" s="15">
        <v>2746</v>
      </c>
      <c r="G190" s="15">
        <v>52</v>
      </c>
    </row>
    <row r="191" spans="1:7">
      <c r="A191" s="15">
        <v>20</v>
      </c>
      <c r="B191" s="14" t="s">
        <v>596</v>
      </c>
      <c r="C191" s="14" t="s">
        <v>597</v>
      </c>
      <c r="D191" s="14" t="s">
        <v>220</v>
      </c>
      <c r="E191" s="15">
        <v>13257</v>
      </c>
      <c r="F191" s="15">
        <v>2392</v>
      </c>
      <c r="G191" s="15">
        <v>52</v>
      </c>
    </row>
    <row r="192" spans="1:7">
      <c r="A192" s="15">
        <v>20</v>
      </c>
      <c r="B192" s="14" t="s">
        <v>598</v>
      </c>
      <c r="C192" s="14" t="s">
        <v>599</v>
      </c>
      <c r="D192" s="14" t="s">
        <v>220</v>
      </c>
      <c r="E192" s="15">
        <v>10827</v>
      </c>
      <c r="F192" s="15">
        <v>2392</v>
      </c>
      <c r="G192" s="15">
        <v>52</v>
      </c>
    </row>
    <row r="193" spans="1:7">
      <c r="A193" s="15">
        <v>20</v>
      </c>
      <c r="B193" s="14" t="s">
        <v>600</v>
      </c>
      <c r="C193" s="14" t="s">
        <v>601</v>
      </c>
      <c r="D193" s="14" t="s">
        <v>220</v>
      </c>
      <c r="E193" s="15">
        <v>10120</v>
      </c>
      <c r="F193" s="15">
        <v>2392</v>
      </c>
      <c r="G193" s="15">
        <v>52</v>
      </c>
    </row>
    <row r="194" spans="1:7">
      <c r="A194" s="15">
        <v>20</v>
      </c>
      <c r="B194" s="14" t="s">
        <v>602</v>
      </c>
      <c r="C194" s="14" t="s">
        <v>603</v>
      </c>
      <c r="D194" s="14" t="s">
        <v>220</v>
      </c>
      <c r="E194" s="15">
        <v>8000</v>
      </c>
      <c r="F194" s="15">
        <v>2542</v>
      </c>
      <c r="G194" s="15">
        <v>52</v>
      </c>
    </row>
    <row r="195" spans="1:7">
      <c r="A195" s="15">
        <v>20</v>
      </c>
      <c r="B195" s="14" t="s">
        <v>604</v>
      </c>
      <c r="C195" s="14" t="s">
        <v>605</v>
      </c>
      <c r="D195" s="14" t="s">
        <v>220</v>
      </c>
      <c r="E195" s="15">
        <v>8630</v>
      </c>
      <c r="F195" s="15">
        <v>2392</v>
      </c>
      <c r="G195" s="15">
        <v>52</v>
      </c>
    </row>
    <row r="196" spans="1:7">
      <c r="A196" s="15">
        <v>20</v>
      </c>
      <c r="B196" s="14" t="s">
        <v>606</v>
      </c>
      <c r="C196" s="14" t="s">
        <v>607</v>
      </c>
      <c r="D196" s="14" t="s">
        <v>220</v>
      </c>
      <c r="E196" s="15">
        <v>8320</v>
      </c>
      <c r="F196" s="15">
        <v>2392</v>
      </c>
      <c r="G196" s="15">
        <v>52</v>
      </c>
    </row>
    <row r="197" spans="1:7">
      <c r="A197" s="15">
        <v>212</v>
      </c>
      <c r="B197" s="14" t="s">
        <v>608</v>
      </c>
      <c r="C197" s="14" t="s">
        <v>609</v>
      </c>
      <c r="D197" s="14" t="s">
        <v>220</v>
      </c>
      <c r="E197" s="15">
        <v>9606</v>
      </c>
      <c r="F197" s="15">
        <v>1560</v>
      </c>
      <c r="G197" s="15">
        <v>52</v>
      </c>
    </row>
    <row r="198" spans="1:7">
      <c r="A198" s="15">
        <v>213</v>
      </c>
      <c r="B198" s="14" t="s">
        <v>610</v>
      </c>
      <c r="C198" s="14" t="s">
        <v>611</v>
      </c>
      <c r="D198" s="14" t="s">
        <v>220</v>
      </c>
      <c r="E198" s="15">
        <v>1795</v>
      </c>
      <c r="F198" s="15">
        <v>1296</v>
      </c>
      <c r="G198" s="15">
        <v>49</v>
      </c>
    </row>
    <row r="199" spans="1:7">
      <c r="A199" s="15">
        <v>215</v>
      </c>
      <c r="B199" s="14" t="s">
        <v>612</v>
      </c>
      <c r="C199" s="14" t="s">
        <v>613</v>
      </c>
      <c r="D199" s="14" t="s">
        <v>220</v>
      </c>
      <c r="E199" s="15">
        <v>9800</v>
      </c>
      <c r="F199" s="15">
        <v>2598</v>
      </c>
      <c r="G199" s="15">
        <v>52</v>
      </c>
    </row>
    <row r="200" spans="1:7">
      <c r="A200" s="15">
        <v>228</v>
      </c>
      <c r="B200" s="14" t="s">
        <v>614</v>
      </c>
      <c r="C200" s="14" t="s">
        <v>615</v>
      </c>
      <c r="D200" s="14" t="s">
        <v>220</v>
      </c>
      <c r="E200" s="15">
        <v>5051</v>
      </c>
      <c r="F200" s="15">
        <v>2216</v>
      </c>
      <c r="G200" s="15">
        <v>50</v>
      </c>
    </row>
    <row r="201" spans="1:7">
      <c r="A201" s="15">
        <v>228</v>
      </c>
      <c r="B201" s="14" t="s">
        <v>616</v>
      </c>
      <c r="C201" s="14" t="s">
        <v>617</v>
      </c>
      <c r="D201" s="14" t="s">
        <v>227</v>
      </c>
      <c r="E201" s="15">
        <v>240</v>
      </c>
      <c r="F201" s="15">
        <v>100</v>
      </c>
      <c r="G201" s="15">
        <v>3</v>
      </c>
    </row>
    <row r="202" spans="1:7">
      <c r="A202" s="15">
        <v>228</v>
      </c>
      <c r="B202" s="14" t="s">
        <v>618</v>
      </c>
      <c r="C202" s="14" t="s">
        <v>619</v>
      </c>
      <c r="D202" s="14" t="s">
        <v>220</v>
      </c>
      <c r="E202" s="15">
        <v>15151</v>
      </c>
      <c r="F202" s="15">
        <v>2307</v>
      </c>
      <c r="G202" s="15">
        <v>51</v>
      </c>
    </row>
    <row r="203" spans="1:7">
      <c r="A203" s="15">
        <v>228</v>
      </c>
      <c r="B203" s="14" t="s">
        <v>620</v>
      </c>
      <c r="C203" s="14" t="s">
        <v>621</v>
      </c>
      <c r="D203" s="14" t="s">
        <v>220</v>
      </c>
      <c r="E203" s="15">
        <v>1073</v>
      </c>
      <c r="F203" s="15">
        <v>962</v>
      </c>
      <c r="G203" s="15">
        <v>48</v>
      </c>
    </row>
    <row r="204" spans="1:7">
      <c r="A204" s="15">
        <v>228</v>
      </c>
      <c r="B204" s="14" t="s">
        <v>622</v>
      </c>
      <c r="C204" s="14" t="s">
        <v>623</v>
      </c>
      <c r="D204" s="14" t="s">
        <v>220</v>
      </c>
      <c r="E204" s="15">
        <v>8034</v>
      </c>
      <c r="F204" s="15">
        <v>1231</v>
      </c>
      <c r="G204" s="15">
        <v>29</v>
      </c>
    </row>
    <row r="205" spans="1:7">
      <c r="A205" s="15">
        <v>228</v>
      </c>
      <c r="B205" s="14" t="s">
        <v>624</v>
      </c>
      <c r="C205" s="14" t="s">
        <v>625</v>
      </c>
      <c r="D205" s="14" t="s">
        <v>220</v>
      </c>
      <c r="E205" s="15">
        <v>0</v>
      </c>
      <c r="F205" s="15">
        <v>0</v>
      </c>
      <c r="G205" s="15">
        <v>0</v>
      </c>
    </row>
    <row r="206" spans="1:7">
      <c r="A206" s="15">
        <v>231</v>
      </c>
      <c r="B206" s="14" t="s">
        <v>626</v>
      </c>
      <c r="C206" s="14" t="s">
        <v>627</v>
      </c>
      <c r="D206" s="14" t="s">
        <v>220</v>
      </c>
      <c r="E206" s="15">
        <v>1287</v>
      </c>
      <c r="F206" s="15">
        <v>1912</v>
      </c>
      <c r="G206" s="15">
        <v>50</v>
      </c>
    </row>
    <row r="207" spans="1:7">
      <c r="A207" s="15">
        <v>236</v>
      </c>
      <c r="B207" s="14" t="s">
        <v>628</v>
      </c>
      <c r="C207" s="14" t="s">
        <v>629</v>
      </c>
      <c r="D207" s="14" t="s">
        <v>220</v>
      </c>
      <c r="E207" s="15">
        <v>3433</v>
      </c>
      <c r="F207" s="15">
        <v>1970</v>
      </c>
      <c r="G207" s="15">
        <v>52</v>
      </c>
    </row>
    <row r="208" spans="1:7">
      <c r="A208" s="15">
        <v>236</v>
      </c>
      <c r="B208" s="14" t="s">
        <v>630</v>
      </c>
      <c r="C208" s="14" t="s">
        <v>631</v>
      </c>
      <c r="D208" s="14" t="s">
        <v>220</v>
      </c>
      <c r="E208" s="15">
        <v>9200</v>
      </c>
      <c r="F208" s="15">
        <v>2265</v>
      </c>
      <c r="G208" s="15">
        <v>52</v>
      </c>
    </row>
    <row r="209" spans="1:7">
      <c r="A209" s="15">
        <v>238</v>
      </c>
      <c r="B209" s="14" t="s">
        <v>632</v>
      </c>
      <c r="C209" s="14" t="s">
        <v>633</v>
      </c>
      <c r="D209" s="14" t="s">
        <v>220</v>
      </c>
      <c r="E209" s="15">
        <v>500</v>
      </c>
      <c r="F209" s="15">
        <v>1005</v>
      </c>
      <c r="G209" s="15">
        <v>52</v>
      </c>
    </row>
    <row r="210" spans="1:7">
      <c r="A210" s="15">
        <v>240</v>
      </c>
      <c r="B210" s="14" t="s">
        <v>634</v>
      </c>
      <c r="C210" s="14" t="s">
        <v>635</v>
      </c>
      <c r="D210" s="14" t="s">
        <v>220</v>
      </c>
      <c r="E210" s="15">
        <v>12630</v>
      </c>
      <c r="F210" s="15">
        <v>2727</v>
      </c>
      <c r="G210" s="15">
        <v>52</v>
      </c>
    </row>
    <row r="211" spans="1:7">
      <c r="A211" s="15">
        <v>240</v>
      </c>
      <c r="B211" s="14" t="s">
        <v>636</v>
      </c>
      <c r="C211" s="14" t="s">
        <v>637</v>
      </c>
      <c r="D211" s="14" t="s">
        <v>220</v>
      </c>
      <c r="E211" s="15">
        <v>10426</v>
      </c>
      <c r="F211" s="15">
        <v>2727</v>
      </c>
      <c r="G211" s="15">
        <v>52</v>
      </c>
    </row>
    <row r="212" spans="1:7">
      <c r="A212" s="15">
        <v>240</v>
      </c>
      <c r="B212" s="14" t="s">
        <v>638</v>
      </c>
      <c r="C212" s="14" t="s">
        <v>639</v>
      </c>
      <c r="D212" s="14" t="s">
        <v>220</v>
      </c>
      <c r="E212" s="15">
        <v>10426</v>
      </c>
      <c r="F212" s="15">
        <v>2727</v>
      </c>
      <c r="G212" s="15">
        <v>52</v>
      </c>
    </row>
    <row r="213" spans="1:7">
      <c r="A213" s="15">
        <v>254</v>
      </c>
      <c r="B213" s="14" t="s">
        <v>640</v>
      </c>
      <c r="C213" s="14" t="s">
        <v>641</v>
      </c>
      <c r="D213" s="14" t="s">
        <v>220</v>
      </c>
      <c r="E213" s="15">
        <v>11000</v>
      </c>
      <c r="F213" s="15">
        <v>3322</v>
      </c>
      <c r="G213" s="15">
        <v>52</v>
      </c>
    </row>
    <row r="214" spans="1:7">
      <c r="A214" s="15">
        <v>254</v>
      </c>
      <c r="B214" s="14" t="s">
        <v>642</v>
      </c>
      <c r="C214" s="14" t="s">
        <v>643</v>
      </c>
      <c r="D214" s="14" t="s">
        <v>220</v>
      </c>
      <c r="E214" s="15">
        <v>11000</v>
      </c>
      <c r="F214" s="15">
        <v>3322</v>
      </c>
      <c r="G214" s="15">
        <v>52</v>
      </c>
    </row>
    <row r="215" spans="1:7">
      <c r="A215" s="15">
        <v>256</v>
      </c>
      <c r="B215" s="14" t="s">
        <v>644</v>
      </c>
      <c r="C215" s="14" t="s">
        <v>645</v>
      </c>
      <c r="D215" s="14" t="s">
        <v>220</v>
      </c>
      <c r="E215" s="15">
        <v>20000</v>
      </c>
      <c r="F215" s="15">
        <v>3136</v>
      </c>
      <c r="G215" s="15">
        <v>52</v>
      </c>
    </row>
    <row r="216" spans="1:7">
      <c r="A216" s="15">
        <v>262</v>
      </c>
      <c r="B216" s="14" t="s">
        <v>646</v>
      </c>
      <c r="C216" s="14" t="s">
        <v>647</v>
      </c>
      <c r="D216" s="14" t="s">
        <v>220</v>
      </c>
      <c r="E216" s="15">
        <v>10000</v>
      </c>
      <c r="F216" s="15">
        <v>2730</v>
      </c>
      <c r="G216" s="15">
        <v>52</v>
      </c>
    </row>
    <row r="217" spans="1:7">
      <c r="A217" s="15">
        <v>264</v>
      </c>
      <c r="B217" s="14" t="s">
        <v>648</v>
      </c>
      <c r="C217" s="14" t="s">
        <v>649</v>
      </c>
      <c r="D217" s="14" t="s">
        <v>220</v>
      </c>
      <c r="E217" s="15">
        <v>32956</v>
      </c>
      <c r="F217" s="15">
        <v>3000</v>
      </c>
      <c r="G217" s="15">
        <v>49</v>
      </c>
    </row>
    <row r="218" spans="1:7">
      <c r="A218" s="15">
        <v>266</v>
      </c>
      <c r="B218" s="14" t="s">
        <v>650</v>
      </c>
      <c r="C218" s="14" t="s">
        <v>651</v>
      </c>
      <c r="D218" s="14" t="s">
        <v>227</v>
      </c>
      <c r="E218" s="15">
        <v>0</v>
      </c>
      <c r="F218" s="15">
        <v>212</v>
      </c>
      <c r="G218" s="15">
        <v>48</v>
      </c>
    </row>
    <row r="219" spans="1:7">
      <c r="A219" s="15">
        <v>269</v>
      </c>
      <c r="B219" s="14" t="s">
        <v>652</v>
      </c>
      <c r="C219" s="14" t="s">
        <v>653</v>
      </c>
      <c r="D219" s="14" t="s">
        <v>220</v>
      </c>
      <c r="E219" s="15">
        <v>480</v>
      </c>
      <c r="F219" s="15">
        <v>900</v>
      </c>
      <c r="G219" s="15">
        <v>52</v>
      </c>
    </row>
    <row r="220" spans="1:7">
      <c r="A220" s="15">
        <v>269</v>
      </c>
      <c r="B220" s="14" t="s">
        <v>654</v>
      </c>
      <c r="C220" s="14" t="s">
        <v>655</v>
      </c>
      <c r="D220" s="14" t="s">
        <v>220</v>
      </c>
      <c r="E220" s="15">
        <v>2030</v>
      </c>
      <c r="F220" s="15">
        <v>2223</v>
      </c>
      <c r="G220" s="15">
        <v>52</v>
      </c>
    </row>
    <row r="221" spans="1:7">
      <c r="A221" s="15">
        <v>28</v>
      </c>
      <c r="B221" s="14" t="s">
        <v>656</v>
      </c>
      <c r="C221" s="14" t="s">
        <v>657</v>
      </c>
      <c r="D221" s="14" t="s">
        <v>220</v>
      </c>
      <c r="E221" s="15">
        <v>500</v>
      </c>
      <c r="F221" s="15">
        <v>896</v>
      </c>
      <c r="G221" s="15">
        <v>46</v>
      </c>
    </row>
    <row r="222" spans="1:7">
      <c r="A222" s="15">
        <v>283</v>
      </c>
      <c r="B222" s="14" t="s">
        <v>658</v>
      </c>
      <c r="C222" s="14" t="s">
        <v>659</v>
      </c>
      <c r="D222" s="14" t="s">
        <v>220</v>
      </c>
      <c r="E222" s="15">
        <v>805</v>
      </c>
      <c r="F222" s="15">
        <v>1000</v>
      </c>
      <c r="G222" s="15">
        <v>50</v>
      </c>
    </row>
    <row r="223" spans="1:7">
      <c r="A223" s="15">
        <v>284</v>
      </c>
      <c r="B223" s="14" t="s">
        <v>660</v>
      </c>
      <c r="C223" s="14" t="s">
        <v>661</v>
      </c>
      <c r="D223" s="14" t="s">
        <v>220</v>
      </c>
      <c r="E223" s="15">
        <v>736</v>
      </c>
      <c r="F223" s="15">
        <v>1378</v>
      </c>
      <c r="G223" s="15">
        <v>50</v>
      </c>
    </row>
    <row r="224" spans="1:7">
      <c r="A224" s="15">
        <v>295</v>
      </c>
      <c r="B224" s="14" t="s">
        <v>662</v>
      </c>
      <c r="C224" s="14" t="s">
        <v>663</v>
      </c>
      <c r="D224" s="14" t="s">
        <v>220</v>
      </c>
      <c r="E224" s="15">
        <v>1099</v>
      </c>
      <c r="F224" s="15">
        <v>1030</v>
      </c>
      <c r="G224" s="15">
        <v>52</v>
      </c>
    </row>
    <row r="225" spans="1:7">
      <c r="A225" s="15">
        <v>298</v>
      </c>
      <c r="B225" s="14" t="s">
        <v>664</v>
      </c>
      <c r="C225" s="14" t="s">
        <v>665</v>
      </c>
      <c r="D225" s="14" t="s">
        <v>220</v>
      </c>
      <c r="E225" s="15">
        <v>1000</v>
      </c>
      <c r="F225" s="15">
        <v>880</v>
      </c>
      <c r="G225" s="15">
        <v>47</v>
      </c>
    </row>
    <row r="226" spans="1:7">
      <c r="A226" s="15">
        <v>298</v>
      </c>
      <c r="B226" s="14" t="s">
        <v>666</v>
      </c>
      <c r="C226" s="14" t="s">
        <v>667</v>
      </c>
      <c r="D226" s="14" t="s">
        <v>220</v>
      </c>
      <c r="E226" s="15">
        <v>3444</v>
      </c>
      <c r="F226" s="15">
        <v>988</v>
      </c>
      <c r="G226" s="15">
        <v>52</v>
      </c>
    </row>
    <row r="227" spans="1:7">
      <c r="A227" s="15">
        <v>298</v>
      </c>
      <c r="B227" s="14" t="s">
        <v>668</v>
      </c>
      <c r="C227" s="14" t="s">
        <v>669</v>
      </c>
      <c r="D227" s="14" t="s">
        <v>220</v>
      </c>
      <c r="E227" s="15">
        <v>1200</v>
      </c>
      <c r="F227" s="15">
        <v>988</v>
      </c>
      <c r="G227" s="15">
        <v>52</v>
      </c>
    </row>
    <row r="228" spans="1:7">
      <c r="A228" s="15">
        <v>30</v>
      </c>
      <c r="B228" s="14" t="s">
        <v>670</v>
      </c>
      <c r="C228" s="14" t="s">
        <v>671</v>
      </c>
      <c r="D228" s="14" t="s">
        <v>220</v>
      </c>
      <c r="E228" s="15">
        <v>11500</v>
      </c>
      <c r="F228" s="15">
        <v>3132</v>
      </c>
      <c r="G228" s="15">
        <v>52</v>
      </c>
    </row>
    <row r="229" spans="1:7">
      <c r="A229" s="15">
        <v>30</v>
      </c>
      <c r="B229" s="14" t="s">
        <v>672</v>
      </c>
      <c r="C229" s="14" t="s">
        <v>673</v>
      </c>
      <c r="D229" s="14" t="s">
        <v>220</v>
      </c>
      <c r="E229" s="15">
        <v>1400</v>
      </c>
      <c r="F229" s="15">
        <v>2617</v>
      </c>
      <c r="G229" s="15">
        <v>52</v>
      </c>
    </row>
    <row r="230" spans="1:7">
      <c r="A230" s="15">
        <v>30</v>
      </c>
      <c r="B230" s="14" t="s">
        <v>674</v>
      </c>
      <c r="C230" s="14" t="s">
        <v>675</v>
      </c>
      <c r="D230" s="14" t="s">
        <v>220</v>
      </c>
      <c r="E230" s="15">
        <v>16030</v>
      </c>
      <c r="F230" s="15">
        <v>3132</v>
      </c>
      <c r="G230" s="15">
        <v>52</v>
      </c>
    </row>
    <row r="231" spans="1:7">
      <c r="A231" s="15">
        <v>30</v>
      </c>
      <c r="B231" s="14" t="s">
        <v>676</v>
      </c>
      <c r="C231" s="14" t="s">
        <v>677</v>
      </c>
      <c r="D231" s="14" t="s">
        <v>220</v>
      </c>
      <c r="E231" s="15">
        <v>24008</v>
      </c>
      <c r="F231" s="15">
        <v>3124</v>
      </c>
      <c r="G231" s="15">
        <v>52</v>
      </c>
    </row>
    <row r="232" spans="1:7">
      <c r="A232" s="15">
        <v>30</v>
      </c>
      <c r="B232" s="14" t="s">
        <v>678</v>
      </c>
      <c r="C232" s="14" t="s">
        <v>679</v>
      </c>
      <c r="D232" s="14" t="s">
        <v>220</v>
      </c>
      <c r="E232" s="15">
        <v>11970</v>
      </c>
      <c r="F232" s="15">
        <v>3132</v>
      </c>
      <c r="G232" s="15">
        <v>52</v>
      </c>
    </row>
    <row r="233" spans="1:7">
      <c r="A233" s="15">
        <v>300</v>
      </c>
      <c r="B233" s="14" t="s">
        <v>680</v>
      </c>
      <c r="C233" s="14" t="s">
        <v>681</v>
      </c>
      <c r="D233" s="14" t="s">
        <v>220</v>
      </c>
      <c r="E233" s="15">
        <v>10300</v>
      </c>
      <c r="F233" s="15">
        <v>2416</v>
      </c>
      <c r="G233" s="15">
        <v>52</v>
      </c>
    </row>
    <row r="234" spans="1:7">
      <c r="A234" s="15">
        <v>311</v>
      </c>
      <c r="B234" s="14" t="s">
        <v>682</v>
      </c>
      <c r="C234" s="14" t="s">
        <v>683</v>
      </c>
      <c r="D234" s="14" t="s">
        <v>220</v>
      </c>
      <c r="E234" s="15">
        <v>30000</v>
      </c>
      <c r="F234" s="15">
        <v>3421</v>
      </c>
      <c r="G234" s="15">
        <v>52</v>
      </c>
    </row>
    <row r="235" spans="1:7">
      <c r="A235" s="15">
        <v>311</v>
      </c>
      <c r="B235" s="14" t="s">
        <v>684</v>
      </c>
      <c r="C235" s="14" t="s">
        <v>685</v>
      </c>
      <c r="D235" s="14" t="s">
        <v>220</v>
      </c>
      <c r="E235" s="15">
        <v>30000</v>
      </c>
      <c r="F235" s="15">
        <v>3433</v>
      </c>
      <c r="G235" s="15">
        <v>52</v>
      </c>
    </row>
    <row r="236" spans="1:7">
      <c r="A236" s="15">
        <v>311</v>
      </c>
      <c r="B236" s="14" t="s">
        <v>686</v>
      </c>
      <c r="C236" s="14" t="s">
        <v>687</v>
      </c>
      <c r="D236" s="14" t="s">
        <v>220</v>
      </c>
      <c r="E236" s="15">
        <v>30000</v>
      </c>
      <c r="F236" s="15">
        <v>3352</v>
      </c>
      <c r="G236" s="15">
        <v>52</v>
      </c>
    </row>
    <row r="237" spans="1:7">
      <c r="A237" s="15">
        <v>311</v>
      </c>
      <c r="B237" s="14" t="s">
        <v>688</v>
      </c>
      <c r="C237" s="14" t="s">
        <v>689</v>
      </c>
      <c r="D237" s="14" t="s">
        <v>220</v>
      </c>
      <c r="E237" s="15">
        <v>30000</v>
      </c>
      <c r="F237" s="15">
        <v>3356</v>
      </c>
      <c r="G237" s="15">
        <v>52</v>
      </c>
    </row>
    <row r="238" spans="1:7">
      <c r="A238" s="15">
        <v>315</v>
      </c>
      <c r="B238" s="14" t="s">
        <v>690</v>
      </c>
      <c r="C238" s="14" t="s">
        <v>691</v>
      </c>
      <c r="D238" s="14" t="s">
        <v>220</v>
      </c>
      <c r="E238" s="15">
        <v>500</v>
      </c>
      <c r="F238" s="15">
        <v>877</v>
      </c>
      <c r="G238" s="15">
        <v>52</v>
      </c>
    </row>
    <row r="239" spans="1:7">
      <c r="A239" s="15">
        <v>316</v>
      </c>
      <c r="B239" s="14" t="s">
        <v>692</v>
      </c>
      <c r="C239" s="14" t="s">
        <v>693</v>
      </c>
      <c r="D239" s="14" t="s">
        <v>220</v>
      </c>
      <c r="E239" s="15">
        <v>3867</v>
      </c>
      <c r="F239" s="15">
        <v>1593</v>
      </c>
      <c r="G239" s="15">
        <v>50</v>
      </c>
    </row>
    <row r="240" spans="1:7">
      <c r="A240" s="15">
        <v>316</v>
      </c>
      <c r="B240" s="14" t="s">
        <v>694</v>
      </c>
      <c r="C240" s="14" t="s">
        <v>695</v>
      </c>
      <c r="D240" s="14" t="s">
        <v>220</v>
      </c>
      <c r="E240" s="15">
        <v>1786</v>
      </c>
      <c r="F240" s="15">
        <v>1503</v>
      </c>
      <c r="G240" s="15">
        <v>51</v>
      </c>
    </row>
    <row r="241" spans="1:7">
      <c r="A241" s="15">
        <v>316</v>
      </c>
      <c r="B241" s="14" t="s">
        <v>696</v>
      </c>
      <c r="C241" s="14" t="s">
        <v>697</v>
      </c>
      <c r="D241" s="14" t="s">
        <v>220</v>
      </c>
      <c r="E241" s="15">
        <v>7560</v>
      </c>
      <c r="F241" s="15">
        <v>1505</v>
      </c>
      <c r="G241" s="15">
        <v>51</v>
      </c>
    </row>
    <row r="242" spans="1:7">
      <c r="A242" s="15">
        <v>324</v>
      </c>
      <c r="B242" s="14" t="s">
        <v>698</v>
      </c>
      <c r="C242" s="14" t="s">
        <v>699</v>
      </c>
      <c r="D242" s="14" t="s">
        <v>220</v>
      </c>
      <c r="E242" s="15">
        <v>888</v>
      </c>
      <c r="F242" s="15">
        <v>714</v>
      </c>
      <c r="G242" s="15">
        <v>52</v>
      </c>
    </row>
    <row r="243" spans="1:7">
      <c r="A243" s="15">
        <v>329</v>
      </c>
      <c r="B243" s="14" t="s">
        <v>700</v>
      </c>
      <c r="C243" s="14" t="s">
        <v>701</v>
      </c>
      <c r="D243" s="14" t="s">
        <v>220</v>
      </c>
      <c r="E243" s="15">
        <v>18600</v>
      </c>
      <c r="F243" s="15">
        <v>2537</v>
      </c>
      <c r="G243" s="15">
        <v>52</v>
      </c>
    </row>
    <row r="244" spans="1:7">
      <c r="A244" s="15">
        <v>329</v>
      </c>
      <c r="B244" s="14" t="s">
        <v>702</v>
      </c>
      <c r="C244" s="14" t="s">
        <v>703</v>
      </c>
      <c r="D244" s="14" t="s">
        <v>220</v>
      </c>
      <c r="E244" s="15">
        <v>6280</v>
      </c>
      <c r="F244" s="15">
        <v>2136</v>
      </c>
      <c r="G244" s="15">
        <v>52</v>
      </c>
    </row>
    <row r="245" spans="1:7">
      <c r="A245" s="15">
        <v>329</v>
      </c>
      <c r="B245" s="14" t="s">
        <v>704</v>
      </c>
      <c r="C245" s="14" t="s">
        <v>705</v>
      </c>
      <c r="D245" s="14" t="s">
        <v>220</v>
      </c>
      <c r="E245" s="15">
        <v>77000</v>
      </c>
      <c r="F245" s="15">
        <v>2840</v>
      </c>
      <c r="G245" s="15">
        <v>52</v>
      </c>
    </row>
    <row r="246" spans="1:7">
      <c r="A246" s="15">
        <v>329</v>
      </c>
      <c r="B246" s="14" t="s">
        <v>706</v>
      </c>
      <c r="C246" s="14" t="s">
        <v>707</v>
      </c>
      <c r="D246" s="14" t="s">
        <v>220</v>
      </c>
      <c r="E246" s="15">
        <v>1535</v>
      </c>
      <c r="F246" s="15">
        <v>2241</v>
      </c>
      <c r="G246" s="15">
        <v>52</v>
      </c>
    </row>
    <row r="247" spans="1:7">
      <c r="A247" s="15">
        <v>329</v>
      </c>
      <c r="B247" s="14" t="s">
        <v>708</v>
      </c>
      <c r="C247" s="14" t="s">
        <v>709</v>
      </c>
      <c r="D247" s="14" t="s">
        <v>220</v>
      </c>
      <c r="E247" s="15">
        <v>10500</v>
      </c>
      <c r="F247" s="15">
        <v>2169</v>
      </c>
      <c r="G247" s="15">
        <v>52</v>
      </c>
    </row>
    <row r="248" spans="1:7">
      <c r="A248" s="15">
        <v>329</v>
      </c>
      <c r="B248" s="14" t="s">
        <v>710</v>
      </c>
      <c r="C248" s="14" t="s">
        <v>711</v>
      </c>
      <c r="D248" s="14" t="s">
        <v>220</v>
      </c>
      <c r="E248" s="15">
        <v>4800</v>
      </c>
      <c r="F248" s="15">
        <v>1991</v>
      </c>
      <c r="G248" s="15">
        <v>52</v>
      </c>
    </row>
    <row r="249" spans="1:7">
      <c r="A249" s="15">
        <v>329</v>
      </c>
      <c r="B249" s="14" t="s">
        <v>712</v>
      </c>
      <c r="C249" s="14" t="s">
        <v>713</v>
      </c>
      <c r="D249" s="14" t="s">
        <v>220</v>
      </c>
      <c r="E249" s="15">
        <v>19400</v>
      </c>
      <c r="F249" s="15">
        <v>2537</v>
      </c>
      <c r="G249" s="15">
        <v>52</v>
      </c>
    </row>
    <row r="250" spans="1:7">
      <c r="A250" s="15">
        <v>329</v>
      </c>
      <c r="B250" s="14" t="s">
        <v>714</v>
      </c>
      <c r="C250" s="14" t="s">
        <v>715</v>
      </c>
      <c r="D250" s="14" t="s">
        <v>220</v>
      </c>
      <c r="E250" s="15">
        <v>33500</v>
      </c>
      <c r="F250" s="15">
        <v>2536</v>
      </c>
      <c r="G250" s="15">
        <v>52</v>
      </c>
    </row>
    <row r="251" spans="1:7">
      <c r="A251" s="15">
        <v>329</v>
      </c>
      <c r="B251" s="14" t="s">
        <v>716</v>
      </c>
      <c r="C251" s="14" t="s">
        <v>717</v>
      </c>
      <c r="D251" s="14" t="s">
        <v>220</v>
      </c>
      <c r="E251" s="15">
        <v>21300</v>
      </c>
      <c r="F251" s="15">
        <v>2523</v>
      </c>
      <c r="G251" s="15">
        <v>52</v>
      </c>
    </row>
    <row r="252" spans="1:7">
      <c r="A252" s="15">
        <v>329</v>
      </c>
      <c r="B252" s="14" t="s">
        <v>718</v>
      </c>
      <c r="C252" s="14" t="s">
        <v>719</v>
      </c>
      <c r="D252" s="14" t="s">
        <v>220</v>
      </c>
      <c r="E252" s="15">
        <v>44989</v>
      </c>
      <c r="F252" s="15">
        <v>3493</v>
      </c>
      <c r="G252" s="15">
        <v>52</v>
      </c>
    </row>
    <row r="253" spans="1:7">
      <c r="A253" s="15">
        <v>329</v>
      </c>
      <c r="B253" s="14" t="s">
        <v>720</v>
      </c>
      <c r="C253" s="14" t="s">
        <v>721</v>
      </c>
      <c r="D253" s="14" t="s">
        <v>220</v>
      </c>
      <c r="E253" s="15">
        <v>40193</v>
      </c>
      <c r="F253" s="15">
        <v>2541</v>
      </c>
      <c r="G253" s="15">
        <v>52</v>
      </c>
    </row>
    <row r="254" spans="1:7">
      <c r="A254" s="15">
        <v>334</v>
      </c>
      <c r="B254" s="14" t="s">
        <v>722</v>
      </c>
      <c r="C254" s="14" t="s">
        <v>723</v>
      </c>
      <c r="D254" s="14" t="s">
        <v>220</v>
      </c>
      <c r="E254" s="15">
        <v>1424</v>
      </c>
      <c r="F254" s="15">
        <v>917</v>
      </c>
      <c r="G254" s="15">
        <v>46</v>
      </c>
    </row>
    <row r="255" spans="1:7">
      <c r="A255" s="15">
        <v>343</v>
      </c>
      <c r="B255" s="14" t="s">
        <v>724</v>
      </c>
      <c r="C255" s="14" t="s">
        <v>725</v>
      </c>
      <c r="D255" s="14" t="s">
        <v>220</v>
      </c>
      <c r="E255" s="15">
        <v>5096</v>
      </c>
      <c r="F255" s="15">
        <v>1932</v>
      </c>
      <c r="G255" s="15">
        <v>52</v>
      </c>
    </row>
    <row r="256" spans="1:7">
      <c r="A256" s="15">
        <v>343</v>
      </c>
      <c r="B256" s="14" t="s">
        <v>726</v>
      </c>
      <c r="C256" s="14" t="s">
        <v>727</v>
      </c>
      <c r="D256" s="14" t="s">
        <v>220</v>
      </c>
      <c r="E256" s="15">
        <v>2680</v>
      </c>
      <c r="F256" s="15">
        <v>1684</v>
      </c>
      <c r="G256" s="15">
        <v>52</v>
      </c>
    </row>
    <row r="257" spans="1:7">
      <c r="A257" s="15">
        <v>344</v>
      </c>
      <c r="B257" s="14" t="s">
        <v>728</v>
      </c>
      <c r="C257" s="14" t="s">
        <v>729</v>
      </c>
      <c r="D257" s="14" t="s">
        <v>220</v>
      </c>
      <c r="E257" s="15">
        <v>10336</v>
      </c>
      <c r="F257" s="15">
        <v>2912</v>
      </c>
      <c r="G257" s="15">
        <v>52</v>
      </c>
    </row>
    <row r="258" spans="1:7">
      <c r="A258" s="15">
        <v>344</v>
      </c>
      <c r="B258" s="14" t="s">
        <v>730</v>
      </c>
      <c r="C258" s="14" t="s">
        <v>731</v>
      </c>
      <c r="D258" s="14" t="s">
        <v>220</v>
      </c>
      <c r="E258" s="15">
        <v>14470</v>
      </c>
      <c r="F258" s="15">
        <v>2912</v>
      </c>
      <c r="G258" s="15">
        <v>52</v>
      </c>
    </row>
    <row r="259" spans="1:7">
      <c r="A259" s="15">
        <v>344</v>
      </c>
      <c r="B259" s="14" t="s">
        <v>568</v>
      </c>
      <c r="C259" s="14" t="s">
        <v>732</v>
      </c>
      <c r="D259" s="14" t="s">
        <v>220</v>
      </c>
      <c r="E259" s="15">
        <v>10770</v>
      </c>
      <c r="F259" s="15">
        <v>2912</v>
      </c>
      <c r="G259" s="15">
        <v>52</v>
      </c>
    </row>
    <row r="260" spans="1:7">
      <c r="A260" s="15">
        <v>344</v>
      </c>
      <c r="B260" s="14" t="s">
        <v>733</v>
      </c>
      <c r="C260" s="14" t="s">
        <v>734</v>
      </c>
      <c r="D260" s="14" t="s">
        <v>220</v>
      </c>
      <c r="E260" s="15">
        <v>13617</v>
      </c>
      <c r="F260" s="15">
        <v>2912</v>
      </c>
      <c r="G260" s="15">
        <v>52</v>
      </c>
    </row>
    <row r="261" spans="1:7">
      <c r="A261" s="15">
        <v>344</v>
      </c>
      <c r="B261" s="14" t="s">
        <v>735</v>
      </c>
      <c r="C261" s="14" t="s">
        <v>736</v>
      </c>
      <c r="D261" s="14" t="s">
        <v>220</v>
      </c>
      <c r="E261" s="15">
        <v>9234</v>
      </c>
      <c r="F261" s="15">
        <v>2912</v>
      </c>
      <c r="G261" s="15">
        <v>52</v>
      </c>
    </row>
    <row r="262" spans="1:7">
      <c r="A262" s="15">
        <v>344</v>
      </c>
      <c r="B262" s="14" t="s">
        <v>737</v>
      </c>
      <c r="C262" s="14" t="s">
        <v>738</v>
      </c>
      <c r="D262" s="14" t="s">
        <v>220</v>
      </c>
      <c r="E262" s="15">
        <v>13065</v>
      </c>
      <c r="F262" s="15">
        <v>2912</v>
      </c>
      <c r="G262" s="15">
        <v>52</v>
      </c>
    </row>
    <row r="263" spans="1:7">
      <c r="A263" s="15">
        <v>344</v>
      </c>
      <c r="B263" s="14" t="s">
        <v>739</v>
      </c>
      <c r="C263" s="14" t="s">
        <v>740</v>
      </c>
      <c r="D263" s="14" t="s">
        <v>220</v>
      </c>
      <c r="E263" s="15">
        <v>11428</v>
      </c>
      <c r="F263" s="15">
        <v>2912</v>
      </c>
      <c r="G263" s="15">
        <v>52</v>
      </c>
    </row>
    <row r="264" spans="1:7">
      <c r="A264" s="15">
        <v>344</v>
      </c>
      <c r="B264" s="14" t="s">
        <v>741</v>
      </c>
      <c r="C264" s="14" t="s">
        <v>742</v>
      </c>
      <c r="D264" s="14" t="s">
        <v>220</v>
      </c>
      <c r="E264" s="15">
        <v>5252</v>
      </c>
      <c r="F264" s="15">
        <v>2912</v>
      </c>
      <c r="G264" s="15">
        <v>52</v>
      </c>
    </row>
    <row r="265" spans="1:7">
      <c r="A265" s="15">
        <v>344</v>
      </c>
      <c r="B265" s="14" t="s">
        <v>743</v>
      </c>
      <c r="C265" s="14" t="s">
        <v>744</v>
      </c>
      <c r="D265" s="14" t="s">
        <v>220</v>
      </c>
      <c r="E265" s="15">
        <v>13792</v>
      </c>
      <c r="F265" s="15">
        <v>2912</v>
      </c>
      <c r="G265" s="15">
        <v>52</v>
      </c>
    </row>
    <row r="266" spans="1:7">
      <c r="A266" s="15">
        <v>344</v>
      </c>
      <c r="B266" s="14" t="s">
        <v>745</v>
      </c>
      <c r="C266" s="14" t="s">
        <v>746</v>
      </c>
      <c r="D266" s="14" t="s">
        <v>220</v>
      </c>
      <c r="E266" s="15">
        <v>12677</v>
      </c>
      <c r="F266" s="15">
        <v>2912</v>
      </c>
      <c r="G266" s="15">
        <v>52</v>
      </c>
    </row>
    <row r="267" spans="1:7">
      <c r="A267" s="15">
        <v>344</v>
      </c>
      <c r="B267" s="14" t="s">
        <v>747</v>
      </c>
      <c r="C267" s="14" t="s">
        <v>748</v>
      </c>
      <c r="D267" s="14" t="s">
        <v>220</v>
      </c>
      <c r="E267" s="15">
        <v>9999</v>
      </c>
      <c r="F267" s="15">
        <v>2912</v>
      </c>
      <c r="G267" s="15">
        <v>52</v>
      </c>
    </row>
    <row r="268" spans="1:7">
      <c r="A268" s="15">
        <v>344</v>
      </c>
      <c r="B268" s="14" t="s">
        <v>749</v>
      </c>
      <c r="C268" s="14" t="s">
        <v>750</v>
      </c>
      <c r="D268" s="14" t="s">
        <v>220</v>
      </c>
      <c r="E268" s="15">
        <v>13060</v>
      </c>
      <c r="F268" s="15">
        <v>2912</v>
      </c>
      <c r="G268" s="15">
        <v>52</v>
      </c>
    </row>
    <row r="269" spans="1:7">
      <c r="A269" s="15">
        <v>344</v>
      </c>
      <c r="B269" s="14" t="s">
        <v>751</v>
      </c>
      <c r="C269" s="14" t="s">
        <v>752</v>
      </c>
      <c r="D269" s="14" t="s">
        <v>220</v>
      </c>
      <c r="E269" s="15">
        <v>11322</v>
      </c>
      <c r="F269" s="15">
        <v>2912</v>
      </c>
      <c r="G269" s="15">
        <v>52</v>
      </c>
    </row>
    <row r="270" spans="1:7">
      <c r="A270" s="15">
        <v>344</v>
      </c>
      <c r="B270" s="14" t="s">
        <v>753</v>
      </c>
      <c r="C270" s="14" t="s">
        <v>754</v>
      </c>
      <c r="D270" s="14" t="s">
        <v>220</v>
      </c>
      <c r="E270" s="15">
        <v>4450</v>
      </c>
      <c r="F270" s="15">
        <v>2912</v>
      </c>
      <c r="G270" s="15">
        <v>52</v>
      </c>
    </row>
    <row r="271" spans="1:7">
      <c r="A271" s="15">
        <v>344</v>
      </c>
      <c r="B271" s="14" t="s">
        <v>755</v>
      </c>
      <c r="C271" s="14" t="s">
        <v>756</v>
      </c>
      <c r="D271" s="14" t="s">
        <v>220</v>
      </c>
      <c r="E271" s="15">
        <v>12304</v>
      </c>
      <c r="F271" s="15">
        <v>2912</v>
      </c>
      <c r="G271" s="15">
        <v>52</v>
      </c>
    </row>
    <row r="272" spans="1:7">
      <c r="A272" s="15">
        <v>344</v>
      </c>
      <c r="B272" s="14" t="s">
        <v>757</v>
      </c>
      <c r="C272" s="14" t="s">
        <v>758</v>
      </c>
      <c r="D272" s="14" t="s">
        <v>220</v>
      </c>
      <c r="E272" s="15">
        <v>12035</v>
      </c>
      <c r="F272" s="15">
        <v>2912</v>
      </c>
      <c r="G272" s="15">
        <v>52</v>
      </c>
    </row>
    <row r="273" spans="1:7">
      <c r="A273" s="15">
        <v>344</v>
      </c>
      <c r="B273" s="14" t="s">
        <v>759</v>
      </c>
      <c r="C273" s="14" t="s">
        <v>760</v>
      </c>
      <c r="D273" s="14" t="s">
        <v>220</v>
      </c>
      <c r="E273" s="15">
        <v>11350</v>
      </c>
      <c r="F273" s="15">
        <v>2912</v>
      </c>
      <c r="G273" s="15">
        <v>52</v>
      </c>
    </row>
    <row r="274" spans="1:7">
      <c r="A274" s="15">
        <v>344</v>
      </c>
      <c r="B274" s="14" t="s">
        <v>761</v>
      </c>
      <c r="C274" s="14" t="s">
        <v>762</v>
      </c>
      <c r="D274" s="14" t="s">
        <v>220</v>
      </c>
      <c r="E274" s="15">
        <v>17032</v>
      </c>
      <c r="F274" s="15">
        <v>2912</v>
      </c>
      <c r="G274" s="15">
        <v>52</v>
      </c>
    </row>
    <row r="275" spans="1:7">
      <c r="A275" s="15">
        <v>344</v>
      </c>
      <c r="B275" s="14" t="s">
        <v>763</v>
      </c>
      <c r="C275" s="14" t="s">
        <v>764</v>
      </c>
      <c r="D275" s="14" t="s">
        <v>220</v>
      </c>
      <c r="E275" s="15">
        <v>14452</v>
      </c>
      <c r="F275" s="15">
        <v>2912</v>
      </c>
      <c r="G275" s="15">
        <v>52</v>
      </c>
    </row>
    <row r="276" spans="1:7">
      <c r="A276" s="15">
        <v>344</v>
      </c>
      <c r="B276" s="14" t="s">
        <v>765</v>
      </c>
      <c r="C276" s="14" t="s">
        <v>766</v>
      </c>
      <c r="D276" s="14" t="s">
        <v>220</v>
      </c>
      <c r="E276" s="15">
        <v>15975</v>
      </c>
      <c r="F276" s="15">
        <v>2912</v>
      </c>
      <c r="G276" s="15">
        <v>52</v>
      </c>
    </row>
    <row r="277" spans="1:7">
      <c r="A277" s="15">
        <v>344</v>
      </c>
      <c r="B277" s="14" t="s">
        <v>767</v>
      </c>
      <c r="C277" s="14" t="s">
        <v>768</v>
      </c>
      <c r="D277" s="14" t="s">
        <v>220</v>
      </c>
      <c r="E277" s="15">
        <v>15525</v>
      </c>
      <c r="F277" s="15">
        <v>2912</v>
      </c>
      <c r="G277" s="15">
        <v>52</v>
      </c>
    </row>
    <row r="278" spans="1:7">
      <c r="A278" s="15">
        <v>344</v>
      </c>
      <c r="B278" s="14" t="s">
        <v>769</v>
      </c>
      <c r="C278" s="14" t="s">
        <v>770</v>
      </c>
      <c r="D278" s="14" t="s">
        <v>220</v>
      </c>
      <c r="E278" s="15">
        <v>16554</v>
      </c>
      <c r="F278" s="15">
        <v>2912</v>
      </c>
      <c r="G278" s="15">
        <v>52</v>
      </c>
    </row>
    <row r="279" spans="1:7">
      <c r="A279" s="15">
        <v>344</v>
      </c>
      <c r="B279" s="14" t="s">
        <v>771</v>
      </c>
      <c r="C279" s="14" t="s">
        <v>772</v>
      </c>
      <c r="D279" s="14" t="s">
        <v>227</v>
      </c>
      <c r="E279" s="15">
        <v>0</v>
      </c>
      <c r="F279" s="15">
        <v>478</v>
      </c>
      <c r="G279" s="15">
        <v>52</v>
      </c>
    </row>
    <row r="280" spans="1:7">
      <c r="A280" s="15">
        <v>344</v>
      </c>
      <c r="B280" s="14" t="s">
        <v>773</v>
      </c>
      <c r="C280" s="14" t="s">
        <v>774</v>
      </c>
      <c r="D280" s="14" t="s">
        <v>220</v>
      </c>
      <c r="E280" s="15">
        <v>14288</v>
      </c>
      <c r="F280" s="15">
        <v>2912</v>
      </c>
      <c r="G280" s="15">
        <v>52</v>
      </c>
    </row>
    <row r="281" spans="1:7">
      <c r="A281" s="15">
        <v>344</v>
      </c>
      <c r="B281" s="14" t="s">
        <v>775</v>
      </c>
      <c r="C281" s="14" t="s">
        <v>776</v>
      </c>
      <c r="D281" s="14" t="s">
        <v>220</v>
      </c>
      <c r="E281" s="15">
        <v>16450</v>
      </c>
      <c r="F281" s="15">
        <v>2912</v>
      </c>
      <c r="G281" s="15">
        <v>52</v>
      </c>
    </row>
    <row r="282" spans="1:7">
      <c r="A282" s="15">
        <v>344</v>
      </c>
      <c r="B282" s="14" t="s">
        <v>777</v>
      </c>
      <c r="C282" s="14" t="s">
        <v>778</v>
      </c>
      <c r="D282" s="14" t="s">
        <v>220</v>
      </c>
      <c r="E282" s="15">
        <v>16684</v>
      </c>
      <c r="F282" s="15">
        <v>2912</v>
      </c>
      <c r="G282" s="15">
        <v>52</v>
      </c>
    </row>
    <row r="283" spans="1:7">
      <c r="A283" s="15">
        <v>344</v>
      </c>
      <c r="B283" s="14" t="s">
        <v>779</v>
      </c>
      <c r="C283" s="14" t="s">
        <v>780</v>
      </c>
      <c r="D283" s="14" t="s">
        <v>220</v>
      </c>
      <c r="E283" s="15">
        <v>830</v>
      </c>
      <c r="F283" s="15">
        <v>2080</v>
      </c>
      <c r="G283" s="15">
        <v>52</v>
      </c>
    </row>
    <row r="284" spans="1:7">
      <c r="A284" s="15">
        <v>344</v>
      </c>
      <c r="B284" s="14" t="s">
        <v>781</v>
      </c>
      <c r="C284" s="14" t="s">
        <v>782</v>
      </c>
      <c r="D284" s="14" t="s">
        <v>220</v>
      </c>
      <c r="E284" s="15">
        <v>8000</v>
      </c>
      <c r="F284" s="15">
        <v>0</v>
      </c>
      <c r="G284" s="15">
        <v>0</v>
      </c>
    </row>
    <row r="285" spans="1:7">
      <c r="A285" s="15">
        <v>357</v>
      </c>
      <c r="B285" s="14" t="s">
        <v>783</v>
      </c>
      <c r="C285" s="14" t="s">
        <v>784</v>
      </c>
      <c r="D285" s="14" t="s">
        <v>220</v>
      </c>
      <c r="E285" s="15">
        <v>890</v>
      </c>
      <c r="F285" s="15">
        <v>1946</v>
      </c>
      <c r="G285" s="15">
        <v>52</v>
      </c>
    </row>
    <row r="286" spans="1:7">
      <c r="A286" s="15">
        <v>384</v>
      </c>
      <c r="B286" s="14" t="s">
        <v>785</v>
      </c>
      <c r="C286" s="14" t="s">
        <v>786</v>
      </c>
      <c r="D286" s="14" t="s">
        <v>227</v>
      </c>
      <c r="E286" s="15">
        <v>0</v>
      </c>
      <c r="F286" s="15">
        <v>420</v>
      </c>
      <c r="G286" s="15">
        <v>52</v>
      </c>
    </row>
    <row r="287" spans="1:7">
      <c r="A287" s="15">
        <v>398</v>
      </c>
      <c r="B287" s="14" t="s">
        <v>787</v>
      </c>
      <c r="C287" s="14" t="s">
        <v>788</v>
      </c>
      <c r="D287" s="14" t="s">
        <v>220</v>
      </c>
      <c r="E287" s="15">
        <v>7000</v>
      </c>
      <c r="F287" s="15">
        <v>2630</v>
      </c>
      <c r="G287" s="15">
        <v>52</v>
      </c>
    </row>
    <row r="288" spans="1:7">
      <c r="A288" s="15">
        <v>398</v>
      </c>
      <c r="B288" s="14" t="s">
        <v>789</v>
      </c>
      <c r="C288" s="14" t="s">
        <v>790</v>
      </c>
      <c r="D288" s="14" t="s">
        <v>220</v>
      </c>
      <c r="E288" s="15">
        <v>11200</v>
      </c>
      <c r="F288" s="15">
        <v>2642</v>
      </c>
      <c r="G288" s="15">
        <v>52</v>
      </c>
    </row>
    <row r="289" spans="1:7">
      <c r="A289" s="15">
        <v>398</v>
      </c>
      <c r="B289" s="14" t="s">
        <v>791</v>
      </c>
      <c r="C289" s="14" t="s">
        <v>792</v>
      </c>
      <c r="D289" s="14" t="s">
        <v>220</v>
      </c>
      <c r="E289" s="15">
        <v>32293</v>
      </c>
      <c r="F289" s="15">
        <v>2774</v>
      </c>
      <c r="G289" s="15">
        <v>52</v>
      </c>
    </row>
    <row r="290" spans="1:7">
      <c r="A290" s="15">
        <v>400</v>
      </c>
      <c r="B290" s="14" t="s">
        <v>793</v>
      </c>
      <c r="C290" s="14" t="s">
        <v>794</v>
      </c>
      <c r="D290" s="14" t="s">
        <v>220</v>
      </c>
      <c r="E290" s="15">
        <v>1300</v>
      </c>
      <c r="F290" s="15">
        <v>1487</v>
      </c>
      <c r="G290" s="15">
        <v>52</v>
      </c>
    </row>
    <row r="291" spans="1:7">
      <c r="A291" s="15">
        <v>400</v>
      </c>
      <c r="B291" s="14" t="s">
        <v>795</v>
      </c>
      <c r="C291" s="14" t="s">
        <v>796</v>
      </c>
      <c r="D291" s="14" t="s">
        <v>220</v>
      </c>
      <c r="E291" s="15">
        <v>2025</v>
      </c>
      <c r="F291" s="15">
        <v>1487</v>
      </c>
      <c r="G291" s="15">
        <v>52</v>
      </c>
    </row>
    <row r="292" spans="1:7">
      <c r="A292" s="15">
        <v>408</v>
      </c>
      <c r="B292" s="14" t="s">
        <v>797</v>
      </c>
      <c r="C292" s="14" t="s">
        <v>798</v>
      </c>
      <c r="D292" s="14" t="s">
        <v>220</v>
      </c>
      <c r="E292" s="15">
        <v>5000</v>
      </c>
      <c r="F292" s="15">
        <v>1331</v>
      </c>
      <c r="G292" s="15">
        <v>52</v>
      </c>
    </row>
    <row r="293" spans="1:7">
      <c r="A293" s="15">
        <v>408</v>
      </c>
      <c r="B293" s="14" t="s">
        <v>799</v>
      </c>
      <c r="C293" s="14" t="s">
        <v>800</v>
      </c>
      <c r="D293" s="14" t="s">
        <v>220</v>
      </c>
      <c r="E293" s="15">
        <v>14300</v>
      </c>
      <c r="F293" s="15">
        <v>2203</v>
      </c>
      <c r="G293" s="15">
        <v>52</v>
      </c>
    </row>
    <row r="294" spans="1:7">
      <c r="A294" s="15">
        <v>408</v>
      </c>
      <c r="B294" s="14" t="s">
        <v>801</v>
      </c>
      <c r="C294" s="14" t="s">
        <v>802</v>
      </c>
      <c r="D294" s="14" t="s">
        <v>220</v>
      </c>
      <c r="E294" s="15">
        <v>1676</v>
      </c>
      <c r="F294" s="15">
        <v>618</v>
      </c>
      <c r="G294" s="15">
        <v>52</v>
      </c>
    </row>
    <row r="295" spans="1:7">
      <c r="A295" s="15">
        <v>41</v>
      </c>
      <c r="B295" s="14" t="s">
        <v>803</v>
      </c>
      <c r="C295" s="14" t="s">
        <v>804</v>
      </c>
      <c r="D295" s="14" t="s">
        <v>220</v>
      </c>
      <c r="E295" s="15">
        <v>1388</v>
      </c>
      <c r="F295" s="15">
        <v>1728</v>
      </c>
      <c r="G295" s="15">
        <v>52</v>
      </c>
    </row>
    <row r="296" spans="1:7">
      <c r="A296" s="15">
        <v>41</v>
      </c>
      <c r="B296" s="14" t="s">
        <v>805</v>
      </c>
      <c r="C296" s="14" t="s">
        <v>806</v>
      </c>
      <c r="D296" s="14" t="s">
        <v>220</v>
      </c>
      <c r="E296" s="15">
        <v>1684</v>
      </c>
      <c r="F296" s="15">
        <v>1525</v>
      </c>
      <c r="G296" s="15">
        <v>52</v>
      </c>
    </row>
    <row r="297" spans="1:7">
      <c r="A297" s="15">
        <v>432</v>
      </c>
      <c r="B297" s="14" t="s">
        <v>807</v>
      </c>
      <c r="C297" s="14" t="s">
        <v>808</v>
      </c>
      <c r="D297" s="14" t="s">
        <v>220</v>
      </c>
      <c r="E297" s="15">
        <v>1680</v>
      </c>
      <c r="F297" s="15">
        <v>332</v>
      </c>
      <c r="G297" s="15">
        <v>52</v>
      </c>
    </row>
    <row r="298" spans="1:7">
      <c r="A298" s="15">
        <v>452</v>
      </c>
      <c r="B298" s="14" t="s">
        <v>809</v>
      </c>
      <c r="C298" s="14" t="s">
        <v>810</v>
      </c>
      <c r="D298" s="14" t="s">
        <v>220</v>
      </c>
      <c r="E298" s="15">
        <v>14229</v>
      </c>
      <c r="F298" s="15">
        <v>2834</v>
      </c>
      <c r="G298" s="15">
        <v>52</v>
      </c>
    </row>
    <row r="299" spans="1:7">
      <c r="A299" s="15">
        <v>49</v>
      </c>
      <c r="B299" s="14" t="s">
        <v>811</v>
      </c>
      <c r="C299" s="14" t="s">
        <v>812</v>
      </c>
      <c r="D299" s="14" t="s">
        <v>220</v>
      </c>
      <c r="E299" s="15">
        <v>20000</v>
      </c>
      <c r="F299" s="15">
        <v>2602</v>
      </c>
      <c r="G299" s="15">
        <v>52</v>
      </c>
    </row>
    <row r="300" spans="1:7">
      <c r="A300" s="15">
        <v>5</v>
      </c>
      <c r="B300" s="14" t="s">
        <v>813</v>
      </c>
      <c r="C300" s="14" t="s">
        <v>814</v>
      </c>
      <c r="D300" s="14" t="s">
        <v>220</v>
      </c>
      <c r="E300" s="15">
        <v>5234</v>
      </c>
      <c r="F300" s="15">
        <v>1600</v>
      </c>
      <c r="G300" s="15">
        <v>48</v>
      </c>
    </row>
    <row r="301" spans="1:7">
      <c r="A301" s="15">
        <v>5</v>
      </c>
      <c r="B301" s="14" t="s">
        <v>815</v>
      </c>
      <c r="C301" s="14" t="s">
        <v>816</v>
      </c>
      <c r="D301" s="14" t="s">
        <v>220</v>
      </c>
      <c r="E301" s="15">
        <v>1500</v>
      </c>
      <c r="F301" s="15">
        <v>1091</v>
      </c>
      <c r="G301" s="15">
        <v>50</v>
      </c>
    </row>
    <row r="302" spans="1:7">
      <c r="A302" s="15">
        <v>50</v>
      </c>
      <c r="B302" s="14" t="s">
        <v>817</v>
      </c>
      <c r="C302" s="14" t="s">
        <v>818</v>
      </c>
      <c r="D302" s="14" t="s">
        <v>220</v>
      </c>
      <c r="E302" s="15">
        <v>1550</v>
      </c>
      <c r="F302" s="15">
        <v>1611</v>
      </c>
      <c r="G302" s="15">
        <v>45</v>
      </c>
    </row>
    <row r="303" spans="1:7">
      <c r="A303" s="15">
        <v>502</v>
      </c>
      <c r="B303" s="14" t="s">
        <v>819</v>
      </c>
      <c r="C303" s="14" t="s">
        <v>820</v>
      </c>
      <c r="D303" s="14" t="s">
        <v>220</v>
      </c>
      <c r="E303" s="15">
        <v>1081</v>
      </c>
      <c r="F303" s="15">
        <v>976</v>
      </c>
      <c r="G303" s="15">
        <v>48</v>
      </c>
    </row>
    <row r="304" spans="1:7">
      <c r="A304" s="15">
        <v>502</v>
      </c>
      <c r="B304" s="14" t="s">
        <v>821</v>
      </c>
      <c r="C304" s="14" t="s">
        <v>822</v>
      </c>
      <c r="D304" s="14" t="s">
        <v>220</v>
      </c>
      <c r="E304" s="15">
        <v>2500</v>
      </c>
      <c r="F304" s="15">
        <v>956</v>
      </c>
      <c r="G304" s="15">
        <v>48</v>
      </c>
    </row>
    <row r="305" spans="1:7">
      <c r="A305" s="15">
        <v>51</v>
      </c>
      <c r="B305" s="14" t="s">
        <v>823</v>
      </c>
      <c r="C305" s="14" t="s">
        <v>824</v>
      </c>
      <c r="D305" s="14" t="s">
        <v>220</v>
      </c>
      <c r="E305" s="15">
        <v>6000</v>
      </c>
      <c r="F305" s="15">
        <v>1672</v>
      </c>
      <c r="G305" s="15">
        <v>52</v>
      </c>
    </row>
    <row r="306" spans="1:7">
      <c r="A306" s="15">
        <v>51</v>
      </c>
      <c r="B306" s="14" t="s">
        <v>825</v>
      </c>
      <c r="C306" s="14" t="s">
        <v>826</v>
      </c>
      <c r="D306" s="14" t="s">
        <v>220</v>
      </c>
      <c r="E306" s="15">
        <v>25500</v>
      </c>
      <c r="F306" s="15">
        <v>2920</v>
      </c>
      <c r="G306" s="15">
        <v>52</v>
      </c>
    </row>
    <row r="307" spans="1:7">
      <c r="A307" s="15">
        <v>51</v>
      </c>
      <c r="B307" s="14" t="s">
        <v>827</v>
      </c>
      <c r="C307" s="14" t="s">
        <v>828</v>
      </c>
      <c r="D307" s="14" t="s">
        <v>220</v>
      </c>
      <c r="E307" s="15">
        <v>16000</v>
      </c>
      <c r="F307" s="15">
        <v>3336</v>
      </c>
      <c r="G307" s="15">
        <v>52</v>
      </c>
    </row>
    <row r="308" spans="1:7">
      <c r="A308" s="15">
        <v>517</v>
      </c>
      <c r="B308" s="14" t="s">
        <v>9</v>
      </c>
      <c r="C308" s="14" t="s">
        <v>829</v>
      </c>
      <c r="D308" s="14" t="s">
        <v>220</v>
      </c>
      <c r="E308" s="15">
        <v>3000</v>
      </c>
      <c r="F308" s="15">
        <v>2930</v>
      </c>
      <c r="G308" s="15">
        <v>48</v>
      </c>
    </row>
    <row r="309" spans="1:7">
      <c r="A309" s="15">
        <v>552</v>
      </c>
      <c r="B309" s="14" t="s">
        <v>830</v>
      </c>
      <c r="C309" s="14" t="s">
        <v>831</v>
      </c>
      <c r="D309" s="14" t="s">
        <v>220</v>
      </c>
      <c r="E309" s="15">
        <v>1468</v>
      </c>
      <c r="F309" s="15">
        <v>2193</v>
      </c>
      <c r="G309" s="15">
        <v>51</v>
      </c>
    </row>
    <row r="310" spans="1:7">
      <c r="A310" s="15">
        <v>56</v>
      </c>
      <c r="B310" s="14" t="s">
        <v>832</v>
      </c>
      <c r="C310" s="14" t="s">
        <v>833</v>
      </c>
      <c r="D310" s="14" t="s">
        <v>220</v>
      </c>
      <c r="E310" s="15">
        <v>8550</v>
      </c>
      <c r="F310" s="15">
        <v>1968</v>
      </c>
      <c r="G310" s="15">
        <v>52</v>
      </c>
    </row>
    <row r="311" spans="1:7">
      <c r="A311" s="15">
        <v>56</v>
      </c>
      <c r="B311" s="14" t="s">
        <v>834</v>
      </c>
      <c r="C311" s="14" t="s">
        <v>835</v>
      </c>
      <c r="D311" s="14" t="s">
        <v>220</v>
      </c>
      <c r="E311" s="15">
        <v>800</v>
      </c>
      <c r="F311" s="15">
        <v>676</v>
      </c>
      <c r="G311" s="15">
        <v>52</v>
      </c>
    </row>
    <row r="312" spans="1:7">
      <c r="A312" s="15">
        <v>56</v>
      </c>
      <c r="B312" s="14" t="s">
        <v>836</v>
      </c>
      <c r="C312" s="14" t="s">
        <v>837</v>
      </c>
      <c r="D312" s="14" t="s">
        <v>220</v>
      </c>
      <c r="E312" s="15">
        <v>10231</v>
      </c>
      <c r="F312" s="15">
        <v>1984</v>
      </c>
      <c r="G312" s="15">
        <v>52</v>
      </c>
    </row>
    <row r="313" spans="1:7">
      <c r="A313" s="15">
        <v>56</v>
      </c>
      <c r="B313" s="14" t="s">
        <v>838</v>
      </c>
      <c r="C313" s="14" t="s">
        <v>839</v>
      </c>
      <c r="D313" s="14" t="s">
        <v>220</v>
      </c>
      <c r="E313" s="15">
        <v>15200</v>
      </c>
      <c r="F313" s="15">
        <v>1976</v>
      </c>
      <c r="G313" s="15">
        <v>52</v>
      </c>
    </row>
    <row r="314" spans="1:7">
      <c r="A314" s="15">
        <v>64</v>
      </c>
      <c r="B314" s="14" t="s">
        <v>840</v>
      </c>
      <c r="C314" s="14" t="s">
        <v>841</v>
      </c>
      <c r="D314" s="14" t="s">
        <v>220</v>
      </c>
      <c r="E314" s="15">
        <v>37000</v>
      </c>
      <c r="F314" s="15">
        <v>2475</v>
      </c>
      <c r="G314" s="15">
        <v>52</v>
      </c>
    </row>
    <row r="315" spans="1:7">
      <c r="A315" s="15">
        <v>649</v>
      </c>
      <c r="B315" s="14" t="s">
        <v>842</v>
      </c>
      <c r="C315" s="14" t="s">
        <v>843</v>
      </c>
      <c r="D315" s="14" t="s">
        <v>220</v>
      </c>
      <c r="E315" s="15">
        <v>170</v>
      </c>
      <c r="F315" s="15">
        <v>800</v>
      </c>
      <c r="G315" s="15">
        <v>50</v>
      </c>
    </row>
    <row r="316" spans="1:7">
      <c r="A316" s="15">
        <v>86</v>
      </c>
      <c r="B316" s="14" t="s">
        <v>844</v>
      </c>
      <c r="C316" s="14" t="s">
        <v>845</v>
      </c>
      <c r="D316" s="14" t="s">
        <v>220</v>
      </c>
      <c r="E316" s="15">
        <v>30116</v>
      </c>
      <c r="F316" s="15">
        <v>3130</v>
      </c>
      <c r="G316" s="15">
        <v>52</v>
      </c>
    </row>
    <row r="317" spans="1:7">
      <c r="A317" s="15">
        <v>86</v>
      </c>
      <c r="B317" s="14" t="s">
        <v>846</v>
      </c>
      <c r="C317" s="14" t="s">
        <v>847</v>
      </c>
      <c r="D317" s="14" t="s">
        <v>220</v>
      </c>
      <c r="E317" s="15">
        <v>7200</v>
      </c>
      <c r="F317" s="15">
        <v>2451</v>
      </c>
      <c r="G317" s="15">
        <v>52</v>
      </c>
    </row>
    <row r="318" spans="1:7">
      <c r="A318" s="15">
        <v>86</v>
      </c>
      <c r="B318" s="14" t="s">
        <v>848</v>
      </c>
      <c r="C318" s="14" t="s">
        <v>849</v>
      </c>
      <c r="D318" s="14" t="s">
        <v>220</v>
      </c>
      <c r="E318" s="15">
        <v>14560</v>
      </c>
      <c r="F318" s="15">
        <v>2847</v>
      </c>
      <c r="G318" s="15">
        <v>52</v>
      </c>
    </row>
    <row r="319" spans="1:7">
      <c r="A319" s="15">
        <v>86</v>
      </c>
      <c r="B319" s="14" t="s">
        <v>850</v>
      </c>
      <c r="C319" s="14" t="s">
        <v>851</v>
      </c>
      <c r="D319" s="14" t="s">
        <v>220</v>
      </c>
      <c r="E319" s="15">
        <v>29600</v>
      </c>
      <c r="F319" s="15">
        <v>3014</v>
      </c>
      <c r="G319" s="15">
        <v>52</v>
      </c>
    </row>
    <row r="320" spans="1:7">
      <c r="A320" s="15">
        <v>86</v>
      </c>
      <c r="B320" s="14" t="s">
        <v>852</v>
      </c>
      <c r="C320" s="14" t="s">
        <v>853</v>
      </c>
      <c r="D320" s="14" t="s">
        <v>220</v>
      </c>
      <c r="E320" s="15">
        <v>30000</v>
      </c>
      <c r="F320" s="15">
        <v>3128</v>
      </c>
      <c r="G320" s="15">
        <v>52</v>
      </c>
    </row>
    <row r="321" spans="1:7">
      <c r="A321" s="15">
        <v>86</v>
      </c>
      <c r="B321" s="14" t="s">
        <v>854</v>
      </c>
      <c r="C321" s="14" t="s">
        <v>855</v>
      </c>
      <c r="D321" s="14" t="s">
        <v>220</v>
      </c>
      <c r="E321" s="15">
        <v>6000</v>
      </c>
      <c r="F321" s="15">
        <v>2698</v>
      </c>
      <c r="G321" s="15">
        <v>52</v>
      </c>
    </row>
    <row r="322" spans="1:7">
      <c r="A322" s="15">
        <v>88</v>
      </c>
      <c r="B322" s="14" t="s">
        <v>856</v>
      </c>
      <c r="C322" s="14" t="s">
        <v>857</v>
      </c>
      <c r="D322" s="14" t="s">
        <v>220</v>
      </c>
      <c r="E322" s="15">
        <v>12000</v>
      </c>
      <c r="F322" s="15">
        <v>3092</v>
      </c>
      <c r="G322" s="15">
        <v>52</v>
      </c>
    </row>
    <row r="323" spans="1:7">
      <c r="A323" s="15">
        <v>88</v>
      </c>
      <c r="B323" s="14" t="s">
        <v>858</v>
      </c>
      <c r="C323" s="14" t="s">
        <v>859</v>
      </c>
      <c r="D323" s="14" t="s">
        <v>220</v>
      </c>
      <c r="E323" s="15">
        <v>17000</v>
      </c>
      <c r="F323" s="15">
        <v>2742</v>
      </c>
      <c r="G323" s="15">
        <v>52</v>
      </c>
    </row>
    <row r="324" spans="1:7">
      <c r="A324" s="15">
        <v>88</v>
      </c>
      <c r="B324" s="14" t="s">
        <v>860</v>
      </c>
      <c r="C324" s="14" t="s">
        <v>861</v>
      </c>
      <c r="D324" s="14" t="s">
        <v>220</v>
      </c>
      <c r="E324" s="15">
        <v>13000</v>
      </c>
      <c r="F324" s="15">
        <v>2742</v>
      </c>
      <c r="G324" s="15">
        <v>52</v>
      </c>
    </row>
    <row r="325" spans="1:7">
      <c r="A325" s="15">
        <v>88</v>
      </c>
      <c r="B325" s="14" t="s">
        <v>862</v>
      </c>
      <c r="C325" s="14" t="s">
        <v>863</v>
      </c>
      <c r="D325" s="14" t="s">
        <v>220</v>
      </c>
      <c r="E325" s="15">
        <v>12771</v>
      </c>
      <c r="F325" s="15">
        <v>2742</v>
      </c>
      <c r="G325" s="15">
        <v>52</v>
      </c>
    </row>
    <row r="326" spans="1:7">
      <c r="A326" s="15">
        <v>88</v>
      </c>
      <c r="B326" s="14" t="s">
        <v>864</v>
      </c>
      <c r="C326" s="14" t="s">
        <v>865</v>
      </c>
      <c r="D326" s="14" t="s">
        <v>220</v>
      </c>
      <c r="E326" s="15">
        <v>13500</v>
      </c>
      <c r="F326" s="15">
        <v>3116</v>
      </c>
      <c r="G326" s="15">
        <v>52</v>
      </c>
    </row>
    <row r="327" spans="1:7">
      <c r="A327" s="15">
        <v>9</v>
      </c>
      <c r="B327" s="14" t="s">
        <v>380</v>
      </c>
      <c r="C327" s="14" t="s">
        <v>866</v>
      </c>
      <c r="D327" s="14" t="s">
        <v>220</v>
      </c>
      <c r="E327" s="15">
        <v>15536</v>
      </c>
      <c r="F327" s="15">
        <v>3226</v>
      </c>
      <c r="G327" s="15">
        <v>52</v>
      </c>
    </row>
    <row r="328" spans="1:7">
      <c r="A328" s="15">
        <v>9</v>
      </c>
      <c r="B328" s="14" t="s">
        <v>402</v>
      </c>
      <c r="C328" s="14" t="s">
        <v>867</v>
      </c>
      <c r="D328" s="14" t="s">
        <v>220</v>
      </c>
      <c r="E328" s="15">
        <v>20000</v>
      </c>
      <c r="F328" s="15">
        <v>3533</v>
      </c>
      <c r="G328" s="15">
        <v>52</v>
      </c>
    </row>
    <row r="329" spans="1:7">
      <c r="A329" s="15">
        <v>9</v>
      </c>
      <c r="B329" s="14" t="s">
        <v>868</v>
      </c>
      <c r="C329" s="14" t="s">
        <v>869</v>
      </c>
      <c r="D329" s="14" t="s">
        <v>220</v>
      </c>
      <c r="E329" s="15">
        <v>10000</v>
      </c>
      <c r="F329" s="15">
        <v>3226</v>
      </c>
      <c r="G329" s="15">
        <v>52</v>
      </c>
    </row>
    <row r="330" spans="1:7">
      <c r="A330" s="15">
        <v>9</v>
      </c>
      <c r="B330" s="14" t="s">
        <v>558</v>
      </c>
      <c r="C330" s="14" t="s">
        <v>870</v>
      </c>
      <c r="D330" s="14" t="s">
        <v>220</v>
      </c>
      <c r="E330" s="15">
        <v>10000</v>
      </c>
      <c r="F330" s="15">
        <v>3226</v>
      </c>
      <c r="G330" s="15">
        <v>52</v>
      </c>
    </row>
    <row r="331" spans="1:7">
      <c r="A331" s="15">
        <v>91</v>
      </c>
      <c r="B331" s="14" t="s">
        <v>871</v>
      </c>
      <c r="C331" s="14" t="s">
        <v>872</v>
      </c>
      <c r="D331" s="14" t="s">
        <v>220</v>
      </c>
      <c r="E331" s="15">
        <v>1000</v>
      </c>
      <c r="F331" s="15">
        <v>880</v>
      </c>
      <c r="G331" s="15">
        <v>38</v>
      </c>
    </row>
    <row r="332" spans="1:7">
      <c r="A332" s="15">
        <v>94</v>
      </c>
      <c r="B332" s="14" t="s">
        <v>873</v>
      </c>
      <c r="C332" s="14" t="s">
        <v>874</v>
      </c>
      <c r="D332" s="14" t="s">
        <v>220</v>
      </c>
      <c r="E332" s="15">
        <v>1305</v>
      </c>
      <c r="F332" s="15">
        <v>803</v>
      </c>
      <c r="G332" s="15">
        <v>51</v>
      </c>
    </row>
    <row r="333" spans="1:7">
      <c r="A333" s="15">
        <v>94</v>
      </c>
      <c r="B333" s="14" t="s">
        <v>875</v>
      </c>
      <c r="C333" s="14" t="s">
        <v>876</v>
      </c>
      <c r="D333" s="14" t="s">
        <v>220</v>
      </c>
      <c r="E333" s="15">
        <v>4000</v>
      </c>
      <c r="F333" s="15">
        <v>1604</v>
      </c>
      <c r="G333" s="15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42"/>
  <sheetViews>
    <sheetView topLeftCell="A207" workbookViewId="0"/>
  </sheetViews>
  <sheetFormatPr baseColWidth="10" defaultColWidth="8.83203125" defaultRowHeight="15"/>
  <cols>
    <col min="5" max="5" width="6.1640625" style="45" customWidth="1"/>
    <col min="6" max="6" width="11.1640625" style="43" customWidth="1"/>
    <col min="7" max="7" width="7.5" style="43" customWidth="1"/>
  </cols>
  <sheetData>
    <row r="1" spans="1:7">
      <c r="A1" s="33" t="s">
        <v>214</v>
      </c>
      <c r="B1" s="42" t="s">
        <v>923</v>
      </c>
      <c r="C1" s="33" t="s">
        <v>921</v>
      </c>
      <c r="F1" s="45" t="s">
        <v>926</v>
      </c>
    </row>
    <row r="2" spans="1:7" ht="16">
      <c r="A2" s="34">
        <v>10</v>
      </c>
      <c r="B2" s="43">
        <v>5529</v>
      </c>
      <c r="C2" s="35">
        <v>2368</v>
      </c>
      <c r="E2" s="48"/>
      <c r="F2" s="47" t="s">
        <v>882</v>
      </c>
      <c r="G2" s="46"/>
    </row>
    <row r="3" spans="1:7" ht="32">
      <c r="A3" s="34">
        <v>10</v>
      </c>
      <c r="B3" s="43">
        <v>12900</v>
      </c>
      <c r="C3" s="35">
        <v>2356</v>
      </c>
      <c r="E3" s="49" t="s">
        <v>214</v>
      </c>
      <c r="F3" s="46" t="s">
        <v>925</v>
      </c>
      <c r="G3" s="46" t="s">
        <v>924</v>
      </c>
    </row>
    <row r="4" spans="1:7">
      <c r="A4" s="34">
        <v>10</v>
      </c>
      <c r="B4" s="43">
        <v>3900</v>
      </c>
      <c r="C4" s="35">
        <v>2517</v>
      </c>
      <c r="E4" s="48">
        <v>2</v>
      </c>
      <c r="F4" s="46">
        <v>17480</v>
      </c>
      <c r="G4" s="46">
        <v>6103</v>
      </c>
    </row>
    <row r="5" spans="1:7">
      <c r="A5" s="34">
        <v>100</v>
      </c>
      <c r="B5" s="43">
        <v>0</v>
      </c>
      <c r="C5" s="35">
        <v>610</v>
      </c>
      <c r="E5" s="48">
        <v>5</v>
      </c>
      <c r="F5" s="46">
        <v>6734</v>
      </c>
      <c r="G5" s="46">
        <v>2691</v>
      </c>
    </row>
    <row r="6" spans="1:7">
      <c r="A6" s="34">
        <v>100</v>
      </c>
      <c r="B6" s="43">
        <v>19000</v>
      </c>
      <c r="C6" s="35">
        <v>2829</v>
      </c>
      <c r="E6" s="48">
        <v>9</v>
      </c>
      <c r="F6" s="46">
        <v>55536</v>
      </c>
      <c r="G6" s="46">
        <v>13211</v>
      </c>
    </row>
    <row r="7" spans="1:7">
      <c r="A7" s="34">
        <v>100</v>
      </c>
      <c r="B7" s="43">
        <v>12500</v>
      </c>
      <c r="C7" s="35">
        <v>2040</v>
      </c>
      <c r="E7" s="48">
        <v>10</v>
      </c>
      <c r="F7" s="46">
        <v>22329</v>
      </c>
      <c r="G7" s="46">
        <v>7241</v>
      </c>
    </row>
    <row r="8" spans="1:7">
      <c r="A8" s="34">
        <v>100</v>
      </c>
      <c r="B8" s="43">
        <v>18500</v>
      </c>
      <c r="C8" s="35">
        <v>2040</v>
      </c>
      <c r="E8" s="48">
        <v>12</v>
      </c>
      <c r="F8" s="46">
        <v>135815</v>
      </c>
      <c r="G8" s="46">
        <v>28026</v>
      </c>
    </row>
    <row r="9" spans="1:7">
      <c r="A9" s="34">
        <v>100</v>
      </c>
      <c r="B9" s="43">
        <v>1990</v>
      </c>
      <c r="C9" s="35">
        <v>2040</v>
      </c>
      <c r="E9" s="48">
        <v>16</v>
      </c>
      <c r="F9" s="46">
        <v>64300</v>
      </c>
      <c r="G9" s="46">
        <v>16880</v>
      </c>
    </row>
    <row r="10" spans="1:7">
      <c r="A10" s="34">
        <v>100</v>
      </c>
      <c r="B10" s="43">
        <v>0</v>
      </c>
      <c r="C10" s="35">
        <v>610</v>
      </c>
      <c r="E10" s="48">
        <v>20</v>
      </c>
      <c r="F10" s="46">
        <v>250881</v>
      </c>
      <c r="G10" s="46">
        <v>61412</v>
      </c>
    </row>
    <row r="11" spans="1:7">
      <c r="A11" s="34">
        <v>100</v>
      </c>
      <c r="B11" s="43">
        <v>18000</v>
      </c>
      <c r="C11" s="35">
        <v>2040</v>
      </c>
      <c r="E11" s="48">
        <v>28</v>
      </c>
      <c r="F11" s="46">
        <v>500</v>
      </c>
      <c r="G11" s="46">
        <v>1000</v>
      </c>
    </row>
    <row r="12" spans="1:7">
      <c r="A12" s="34">
        <v>100</v>
      </c>
      <c r="B12" s="43">
        <v>18000</v>
      </c>
      <c r="C12" s="35">
        <v>2548</v>
      </c>
      <c r="E12" s="48">
        <v>30</v>
      </c>
      <c r="F12" s="46">
        <v>64908</v>
      </c>
      <c r="G12" s="46">
        <v>15137</v>
      </c>
    </row>
    <row r="13" spans="1:7">
      <c r="A13" s="34">
        <v>100</v>
      </c>
      <c r="B13" s="43">
        <v>17350</v>
      </c>
      <c r="C13" s="35">
        <v>2392</v>
      </c>
      <c r="E13" s="48">
        <v>41</v>
      </c>
      <c r="F13" s="46">
        <v>3072</v>
      </c>
      <c r="G13" s="46">
        <v>3540</v>
      </c>
    </row>
    <row r="14" spans="1:7">
      <c r="A14" s="34">
        <v>100</v>
      </c>
      <c r="B14" s="43">
        <v>19500</v>
      </c>
      <c r="C14" s="35">
        <v>2040</v>
      </c>
      <c r="E14" s="48">
        <v>49</v>
      </c>
      <c r="F14" s="46">
        <v>20000</v>
      </c>
      <c r="G14" s="46">
        <v>2602</v>
      </c>
    </row>
    <row r="15" spans="1:7">
      <c r="A15" s="34">
        <v>100</v>
      </c>
      <c r="B15" s="43">
        <v>9030</v>
      </c>
      <c r="C15" s="35">
        <v>2040</v>
      </c>
      <c r="E15" s="48">
        <v>50</v>
      </c>
      <c r="F15" s="46">
        <v>1550</v>
      </c>
      <c r="G15" s="46">
        <v>1872</v>
      </c>
    </row>
    <row r="16" spans="1:7">
      <c r="A16" s="34">
        <v>100</v>
      </c>
      <c r="B16" s="43">
        <v>19707</v>
      </c>
      <c r="C16" s="35">
        <v>2116</v>
      </c>
      <c r="E16" s="48">
        <v>51</v>
      </c>
      <c r="F16" s="46">
        <v>47500</v>
      </c>
      <c r="G16" s="46">
        <v>7590</v>
      </c>
    </row>
    <row r="17" spans="1:7">
      <c r="A17" s="34">
        <v>100</v>
      </c>
      <c r="B17" s="43">
        <v>23460</v>
      </c>
      <c r="C17" s="35">
        <v>3315</v>
      </c>
      <c r="E17" s="48">
        <v>56</v>
      </c>
      <c r="F17" s="46">
        <v>34781</v>
      </c>
      <c r="G17" s="46">
        <v>6456</v>
      </c>
    </row>
    <row r="18" spans="1:7">
      <c r="A18" s="34">
        <v>100</v>
      </c>
      <c r="B18" s="43">
        <v>19570</v>
      </c>
      <c r="C18" s="35">
        <v>2392</v>
      </c>
      <c r="E18" s="48">
        <v>64</v>
      </c>
      <c r="F18" s="46">
        <v>37000</v>
      </c>
      <c r="G18" s="46">
        <v>2499</v>
      </c>
    </row>
    <row r="19" spans="1:7">
      <c r="A19" s="34">
        <v>100</v>
      </c>
      <c r="B19" s="43">
        <v>10600</v>
      </c>
      <c r="C19" s="35">
        <v>2040</v>
      </c>
      <c r="E19" s="48">
        <v>86</v>
      </c>
      <c r="F19" s="46">
        <v>119876</v>
      </c>
      <c r="G19" s="46">
        <v>17243</v>
      </c>
    </row>
    <row r="20" spans="1:7">
      <c r="A20" s="34">
        <v>100</v>
      </c>
      <c r="B20" s="43">
        <v>18500</v>
      </c>
      <c r="C20" s="35">
        <v>2392</v>
      </c>
      <c r="E20" s="48">
        <v>88</v>
      </c>
      <c r="F20" s="46">
        <v>68271</v>
      </c>
      <c r="G20" s="46">
        <v>14440</v>
      </c>
    </row>
    <row r="21" spans="1:7">
      <c r="A21" s="34">
        <v>100</v>
      </c>
      <c r="B21" s="43">
        <v>13532</v>
      </c>
      <c r="C21" s="35">
        <v>2040</v>
      </c>
      <c r="E21" s="48">
        <v>91</v>
      </c>
      <c r="F21" s="46">
        <v>1000</v>
      </c>
      <c r="G21" s="46">
        <v>1066</v>
      </c>
    </row>
    <row r="22" spans="1:7">
      <c r="A22" s="34">
        <v>100</v>
      </c>
      <c r="B22" s="43">
        <v>15562</v>
      </c>
      <c r="C22" s="35">
        <v>2392</v>
      </c>
      <c r="E22" s="48">
        <v>94</v>
      </c>
      <c r="F22" s="46">
        <v>5305</v>
      </c>
      <c r="G22" s="46">
        <v>2321</v>
      </c>
    </row>
    <row r="23" spans="1:7">
      <c r="A23" s="34">
        <v>100</v>
      </c>
      <c r="B23" s="43">
        <v>12900</v>
      </c>
      <c r="C23" s="35">
        <v>2392</v>
      </c>
      <c r="E23" s="48">
        <v>100</v>
      </c>
      <c r="F23" s="46">
        <v>422693</v>
      </c>
      <c r="G23" s="46">
        <v>65484</v>
      </c>
    </row>
    <row r="24" spans="1:7">
      <c r="A24" s="34">
        <v>100</v>
      </c>
      <c r="B24" s="43">
        <v>10984</v>
      </c>
      <c r="C24" s="35">
        <v>2040</v>
      </c>
      <c r="E24" s="48">
        <v>109</v>
      </c>
      <c r="F24" s="46">
        <v>54954</v>
      </c>
      <c r="G24" s="46">
        <v>6384</v>
      </c>
    </row>
    <row r="25" spans="1:7">
      <c r="A25" s="34">
        <v>100</v>
      </c>
      <c r="B25" s="43">
        <v>19500</v>
      </c>
      <c r="C25" s="35">
        <v>2548</v>
      </c>
      <c r="E25" s="48">
        <v>117</v>
      </c>
      <c r="F25" s="46">
        <v>4700</v>
      </c>
      <c r="G25" s="46">
        <v>3803</v>
      </c>
    </row>
    <row r="26" spans="1:7">
      <c r="A26" s="34">
        <v>100</v>
      </c>
      <c r="B26" s="43">
        <v>16800</v>
      </c>
      <c r="C26" s="35">
        <v>2548</v>
      </c>
      <c r="E26" s="48">
        <v>120</v>
      </c>
      <c r="F26" s="46">
        <v>4034</v>
      </c>
      <c r="G26" s="46">
        <v>1900</v>
      </c>
    </row>
    <row r="27" spans="1:7">
      <c r="A27" s="34">
        <v>100</v>
      </c>
      <c r="B27" s="43">
        <v>12400</v>
      </c>
      <c r="C27" s="35">
        <v>2392</v>
      </c>
      <c r="E27" s="48">
        <v>125</v>
      </c>
      <c r="F27" s="46">
        <v>177578</v>
      </c>
      <c r="G27" s="46">
        <v>31749</v>
      </c>
    </row>
    <row r="28" spans="1:7">
      <c r="A28" s="34">
        <v>100</v>
      </c>
      <c r="B28" s="43">
        <v>11193</v>
      </c>
      <c r="C28" s="35">
        <v>2548</v>
      </c>
      <c r="E28" s="48">
        <v>139</v>
      </c>
      <c r="F28" s="46">
        <v>2783</v>
      </c>
      <c r="G28" s="46">
        <v>4732</v>
      </c>
    </row>
    <row r="29" spans="1:7">
      <c r="A29" s="34">
        <v>100</v>
      </c>
      <c r="B29" s="43">
        <v>12037</v>
      </c>
      <c r="C29" s="35">
        <v>2040</v>
      </c>
      <c r="E29" s="48">
        <v>140</v>
      </c>
      <c r="F29" s="46">
        <v>2950</v>
      </c>
      <c r="G29" s="46">
        <v>988</v>
      </c>
    </row>
    <row r="30" spans="1:7">
      <c r="A30" s="34">
        <v>100</v>
      </c>
      <c r="B30" s="43">
        <v>20019</v>
      </c>
      <c r="C30" s="35">
        <v>2548</v>
      </c>
      <c r="E30" s="48">
        <v>143</v>
      </c>
      <c r="F30" s="46">
        <v>144976</v>
      </c>
      <c r="G30" s="46">
        <v>30518</v>
      </c>
    </row>
    <row r="31" spans="1:7">
      <c r="A31" s="34">
        <v>100</v>
      </c>
      <c r="B31" s="43">
        <v>16605</v>
      </c>
      <c r="C31" s="35">
        <v>2392</v>
      </c>
      <c r="E31" s="48">
        <v>150</v>
      </c>
      <c r="F31" s="46">
        <v>61420</v>
      </c>
      <c r="G31" s="46">
        <v>6192</v>
      </c>
    </row>
    <row r="32" spans="1:7">
      <c r="A32" s="34">
        <v>100</v>
      </c>
      <c r="B32" s="43">
        <v>12729</v>
      </c>
      <c r="C32" s="35">
        <v>2040</v>
      </c>
      <c r="E32" s="48">
        <v>153</v>
      </c>
      <c r="F32" s="46">
        <v>2064</v>
      </c>
      <c r="G32" s="46">
        <v>1651</v>
      </c>
    </row>
    <row r="33" spans="1:7">
      <c r="A33" s="34">
        <v>100</v>
      </c>
      <c r="B33" s="43">
        <v>10700</v>
      </c>
      <c r="C33" s="35">
        <v>2040</v>
      </c>
      <c r="E33" s="48">
        <v>154</v>
      </c>
      <c r="F33" s="46">
        <v>135</v>
      </c>
      <c r="G33" s="46">
        <v>1960</v>
      </c>
    </row>
    <row r="34" spans="1:7">
      <c r="A34" s="34">
        <v>100</v>
      </c>
      <c r="B34" s="43">
        <v>12025</v>
      </c>
      <c r="C34" s="35">
        <v>2040</v>
      </c>
      <c r="E34" s="48">
        <v>162</v>
      </c>
      <c r="F34" s="46">
        <v>12760</v>
      </c>
      <c r="G34" s="46">
        <v>5698</v>
      </c>
    </row>
    <row r="35" spans="1:7">
      <c r="A35" s="34">
        <v>109</v>
      </c>
      <c r="B35" s="43">
        <v>21450</v>
      </c>
      <c r="C35" s="35">
        <v>3046</v>
      </c>
      <c r="E35" s="48">
        <v>180</v>
      </c>
      <c r="F35" s="46">
        <v>4400</v>
      </c>
      <c r="G35" s="46">
        <v>2288</v>
      </c>
    </row>
    <row r="36" spans="1:7">
      <c r="A36" s="34">
        <v>109</v>
      </c>
      <c r="B36" s="43">
        <v>33504</v>
      </c>
      <c r="C36" s="35">
        <v>3338</v>
      </c>
      <c r="E36" s="48">
        <v>181</v>
      </c>
      <c r="F36" s="46">
        <v>43363</v>
      </c>
      <c r="G36" s="46">
        <v>8957</v>
      </c>
    </row>
    <row r="37" spans="1:7">
      <c r="A37" s="34">
        <v>117</v>
      </c>
      <c r="B37" s="43">
        <v>2400</v>
      </c>
      <c r="C37" s="35">
        <v>1928</v>
      </c>
      <c r="E37" s="48">
        <v>189</v>
      </c>
      <c r="F37" s="46">
        <v>596042</v>
      </c>
      <c r="G37" s="46">
        <v>74283</v>
      </c>
    </row>
    <row r="38" spans="1:7">
      <c r="A38" s="34">
        <v>117</v>
      </c>
      <c r="B38" s="43">
        <v>2300</v>
      </c>
      <c r="C38" s="35">
        <v>1875</v>
      </c>
      <c r="E38" s="48">
        <v>190</v>
      </c>
      <c r="F38" s="46">
        <v>501751</v>
      </c>
      <c r="G38" s="46">
        <v>64655</v>
      </c>
    </row>
    <row r="39" spans="1:7">
      <c r="A39" s="34">
        <v>12</v>
      </c>
      <c r="B39" s="43">
        <v>18500</v>
      </c>
      <c r="C39" s="35">
        <v>2439</v>
      </c>
      <c r="E39" s="48">
        <v>198</v>
      </c>
      <c r="F39" s="46">
        <v>109270</v>
      </c>
      <c r="G39" s="46">
        <v>10128</v>
      </c>
    </row>
    <row r="40" spans="1:7">
      <c r="A40" s="34">
        <v>12</v>
      </c>
      <c r="B40" s="43">
        <v>22000</v>
      </c>
      <c r="C40" s="35">
        <v>2774</v>
      </c>
      <c r="E40" s="48">
        <v>212</v>
      </c>
      <c r="F40" s="46">
        <v>9606</v>
      </c>
      <c r="G40" s="46">
        <v>1560</v>
      </c>
    </row>
    <row r="41" spans="1:7">
      <c r="A41" s="34">
        <v>12</v>
      </c>
      <c r="B41" s="43">
        <v>12035</v>
      </c>
      <c r="C41" s="35">
        <v>2433</v>
      </c>
      <c r="E41" s="48">
        <v>213</v>
      </c>
      <c r="F41" s="46">
        <v>1795</v>
      </c>
      <c r="G41" s="46">
        <v>684</v>
      </c>
    </row>
    <row r="42" spans="1:7">
      <c r="A42" s="34">
        <v>12</v>
      </c>
      <c r="B42" s="43">
        <v>8930</v>
      </c>
      <c r="C42" s="35">
        <v>2059</v>
      </c>
      <c r="E42" s="48">
        <v>215</v>
      </c>
      <c r="F42" s="46">
        <v>9800</v>
      </c>
      <c r="G42" s="46">
        <v>2808</v>
      </c>
    </row>
    <row r="43" spans="1:7">
      <c r="A43" s="34">
        <v>12</v>
      </c>
      <c r="B43" s="43">
        <v>9750</v>
      </c>
      <c r="C43" s="35">
        <v>2064</v>
      </c>
      <c r="E43" s="48">
        <v>228</v>
      </c>
      <c r="F43" s="46">
        <v>49549</v>
      </c>
      <c r="G43" s="46">
        <v>9870</v>
      </c>
    </row>
    <row r="44" spans="1:7">
      <c r="A44" s="34">
        <v>12</v>
      </c>
      <c r="B44" s="43">
        <v>21000</v>
      </c>
      <c r="C44" s="35">
        <v>2519</v>
      </c>
      <c r="E44" s="48">
        <v>231</v>
      </c>
      <c r="F44" s="46">
        <v>1287</v>
      </c>
      <c r="G44" s="46">
        <v>665</v>
      </c>
    </row>
    <row r="45" spans="1:7">
      <c r="A45" s="34">
        <v>12</v>
      </c>
      <c r="B45" s="43">
        <v>3000</v>
      </c>
      <c r="C45" s="35">
        <v>2448</v>
      </c>
      <c r="E45" s="48">
        <v>236</v>
      </c>
      <c r="F45" s="46">
        <v>12633</v>
      </c>
      <c r="G45" s="46">
        <v>4310</v>
      </c>
    </row>
    <row r="46" spans="1:7">
      <c r="A46" s="34">
        <v>12</v>
      </c>
      <c r="B46" s="43">
        <v>20000</v>
      </c>
      <c r="C46" s="35">
        <v>2796</v>
      </c>
      <c r="E46" s="48">
        <v>238</v>
      </c>
      <c r="F46" s="46">
        <v>500</v>
      </c>
      <c r="G46" s="46">
        <v>1005</v>
      </c>
    </row>
    <row r="47" spans="1:7">
      <c r="A47" s="34">
        <v>12</v>
      </c>
      <c r="B47" s="43">
        <v>4000</v>
      </c>
      <c r="C47" s="35">
        <v>2572</v>
      </c>
      <c r="E47" s="48">
        <v>240</v>
      </c>
      <c r="F47" s="46">
        <v>33482</v>
      </c>
      <c r="G47" s="46">
        <v>8181</v>
      </c>
    </row>
    <row r="48" spans="1:7">
      <c r="A48" s="34">
        <v>12</v>
      </c>
      <c r="B48" s="43">
        <v>5000</v>
      </c>
      <c r="C48" s="35">
        <v>2054</v>
      </c>
      <c r="E48" s="48">
        <v>254</v>
      </c>
      <c r="F48" s="46">
        <v>22000</v>
      </c>
      <c r="G48" s="46">
        <v>6644</v>
      </c>
    </row>
    <row r="49" spans="1:7">
      <c r="A49" s="34">
        <v>12</v>
      </c>
      <c r="B49" s="43">
        <v>1600</v>
      </c>
      <c r="C49" s="35">
        <v>1797</v>
      </c>
      <c r="E49" s="48">
        <v>256</v>
      </c>
      <c r="F49" s="46">
        <v>20000</v>
      </c>
      <c r="G49" s="46">
        <v>3296</v>
      </c>
    </row>
    <row r="50" spans="1:7">
      <c r="A50" s="34">
        <v>12</v>
      </c>
      <c r="B50" s="43">
        <v>10000</v>
      </c>
      <c r="C50" s="35">
        <v>2071</v>
      </c>
      <c r="E50" s="48">
        <v>262</v>
      </c>
      <c r="F50" s="46">
        <v>10000</v>
      </c>
      <c r="G50" s="46">
        <v>2735</v>
      </c>
    </row>
    <row r="51" spans="1:7">
      <c r="A51" s="34">
        <v>120</v>
      </c>
      <c r="B51" s="43">
        <v>4034</v>
      </c>
      <c r="C51" s="35">
        <v>1900</v>
      </c>
      <c r="E51" s="48">
        <v>264</v>
      </c>
      <c r="F51" s="46">
        <v>33030</v>
      </c>
      <c r="G51" s="46">
        <v>3206</v>
      </c>
    </row>
    <row r="52" spans="1:7">
      <c r="A52" s="34">
        <v>125</v>
      </c>
      <c r="B52" s="43">
        <v>15126</v>
      </c>
      <c r="C52" s="35">
        <v>2496</v>
      </c>
      <c r="E52" s="48">
        <v>266</v>
      </c>
      <c r="F52" s="46">
        <v>0</v>
      </c>
      <c r="G52" s="46">
        <v>212</v>
      </c>
    </row>
    <row r="53" spans="1:7">
      <c r="A53" s="34">
        <v>125</v>
      </c>
      <c r="B53" s="43">
        <v>15000</v>
      </c>
      <c r="C53" s="35">
        <v>2496</v>
      </c>
      <c r="E53" s="48">
        <v>269</v>
      </c>
      <c r="F53" s="46">
        <v>2510</v>
      </c>
      <c r="G53" s="46">
        <v>2600</v>
      </c>
    </row>
    <row r="54" spans="1:7">
      <c r="A54" s="34">
        <v>125</v>
      </c>
      <c r="B54" s="43">
        <v>9700</v>
      </c>
      <c r="C54" s="35">
        <v>2496</v>
      </c>
      <c r="E54" s="48">
        <v>283</v>
      </c>
      <c r="F54" s="46">
        <v>955</v>
      </c>
      <c r="G54" s="46">
        <v>2380</v>
      </c>
    </row>
    <row r="55" spans="1:7">
      <c r="A55" s="34">
        <v>125</v>
      </c>
      <c r="B55" s="43">
        <v>8107</v>
      </c>
      <c r="C55" s="35">
        <v>2496</v>
      </c>
      <c r="E55" s="48">
        <v>284</v>
      </c>
      <c r="F55" s="46">
        <v>736</v>
      </c>
      <c r="G55" s="46">
        <v>1370</v>
      </c>
    </row>
    <row r="56" spans="1:7">
      <c r="A56" s="34">
        <v>125</v>
      </c>
      <c r="B56" s="43">
        <v>15500</v>
      </c>
      <c r="C56" s="35">
        <v>2496</v>
      </c>
      <c r="E56" s="48">
        <v>295</v>
      </c>
      <c r="F56" s="46">
        <v>1099</v>
      </c>
      <c r="G56" s="46">
        <v>1030</v>
      </c>
    </row>
    <row r="57" spans="1:7">
      <c r="A57" s="34">
        <v>125</v>
      </c>
      <c r="B57" s="43">
        <v>185</v>
      </c>
      <c r="C57" s="35">
        <v>891</v>
      </c>
      <c r="E57" s="48">
        <v>298</v>
      </c>
      <c r="F57" s="46">
        <v>5644</v>
      </c>
      <c r="G57" s="46">
        <v>2967</v>
      </c>
    </row>
    <row r="58" spans="1:7">
      <c r="A58" s="34">
        <v>125</v>
      </c>
      <c r="B58" s="43">
        <v>15000</v>
      </c>
      <c r="C58" s="35">
        <v>2496</v>
      </c>
      <c r="E58" s="48">
        <v>300</v>
      </c>
      <c r="F58" s="46">
        <v>10300</v>
      </c>
      <c r="G58" s="46">
        <v>2713</v>
      </c>
    </row>
    <row r="59" spans="1:7">
      <c r="A59" s="34">
        <v>125</v>
      </c>
      <c r="B59" s="43">
        <v>10358</v>
      </c>
      <c r="C59" s="35">
        <v>3402</v>
      </c>
      <c r="E59" s="48">
        <v>311</v>
      </c>
      <c r="F59" s="46">
        <v>120000</v>
      </c>
      <c r="G59" s="46">
        <v>13755</v>
      </c>
    </row>
    <row r="60" spans="1:7">
      <c r="A60" s="34">
        <v>125</v>
      </c>
      <c r="B60" s="43">
        <v>22000</v>
      </c>
      <c r="C60" s="35">
        <v>2496</v>
      </c>
      <c r="E60" s="48">
        <v>315</v>
      </c>
      <c r="F60" s="46"/>
      <c r="G60" s="46">
        <v>0</v>
      </c>
    </row>
    <row r="61" spans="1:7">
      <c r="A61" s="34">
        <v>125</v>
      </c>
      <c r="B61" s="43">
        <v>24665</v>
      </c>
      <c r="C61" s="35">
        <v>2496</v>
      </c>
      <c r="E61" s="48">
        <v>316</v>
      </c>
      <c r="F61" s="46">
        <v>13213</v>
      </c>
      <c r="G61" s="46">
        <v>4505</v>
      </c>
    </row>
    <row r="62" spans="1:7">
      <c r="A62" s="34">
        <v>125</v>
      </c>
      <c r="B62" s="43">
        <v>9200</v>
      </c>
      <c r="C62" s="35">
        <v>2496</v>
      </c>
      <c r="E62" s="48">
        <v>324</v>
      </c>
      <c r="F62" s="46">
        <v>888</v>
      </c>
      <c r="G62" s="46">
        <v>714</v>
      </c>
    </row>
    <row r="63" spans="1:7">
      <c r="A63" s="34">
        <v>125</v>
      </c>
      <c r="B63" s="43">
        <v>185</v>
      </c>
      <c r="C63" s="35">
        <v>0</v>
      </c>
      <c r="E63" s="48">
        <v>329</v>
      </c>
      <c r="F63" s="46">
        <v>278097</v>
      </c>
      <c r="G63" s="46">
        <v>27780</v>
      </c>
    </row>
    <row r="64" spans="1:7">
      <c r="A64" s="34">
        <v>125</v>
      </c>
      <c r="B64" s="43">
        <v>12352</v>
      </c>
      <c r="C64" s="35">
        <v>2496</v>
      </c>
      <c r="E64" s="48">
        <v>334</v>
      </c>
      <c r="F64" s="46">
        <v>1430</v>
      </c>
      <c r="G64" s="46">
        <v>917</v>
      </c>
    </row>
    <row r="65" spans="1:7">
      <c r="A65" s="34">
        <v>125</v>
      </c>
      <c r="B65" s="43">
        <v>20200</v>
      </c>
      <c r="C65" s="35">
        <v>2496</v>
      </c>
      <c r="E65" s="48">
        <v>343</v>
      </c>
      <c r="F65" s="46">
        <v>7776</v>
      </c>
      <c r="G65" s="46">
        <v>3616</v>
      </c>
    </row>
    <row r="66" spans="1:7">
      <c r="A66" s="34">
        <v>139</v>
      </c>
      <c r="B66" s="43">
        <v>2100</v>
      </c>
      <c r="C66" s="35">
        <v>2080</v>
      </c>
      <c r="E66" s="48">
        <v>344</v>
      </c>
      <c r="F66" s="46">
        <v>346061</v>
      </c>
      <c r="G66" s="46">
        <v>77992</v>
      </c>
    </row>
    <row r="67" spans="1:7">
      <c r="A67" s="34">
        <v>139</v>
      </c>
      <c r="B67" s="43">
        <v>103</v>
      </c>
      <c r="C67" s="35">
        <v>1040</v>
      </c>
      <c r="E67" s="48">
        <v>357</v>
      </c>
      <c r="F67" s="46">
        <v>890</v>
      </c>
      <c r="G67" s="46">
        <v>1930</v>
      </c>
    </row>
    <row r="68" spans="1:7">
      <c r="A68" s="34">
        <v>139</v>
      </c>
      <c r="B68" s="43">
        <v>580</v>
      </c>
      <c r="C68" s="35">
        <v>1612</v>
      </c>
      <c r="E68" s="48">
        <v>384</v>
      </c>
      <c r="F68" s="46">
        <v>0</v>
      </c>
      <c r="G68" s="46">
        <v>495</v>
      </c>
    </row>
    <row r="69" spans="1:7">
      <c r="A69" s="34">
        <v>140</v>
      </c>
      <c r="B69" s="43">
        <v>2950</v>
      </c>
      <c r="C69" s="35">
        <v>988</v>
      </c>
      <c r="E69" s="48">
        <v>398</v>
      </c>
      <c r="F69" s="46">
        <v>56875</v>
      </c>
      <c r="G69" s="46">
        <v>8058</v>
      </c>
    </row>
    <row r="70" spans="1:7">
      <c r="A70" s="34">
        <v>143</v>
      </c>
      <c r="B70" s="43">
        <v>7527</v>
      </c>
      <c r="C70" s="35">
        <v>2000</v>
      </c>
      <c r="E70" s="48">
        <v>400</v>
      </c>
      <c r="F70" s="46">
        <v>3325</v>
      </c>
      <c r="G70" s="46">
        <v>2974</v>
      </c>
    </row>
    <row r="71" spans="1:7">
      <c r="A71" s="34">
        <v>143</v>
      </c>
      <c r="B71" s="43">
        <v>5045</v>
      </c>
      <c r="C71" s="35">
        <v>2000</v>
      </c>
      <c r="E71" s="48">
        <v>408</v>
      </c>
      <c r="F71" s="46">
        <v>20976</v>
      </c>
      <c r="G71" s="46">
        <v>4152</v>
      </c>
    </row>
    <row r="72" spans="1:7">
      <c r="A72" s="34">
        <v>143</v>
      </c>
      <c r="B72" s="43">
        <v>7072</v>
      </c>
      <c r="C72" s="35">
        <v>2000</v>
      </c>
      <c r="E72" s="48">
        <v>432</v>
      </c>
      <c r="F72" s="46">
        <v>1680</v>
      </c>
      <c r="G72" s="46">
        <v>0</v>
      </c>
    </row>
    <row r="73" spans="1:7">
      <c r="A73" s="34">
        <v>143</v>
      </c>
      <c r="B73" s="43">
        <v>9585</v>
      </c>
      <c r="C73" s="35">
        <v>2000</v>
      </c>
      <c r="E73" s="48">
        <v>452</v>
      </c>
      <c r="F73" s="46">
        <v>14229</v>
      </c>
      <c r="G73" s="46">
        <v>2700</v>
      </c>
    </row>
    <row r="74" spans="1:7">
      <c r="A74" s="34">
        <v>143</v>
      </c>
      <c r="B74" s="43">
        <v>6313</v>
      </c>
      <c r="C74" s="35">
        <v>2000</v>
      </c>
      <c r="E74" s="48">
        <v>502</v>
      </c>
      <c r="F74" s="46">
        <v>3581</v>
      </c>
      <c r="G74" s="46">
        <v>1769</v>
      </c>
    </row>
    <row r="75" spans="1:7">
      <c r="A75" s="34">
        <v>143</v>
      </c>
      <c r="B75" s="43">
        <v>6834</v>
      </c>
      <c r="C75" s="35">
        <v>2000</v>
      </c>
      <c r="E75" s="48">
        <v>517</v>
      </c>
      <c r="F75" s="46">
        <v>3000</v>
      </c>
      <c r="G75" s="46">
        <v>2930</v>
      </c>
    </row>
    <row r="76" spans="1:7">
      <c r="A76" s="34">
        <v>143</v>
      </c>
      <c r="B76" s="43">
        <v>13445</v>
      </c>
      <c r="C76" s="35">
        <v>2000</v>
      </c>
      <c r="E76" s="48">
        <v>552</v>
      </c>
      <c r="F76" s="46">
        <v>1468</v>
      </c>
      <c r="G76" s="46">
        <v>2984</v>
      </c>
    </row>
    <row r="77" spans="1:7">
      <c r="A77" s="34">
        <v>143</v>
      </c>
      <c r="B77" s="43">
        <v>25661</v>
      </c>
      <c r="C77" s="35">
        <v>2000</v>
      </c>
      <c r="E77" s="48">
        <v>627</v>
      </c>
      <c r="F77" s="46">
        <v>15</v>
      </c>
      <c r="G77" s="46">
        <v>120</v>
      </c>
    </row>
    <row r="78" spans="1:7">
      <c r="A78" s="34">
        <v>143</v>
      </c>
      <c r="B78" s="43">
        <v>4962</v>
      </c>
      <c r="C78" s="35">
        <v>2000</v>
      </c>
      <c r="E78" s="48">
        <v>649</v>
      </c>
      <c r="F78" s="46">
        <v>7153</v>
      </c>
      <c r="G78" s="46">
        <v>6456</v>
      </c>
    </row>
    <row r="79" spans="1:7">
      <c r="A79" s="34">
        <v>143</v>
      </c>
      <c r="B79" s="43">
        <v>8121</v>
      </c>
      <c r="C79" s="35">
        <v>2000</v>
      </c>
      <c r="E79" s="48"/>
      <c r="F79" s="46">
        <v>0</v>
      </c>
      <c r="G79" s="46">
        <v>0</v>
      </c>
    </row>
    <row r="80" spans="1:7" ht="32">
      <c r="A80" s="34">
        <v>143</v>
      </c>
      <c r="B80" s="43">
        <v>915</v>
      </c>
      <c r="C80" s="35">
        <v>2259</v>
      </c>
      <c r="E80" s="48" t="s">
        <v>881</v>
      </c>
      <c r="F80" s="46">
        <v>4208294</v>
      </c>
      <c r="G80" s="46">
        <v>754783</v>
      </c>
    </row>
    <row r="81" spans="1:3">
      <c r="A81" s="34">
        <v>143</v>
      </c>
      <c r="B81" s="43">
        <v>23990</v>
      </c>
      <c r="C81" s="35">
        <v>2000</v>
      </c>
    </row>
    <row r="82" spans="1:3">
      <c r="A82" s="34">
        <v>143</v>
      </c>
      <c r="B82" s="43">
        <v>1400</v>
      </c>
      <c r="C82" s="35">
        <v>2259</v>
      </c>
    </row>
    <row r="83" spans="1:3">
      <c r="A83" s="34">
        <v>143</v>
      </c>
      <c r="B83" s="43">
        <v>11068</v>
      </c>
      <c r="C83" s="35">
        <v>2000</v>
      </c>
    </row>
    <row r="84" spans="1:3">
      <c r="A84" s="34">
        <v>143</v>
      </c>
      <c r="B84" s="43">
        <v>13038</v>
      </c>
      <c r="C84" s="35">
        <v>2000</v>
      </c>
    </row>
    <row r="85" spans="1:3">
      <c r="A85" s="34">
        <v>150</v>
      </c>
      <c r="B85" s="43">
        <v>8000</v>
      </c>
      <c r="C85" s="35">
        <v>2064</v>
      </c>
    </row>
    <row r="86" spans="1:3">
      <c r="A86" s="34">
        <v>150</v>
      </c>
      <c r="B86" s="43">
        <v>16500</v>
      </c>
      <c r="C86" s="35">
        <v>2064</v>
      </c>
    </row>
    <row r="87" spans="1:3">
      <c r="A87" s="34">
        <v>150</v>
      </c>
      <c r="B87" s="43">
        <v>36920</v>
      </c>
      <c r="C87" s="35">
        <v>2064</v>
      </c>
    </row>
    <row r="88" spans="1:3">
      <c r="A88" s="34">
        <v>153</v>
      </c>
      <c r="B88" s="43">
        <v>2064</v>
      </c>
      <c r="C88" s="35">
        <v>1651</v>
      </c>
    </row>
    <row r="89" spans="1:3">
      <c r="A89" s="34">
        <v>154</v>
      </c>
      <c r="B89" s="43">
        <v>135</v>
      </c>
      <c r="C89" s="35">
        <v>1960</v>
      </c>
    </row>
    <row r="90" spans="1:3">
      <c r="A90" s="34">
        <v>16</v>
      </c>
      <c r="B90" s="43">
        <v>10000</v>
      </c>
      <c r="C90" s="35">
        <v>2808</v>
      </c>
    </row>
    <row r="91" spans="1:3">
      <c r="A91" s="34">
        <v>16</v>
      </c>
      <c r="B91" s="43">
        <v>10000</v>
      </c>
      <c r="C91" s="35">
        <v>2808</v>
      </c>
    </row>
    <row r="92" spans="1:3">
      <c r="A92" s="34">
        <v>16</v>
      </c>
      <c r="B92" s="43">
        <v>8100</v>
      </c>
      <c r="C92" s="35">
        <v>2808</v>
      </c>
    </row>
    <row r="93" spans="1:3">
      <c r="A93" s="34">
        <v>16</v>
      </c>
      <c r="B93" s="43">
        <v>10000</v>
      </c>
      <c r="C93" s="35">
        <v>2808</v>
      </c>
    </row>
    <row r="94" spans="1:3">
      <c r="A94" s="34">
        <v>16</v>
      </c>
      <c r="B94" s="43">
        <v>15000</v>
      </c>
      <c r="C94" s="35">
        <v>2840</v>
      </c>
    </row>
    <row r="95" spans="1:3">
      <c r="A95" s="34">
        <v>16</v>
      </c>
      <c r="B95" s="43">
        <v>11200</v>
      </c>
      <c r="C95" s="35">
        <v>2808</v>
      </c>
    </row>
    <row r="96" spans="1:3">
      <c r="A96" s="34">
        <v>162</v>
      </c>
      <c r="B96" s="43">
        <v>10000</v>
      </c>
      <c r="C96" s="35">
        <v>2944</v>
      </c>
    </row>
    <row r="97" spans="1:3">
      <c r="A97" s="34">
        <v>162</v>
      </c>
      <c r="B97" s="43">
        <v>2760</v>
      </c>
      <c r="C97" s="35">
        <v>2754</v>
      </c>
    </row>
    <row r="98" spans="1:3">
      <c r="A98" s="34">
        <v>180</v>
      </c>
      <c r="B98" s="43">
        <v>4400</v>
      </c>
      <c r="C98" s="35">
        <v>2288</v>
      </c>
    </row>
    <row r="99" spans="1:3">
      <c r="A99" s="34">
        <v>181</v>
      </c>
      <c r="B99" s="43">
        <v>8000</v>
      </c>
      <c r="C99" s="35">
        <v>2158</v>
      </c>
    </row>
    <row r="100" spans="1:3">
      <c r="A100" s="34">
        <v>181</v>
      </c>
      <c r="B100" s="43">
        <v>11383</v>
      </c>
      <c r="C100" s="35">
        <v>2158</v>
      </c>
    </row>
    <row r="101" spans="1:3">
      <c r="A101" s="34">
        <v>181</v>
      </c>
      <c r="B101" s="43">
        <v>3206</v>
      </c>
      <c r="C101" s="35">
        <v>2158</v>
      </c>
    </row>
    <row r="102" spans="1:3">
      <c r="A102" s="34">
        <v>181</v>
      </c>
      <c r="B102" s="43">
        <v>20774</v>
      </c>
      <c r="C102" s="35">
        <v>2483</v>
      </c>
    </row>
    <row r="103" spans="1:3">
      <c r="A103" s="34">
        <v>189</v>
      </c>
      <c r="B103" s="43">
        <v>8720</v>
      </c>
      <c r="C103" s="35">
        <v>2022</v>
      </c>
    </row>
    <row r="104" spans="1:3">
      <c r="A104" s="34">
        <v>189</v>
      </c>
      <c r="B104" s="43">
        <v>19620</v>
      </c>
      <c r="C104" s="35">
        <v>212</v>
      </c>
    </row>
    <row r="105" spans="1:3">
      <c r="A105" s="34">
        <v>189</v>
      </c>
      <c r="B105" s="43">
        <v>11979</v>
      </c>
      <c r="C105" s="35">
        <v>1812</v>
      </c>
    </row>
    <row r="106" spans="1:3">
      <c r="A106" s="34">
        <v>189</v>
      </c>
      <c r="B106" s="43">
        <v>22365</v>
      </c>
      <c r="C106" s="35">
        <v>2754</v>
      </c>
    </row>
    <row r="107" spans="1:3">
      <c r="A107" s="34">
        <v>189</v>
      </c>
      <c r="B107" s="43">
        <v>17440</v>
      </c>
      <c r="C107" s="35">
        <v>2148</v>
      </c>
    </row>
    <row r="108" spans="1:3">
      <c r="A108" s="34">
        <v>189</v>
      </c>
      <c r="B108" s="43">
        <v>34936</v>
      </c>
      <c r="C108" s="35">
        <v>2014</v>
      </c>
    </row>
    <row r="109" spans="1:3">
      <c r="A109" s="34">
        <v>189</v>
      </c>
      <c r="B109" s="43">
        <v>3270</v>
      </c>
      <c r="C109" s="35">
        <v>1771</v>
      </c>
    </row>
    <row r="110" spans="1:3">
      <c r="A110" s="34">
        <v>189</v>
      </c>
      <c r="B110" s="43">
        <v>2000</v>
      </c>
      <c r="C110" s="35">
        <v>956</v>
      </c>
    </row>
    <row r="111" spans="1:3">
      <c r="A111" s="34">
        <v>189</v>
      </c>
      <c r="B111" s="43">
        <v>9265</v>
      </c>
      <c r="C111" s="35">
        <v>1770</v>
      </c>
    </row>
    <row r="112" spans="1:3">
      <c r="A112" s="34">
        <v>189</v>
      </c>
      <c r="B112" s="43">
        <v>10049</v>
      </c>
      <c r="C112" s="35">
        <v>2049</v>
      </c>
    </row>
    <row r="113" spans="1:3">
      <c r="A113" s="34">
        <v>189</v>
      </c>
      <c r="B113" s="43">
        <v>15260</v>
      </c>
      <c r="C113" s="35">
        <v>2164</v>
      </c>
    </row>
    <row r="114" spans="1:3">
      <c r="A114" s="34">
        <v>189</v>
      </c>
      <c r="B114" s="43">
        <v>10900</v>
      </c>
      <c r="C114" s="35">
        <v>1779</v>
      </c>
    </row>
    <row r="115" spans="1:3">
      <c r="A115" s="34">
        <v>189</v>
      </c>
      <c r="B115" s="43">
        <v>12190</v>
      </c>
      <c r="C115" s="35">
        <v>1765</v>
      </c>
    </row>
    <row r="116" spans="1:3">
      <c r="A116" s="34">
        <v>189</v>
      </c>
      <c r="B116" s="43">
        <v>18530</v>
      </c>
      <c r="C116" s="35">
        <v>0</v>
      </c>
    </row>
    <row r="117" spans="1:3">
      <c r="A117" s="34">
        <v>189</v>
      </c>
      <c r="B117" s="43">
        <v>11178</v>
      </c>
      <c r="C117" s="35">
        <v>1758</v>
      </c>
    </row>
    <row r="118" spans="1:3">
      <c r="A118" s="34">
        <v>189</v>
      </c>
      <c r="B118" s="43">
        <v>22365</v>
      </c>
      <c r="C118" s="35">
        <v>2151</v>
      </c>
    </row>
    <row r="119" spans="1:3">
      <c r="A119" s="34">
        <v>189</v>
      </c>
      <c r="B119" s="43">
        <v>4524</v>
      </c>
      <c r="C119" s="35">
        <v>2059</v>
      </c>
    </row>
    <row r="120" spans="1:3">
      <c r="A120" s="34">
        <v>189</v>
      </c>
      <c r="B120" s="43">
        <v>21175</v>
      </c>
      <c r="C120" s="35">
        <v>2036</v>
      </c>
    </row>
    <row r="121" spans="1:3">
      <c r="A121" s="34">
        <v>189</v>
      </c>
      <c r="B121" s="43">
        <v>8930</v>
      </c>
      <c r="C121" s="35">
        <v>2066</v>
      </c>
    </row>
    <row r="122" spans="1:3">
      <c r="A122" s="34">
        <v>189</v>
      </c>
      <c r="B122" s="43">
        <v>4578</v>
      </c>
      <c r="C122" s="35">
        <v>1608</v>
      </c>
    </row>
    <row r="123" spans="1:3">
      <c r="A123" s="34">
        <v>189</v>
      </c>
      <c r="B123" s="43">
        <v>8339</v>
      </c>
      <c r="C123" s="35">
        <v>1795</v>
      </c>
    </row>
    <row r="124" spans="1:3">
      <c r="A124" s="34">
        <v>189</v>
      </c>
      <c r="B124" s="43">
        <v>6213</v>
      </c>
      <c r="C124" s="35">
        <v>2063</v>
      </c>
    </row>
    <row r="125" spans="1:3">
      <c r="A125" s="34">
        <v>189</v>
      </c>
      <c r="B125" s="43">
        <v>12116</v>
      </c>
      <c r="C125" s="35">
        <v>1772</v>
      </c>
    </row>
    <row r="126" spans="1:3">
      <c r="A126" s="34">
        <v>189</v>
      </c>
      <c r="B126" s="43">
        <v>16000</v>
      </c>
      <c r="C126" s="35">
        <v>2162</v>
      </c>
    </row>
    <row r="127" spans="1:3">
      <c r="A127" s="34">
        <v>189</v>
      </c>
      <c r="B127" s="43">
        <v>4360</v>
      </c>
      <c r="C127" s="35">
        <v>2017</v>
      </c>
    </row>
    <row r="128" spans="1:3">
      <c r="A128" s="34">
        <v>189</v>
      </c>
      <c r="B128" s="43">
        <v>8391</v>
      </c>
      <c r="C128" s="35">
        <v>2049</v>
      </c>
    </row>
    <row r="129" spans="1:3">
      <c r="A129" s="34">
        <v>189</v>
      </c>
      <c r="B129" s="43">
        <v>12252</v>
      </c>
      <c r="C129" s="35">
        <v>2094</v>
      </c>
    </row>
    <row r="130" spans="1:3">
      <c r="A130" s="34">
        <v>189</v>
      </c>
      <c r="B130" s="43">
        <v>11445</v>
      </c>
      <c r="C130" s="35">
        <v>2052</v>
      </c>
    </row>
    <row r="131" spans="1:3">
      <c r="A131" s="34">
        <v>189</v>
      </c>
      <c r="B131" s="43">
        <v>9045</v>
      </c>
      <c r="C131" s="35">
        <v>2062</v>
      </c>
    </row>
    <row r="132" spans="1:3">
      <c r="A132" s="34">
        <v>189</v>
      </c>
      <c r="B132" s="43">
        <v>7722</v>
      </c>
      <c r="C132" s="35">
        <v>1765</v>
      </c>
    </row>
    <row r="133" spans="1:3">
      <c r="A133" s="34">
        <v>189</v>
      </c>
      <c r="B133" s="43">
        <v>19864</v>
      </c>
      <c r="C133" s="35">
        <v>1781</v>
      </c>
    </row>
    <row r="134" spans="1:3">
      <c r="A134" s="34">
        <v>189</v>
      </c>
      <c r="B134" s="43">
        <v>10400</v>
      </c>
      <c r="C134" s="35">
        <v>1759</v>
      </c>
    </row>
    <row r="135" spans="1:3">
      <c r="A135" s="34">
        <v>189</v>
      </c>
      <c r="B135" s="43">
        <v>7922</v>
      </c>
      <c r="C135" s="35">
        <v>1776</v>
      </c>
    </row>
    <row r="136" spans="1:3">
      <c r="A136" s="34">
        <v>189</v>
      </c>
      <c r="B136" s="43">
        <v>16459</v>
      </c>
      <c r="C136" s="35">
        <v>1771</v>
      </c>
    </row>
    <row r="137" spans="1:3">
      <c r="A137" s="34">
        <v>189</v>
      </c>
      <c r="B137" s="43">
        <v>18094</v>
      </c>
      <c r="C137" s="35">
        <v>2055</v>
      </c>
    </row>
    <row r="138" spans="1:3">
      <c r="A138" s="34">
        <v>189</v>
      </c>
      <c r="B138" s="43">
        <v>14660</v>
      </c>
      <c r="C138" s="35">
        <v>1592</v>
      </c>
    </row>
    <row r="139" spans="1:3">
      <c r="A139" s="34">
        <v>189</v>
      </c>
      <c r="B139" s="43">
        <v>20393</v>
      </c>
      <c r="C139" s="35">
        <v>2160</v>
      </c>
    </row>
    <row r="140" spans="1:3">
      <c r="A140" s="34">
        <v>189</v>
      </c>
      <c r="B140" s="43">
        <v>450</v>
      </c>
      <c r="C140" s="35">
        <v>669</v>
      </c>
    </row>
    <row r="141" spans="1:3">
      <c r="A141" s="34">
        <v>189</v>
      </c>
      <c r="B141" s="43">
        <v>3636</v>
      </c>
      <c r="C141" s="35">
        <v>2014</v>
      </c>
    </row>
    <row r="142" spans="1:3">
      <c r="A142" s="34">
        <v>189</v>
      </c>
      <c r="B142" s="43">
        <v>26007</v>
      </c>
      <c r="C142" s="35">
        <v>1936</v>
      </c>
    </row>
    <row r="143" spans="1:3">
      <c r="A143" s="34">
        <v>189</v>
      </c>
      <c r="B143" s="43">
        <v>93000</v>
      </c>
      <c r="C143" s="35">
        <v>2045</v>
      </c>
    </row>
    <row r="144" spans="1:3">
      <c r="A144" s="34">
        <v>190</v>
      </c>
      <c r="B144" s="43">
        <v>10500</v>
      </c>
      <c r="C144" s="35">
        <v>1799</v>
      </c>
    </row>
    <row r="145" spans="1:3">
      <c r="A145" s="34">
        <v>190</v>
      </c>
      <c r="B145" s="43">
        <v>12000</v>
      </c>
      <c r="C145" s="35">
        <v>1909</v>
      </c>
    </row>
    <row r="146" spans="1:3">
      <c r="A146" s="34">
        <v>190</v>
      </c>
      <c r="B146" s="43">
        <v>6922</v>
      </c>
      <c r="C146" s="35">
        <v>1140</v>
      </c>
    </row>
    <row r="147" spans="1:3">
      <c r="A147" s="34">
        <v>190</v>
      </c>
      <c r="B147" s="43">
        <v>2700</v>
      </c>
      <c r="C147" s="35">
        <v>2054</v>
      </c>
    </row>
    <row r="148" spans="1:3">
      <c r="A148" s="34">
        <v>190</v>
      </c>
      <c r="B148" s="43">
        <v>13268</v>
      </c>
      <c r="C148" s="35">
        <v>2209</v>
      </c>
    </row>
    <row r="149" spans="1:3">
      <c r="A149" s="34">
        <v>190</v>
      </c>
      <c r="B149" s="43">
        <v>12000</v>
      </c>
      <c r="C149" s="35">
        <v>2261</v>
      </c>
    </row>
    <row r="150" spans="1:3">
      <c r="A150" s="34">
        <v>190</v>
      </c>
      <c r="B150" s="43">
        <v>7247</v>
      </c>
      <c r="C150" s="35">
        <v>2207</v>
      </c>
    </row>
    <row r="151" spans="1:3">
      <c r="A151" s="34">
        <v>190</v>
      </c>
      <c r="B151" s="43">
        <v>42000</v>
      </c>
      <c r="C151" s="35">
        <v>2654</v>
      </c>
    </row>
    <row r="152" spans="1:3">
      <c r="A152" s="34">
        <v>190</v>
      </c>
      <c r="B152" s="43">
        <v>9500</v>
      </c>
      <c r="C152" s="35">
        <v>2362</v>
      </c>
    </row>
    <row r="153" spans="1:3">
      <c r="A153" s="34">
        <v>190</v>
      </c>
      <c r="B153" s="43">
        <v>5883</v>
      </c>
      <c r="C153" s="35">
        <v>2012</v>
      </c>
    </row>
    <row r="154" spans="1:3">
      <c r="A154" s="34">
        <v>190</v>
      </c>
      <c r="B154" s="43">
        <v>10500</v>
      </c>
      <c r="C154" s="35">
        <v>2357</v>
      </c>
    </row>
    <row r="155" spans="1:3">
      <c r="A155" s="34">
        <v>190</v>
      </c>
      <c r="B155" s="43">
        <v>6100</v>
      </c>
      <c r="C155" s="35">
        <v>2150</v>
      </c>
    </row>
    <row r="156" spans="1:3">
      <c r="A156" s="34">
        <v>190</v>
      </c>
      <c r="B156" s="43">
        <v>14000</v>
      </c>
      <c r="C156" s="35">
        <v>2463</v>
      </c>
    </row>
    <row r="157" spans="1:3">
      <c r="A157" s="34">
        <v>190</v>
      </c>
      <c r="B157" s="43">
        <v>20000</v>
      </c>
      <c r="C157" s="35">
        <v>1960</v>
      </c>
    </row>
    <row r="158" spans="1:3">
      <c r="A158" s="34">
        <v>190</v>
      </c>
      <c r="B158" s="43">
        <v>10137</v>
      </c>
      <c r="C158" s="35">
        <v>2159</v>
      </c>
    </row>
    <row r="159" spans="1:3">
      <c r="A159" s="34">
        <v>190</v>
      </c>
      <c r="B159" s="43">
        <v>15000</v>
      </c>
      <c r="C159" s="35">
        <v>2215</v>
      </c>
    </row>
    <row r="160" spans="1:3">
      <c r="A160" s="34">
        <v>190</v>
      </c>
      <c r="B160" s="43">
        <v>15000</v>
      </c>
      <c r="C160" s="35">
        <v>2254</v>
      </c>
    </row>
    <row r="161" spans="1:3">
      <c r="A161" s="34">
        <v>190</v>
      </c>
      <c r="B161" s="43">
        <v>12300</v>
      </c>
      <c r="C161" s="35">
        <v>2357</v>
      </c>
    </row>
    <row r="162" spans="1:3">
      <c r="A162" s="34">
        <v>190</v>
      </c>
      <c r="B162" s="43">
        <v>30000</v>
      </c>
      <c r="C162" s="35">
        <v>2667</v>
      </c>
    </row>
    <row r="163" spans="1:3">
      <c r="A163" s="34">
        <v>190</v>
      </c>
      <c r="B163" s="43">
        <v>23357</v>
      </c>
      <c r="C163" s="35">
        <v>2359</v>
      </c>
    </row>
    <row r="164" spans="1:3">
      <c r="A164" s="34">
        <v>190</v>
      </c>
      <c r="B164" s="43">
        <v>21100</v>
      </c>
      <c r="C164" s="35">
        <v>2354</v>
      </c>
    </row>
    <row r="165" spans="1:3">
      <c r="A165" s="34">
        <v>190</v>
      </c>
      <c r="B165" s="43">
        <v>6910</v>
      </c>
      <c r="C165" s="35">
        <v>1909</v>
      </c>
    </row>
    <row r="166" spans="1:3">
      <c r="A166" s="34">
        <v>190</v>
      </c>
      <c r="B166" s="43">
        <v>32000</v>
      </c>
      <c r="C166" s="35">
        <v>2660</v>
      </c>
    </row>
    <row r="167" spans="1:3">
      <c r="A167" s="34">
        <v>190</v>
      </c>
      <c r="B167" s="43">
        <v>72000</v>
      </c>
      <c r="C167" s="35">
        <v>3557</v>
      </c>
    </row>
    <row r="168" spans="1:3">
      <c r="A168" s="34">
        <v>190</v>
      </c>
      <c r="B168" s="43">
        <v>12000</v>
      </c>
      <c r="C168" s="35">
        <v>2357</v>
      </c>
    </row>
    <row r="169" spans="1:3">
      <c r="A169" s="34">
        <v>190</v>
      </c>
      <c r="B169" s="43">
        <v>78500</v>
      </c>
      <c r="C169" s="35">
        <v>4270</v>
      </c>
    </row>
    <row r="170" spans="1:3">
      <c r="A170" s="34">
        <v>190</v>
      </c>
      <c r="B170" s="43">
        <v>552</v>
      </c>
      <c r="C170" s="35">
        <v>2000</v>
      </c>
    </row>
    <row r="171" spans="1:3">
      <c r="A171" s="34">
        <v>190</v>
      </c>
      <c r="B171" s="43">
        <v>275</v>
      </c>
      <c r="C171" s="35">
        <v>2000</v>
      </c>
    </row>
    <row r="172" spans="1:3">
      <c r="A172" s="34">
        <v>198</v>
      </c>
      <c r="B172" s="43">
        <v>25000</v>
      </c>
      <c r="C172" s="35">
        <v>2818</v>
      </c>
    </row>
    <row r="173" spans="1:3">
      <c r="A173" s="34">
        <v>198</v>
      </c>
      <c r="B173" s="43">
        <v>5700</v>
      </c>
      <c r="C173" s="35">
        <v>1694</v>
      </c>
    </row>
    <row r="174" spans="1:3">
      <c r="A174" s="34">
        <v>198</v>
      </c>
      <c r="B174" s="43">
        <v>26000</v>
      </c>
      <c r="C174" s="35">
        <v>2792</v>
      </c>
    </row>
    <row r="175" spans="1:3">
      <c r="A175" s="34">
        <v>198</v>
      </c>
      <c r="B175" s="43">
        <v>52570</v>
      </c>
      <c r="C175" s="35">
        <v>2824</v>
      </c>
    </row>
    <row r="176" spans="1:3">
      <c r="A176" s="34">
        <v>2</v>
      </c>
      <c r="B176" s="43">
        <v>5600</v>
      </c>
      <c r="C176" s="35">
        <v>2950</v>
      </c>
    </row>
    <row r="177" spans="1:3">
      <c r="A177" s="34">
        <v>2</v>
      </c>
      <c r="B177" s="43">
        <v>11880</v>
      </c>
      <c r="C177" s="35">
        <v>3153</v>
      </c>
    </row>
    <row r="178" spans="1:3">
      <c r="A178" s="34">
        <v>20</v>
      </c>
      <c r="B178" s="43">
        <v>36176</v>
      </c>
      <c r="C178" s="35">
        <v>2392</v>
      </c>
    </row>
    <row r="179" spans="1:3">
      <c r="A179" s="34">
        <v>20</v>
      </c>
      <c r="B179" s="43">
        <v>14967</v>
      </c>
      <c r="C179" s="35">
        <v>2912</v>
      </c>
    </row>
    <row r="180" spans="1:3">
      <c r="A180" s="34">
        <v>20</v>
      </c>
      <c r="B180" s="43">
        <v>8266</v>
      </c>
      <c r="C180" s="35">
        <v>2912</v>
      </c>
    </row>
    <row r="181" spans="1:3">
      <c r="A181" s="34">
        <v>20</v>
      </c>
      <c r="B181" s="43">
        <v>8580</v>
      </c>
      <c r="C181" s="35">
        <v>2912</v>
      </c>
    </row>
    <row r="182" spans="1:3">
      <c r="A182" s="34">
        <v>20</v>
      </c>
      <c r="B182" s="43">
        <v>8110</v>
      </c>
      <c r="C182" s="35">
        <v>2912</v>
      </c>
    </row>
    <row r="183" spans="1:3">
      <c r="A183" s="34">
        <v>20</v>
      </c>
      <c r="B183" s="43">
        <v>6700</v>
      </c>
      <c r="C183" s="35">
        <v>2912</v>
      </c>
    </row>
    <row r="184" spans="1:3">
      <c r="A184" s="34">
        <v>20</v>
      </c>
      <c r="B184" s="43">
        <v>11000</v>
      </c>
      <c r="C184" s="35">
        <v>3120</v>
      </c>
    </row>
    <row r="185" spans="1:3">
      <c r="A185" s="34">
        <v>20</v>
      </c>
      <c r="B185" s="43">
        <v>14500</v>
      </c>
      <c r="C185" s="35">
        <v>3120</v>
      </c>
    </row>
    <row r="186" spans="1:3">
      <c r="A186" s="34">
        <v>20</v>
      </c>
      <c r="B186" s="43">
        <v>15120</v>
      </c>
      <c r="C186" s="35">
        <v>3120</v>
      </c>
    </row>
    <row r="187" spans="1:3">
      <c r="A187" s="34">
        <v>20</v>
      </c>
      <c r="B187" s="43">
        <v>7536</v>
      </c>
      <c r="C187" s="35">
        <v>2860</v>
      </c>
    </row>
    <row r="188" spans="1:3">
      <c r="A188" s="34">
        <v>20</v>
      </c>
      <c r="B188" s="43">
        <v>10738</v>
      </c>
      <c r="C188" s="35">
        <v>2912</v>
      </c>
    </row>
    <row r="189" spans="1:3">
      <c r="A189" s="34">
        <v>20</v>
      </c>
      <c r="B189" s="43">
        <v>9017</v>
      </c>
      <c r="C189" s="35">
        <v>2912</v>
      </c>
    </row>
    <row r="190" spans="1:3">
      <c r="A190" s="34">
        <v>20</v>
      </c>
      <c r="B190" s="43">
        <v>9017</v>
      </c>
      <c r="C190" s="35">
        <v>2912</v>
      </c>
    </row>
    <row r="191" spans="1:3">
      <c r="A191" s="34">
        <v>20</v>
      </c>
      <c r="B191" s="43">
        <v>16000</v>
      </c>
      <c r="C191" s="35">
        <v>2912</v>
      </c>
    </row>
    <row r="192" spans="1:3">
      <c r="A192" s="34">
        <v>20</v>
      </c>
      <c r="B192" s="43">
        <v>16000</v>
      </c>
      <c r="C192" s="35">
        <v>3120</v>
      </c>
    </row>
    <row r="193" spans="1:3">
      <c r="A193" s="34">
        <v>20</v>
      </c>
      <c r="B193" s="43">
        <v>13257</v>
      </c>
      <c r="C193" s="35">
        <v>2912</v>
      </c>
    </row>
    <row r="194" spans="1:3">
      <c r="A194" s="34">
        <v>20</v>
      </c>
      <c r="B194" s="43">
        <v>10827</v>
      </c>
      <c r="C194" s="35">
        <v>2912</v>
      </c>
    </row>
    <row r="195" spans="1:3">
      <c r="A195" s="34">
        <v>20</v>
      </c>
      <c r="B195" s="43">
        <v>10120</v>
      </c>
      <c r="C195" s="35">
        <v>2912</v>
      </c>
    </row>
    <row r="196" spans="1:3">
      <c r="A196" s="34">
        <v>20</v>
      </c>
      <c r="B196" s="43">
        <v>8000</v>
      </c>
      <c r="C196" s="35">
        <v>2912</v>
      </c>
    </row>
    <row r="197" spans="1:3">
      <c r="A197" s="34">
        <v>20</v>
      </c>
      <c r="B197" s="43">
        <v>8630</v>
      </c>
      <c r="C197" s="35">
        <v>2912</v>
      </c>
    </row>
    <row r="198" spans="1:3">
      <c r="A198" s="34">
        <v>20</v>
      </c>
      <c r="B198" s="43">
        <v>8320</v>
      </c>
      <c r="C198" s="35">
        <v>2912</v>
      </c>
    </row>
    <row r="199" spans="1:3">
      <c r="A199" s="34">
        <v>212</v>
      </c>
      <c r="B199" s="43">
        <v>9606</v>
      </c>
      <c r="C199" s="35">
        <v>1560</v>
      </c>
    </row>
    <row r="200" spans="1:3">
      <c r="A200" s="34">
        <v>213</v>
      </c>
      <c r="B200" s="43">
        <v>1795</v>
      </c>
      <c r="C200" s="35">
        <v>684</v>
      </c>
    </row>
    <row r="201" spans="1:3">
      <c r="A201" s="34">
        <v>215</v>
      </c>
      <c r="B201" s="43">
        <v>9800</v>
      </c>
      <c r="C201" s="35">
        <v>2808</v>
      </c>
    </row>
    <row r="202" spans="1:3">
      <c r="A202" s="34">
        <v>228</v>
      </c>
      <c r="B202" s="43">
        <v>5051</v>
      </c>
      <c r="C202" s="35">
        <v>2163</v>
      </c>
    </row>
    <row r="203" spans="1:3">
      <c r="A203" s="34">
        <v>228</v>
      </c>
      <c r="B203" s="43">
        <v>240</v>
      </c>
      <c r="C203" s="35">
        <v>132</v>
      </c>
    </row>
    <row r="204" spans="1:3">
      <c r="A204" s="34">
        <v>228</v>
      </c>
      <c r="B204" s="43">
        <v>15151</v>
      </c>
      <c r="C204" s="35">
        <v>2238</v>
      </c>
    </row>
    <row r="205" spans="1:3">
      <c r="A205" s="34">
        <v>228</v>
      </c>
      <c r="B205" s="43">
        <v>1073</v>
      </c>
      <c r="C205" s="35">
        <v>753</v>
      </c>
    </row>
    <row r="206" spans="1:3">
      <c r="A206" s="34">
        <v>228</v>
      </c>
      <c r="B206" s="43">
        <v>8034</v>
      </c>
      <c r="C206" s="35">
        <v>2354</v>
      </c>
    </row>
    <row r="207" spans="1:3">
      <c r="A207" s="34">
        <v>228</v>
      </c>
      <c r="B207" s="43">
        <v>20000</v>
      </c>
      <c r="C207" s="35">
        <v>2230</v>
      </c>
    </row>
    <row r="208" spans="1:3">
      <c r="A208" s="34">
        <v>231</v>
      </c>
      <c r="B208" s="43">
        <v>1287</v>
      </c>
      <c r="C208" s="35">
        <v>665</v>
      </c>
    </row>
    <row r="209" spans="1:3">
      <c r="A209" s="34">
        <v>236</v>
      </c>
      <c r="B209" s="43">
        <v>3433</v>
      </c>
      <c r="C209" s="35">
        <v>2100</v>
      </c>
    </row>
    <row r="210" spans="1:3">
      <c r="A210" s="34">
        <v>236</v>
      </c>
      <c r="B210" s="43">
        <v>9200</v>
      </c>
      <c r="C210" s="35">
        <v>2210</v>
      </c>
    </row>
    <row r="211" spans="1:3">
      <c r="A211" s="34">
        <v>238</v>
      </c>
      <c r="B211" s="43">
        <v>500</v>
      </c>
      <c r="C211" s="35">
        <v>1005</v>
      </c>
    </row>
    <row r="212" spans="1:3">
      <c r="A212" s="34">
        <v>240</v>
      </c>
      <c r="B212" s="43">
        <v>12630</v>
      </c>
      <c r="C212" s="35">
        <v>2727</v>
      </c>
    </row>
    <row r="213" spans="1:3">
      <c r="A213" s="34">
        <v>240</v>
      </c>
      <c r="B213" s="43">
        <v>10426</v>
      </c>
      <c r="C213" s="35">
        <v>2727</v>
      </c>
    </row>
    <row r="214" spans="1:3">
      <c r="A214" s="34">
        <v>240</v>
      </c>
      <c r="B214" s="43">
        <v>10426</v>
      </c>
      <c r="C214" s="35">
        <v>2727</v>
      </c>
    </row>
    <row r="215" spans="1:3">
      <c r="A215" s="34">
        <v>254</v>
      </c>
      <c r="B215" s="43">
        <v>11000</v>
      </c>
      <c r="C215" s="35">
        <v>3322</v>
      </c>
    </row>
    <row r="216" spans="1:3">
      <c r="A216" s="34">
        <v>254</v>
      </c>
      <c r="B216" s="43">
        <v>11000</v>
      </c>
      <c r="C216" s="35">
        <v>3322</v>
      </c>
    </row>
    <row r="217" spans="1:3">
      <c r="A217" s="34">
        <v>256</v>
      </c>
      <c r="B217" s="43">
        <v>20000</v>
      </c>
      <c r="C217" s="35">
        <v>3296</v>
      </c>
    </row>
    <row r="218" spans="1:3">
      <c r="A218" s="34">
        <v>262</v>
      </c>
      <c r="B218" s="43">
        <v>10000</v>
      </c>
      <c r="C218" s="35">
        <v>2735</v>
      </c>
    </row>
    <row r="219" spans="1:3">
      <c r="A219" s="34">
        <v>264</v>
      </c>
      <c r="B219" s="43">
        <v>32956</v>
      </c>
      <c r="C219" s="35">
        <v>2965</v>
      </c>
    </row>
    <row r="220" spans="1:3">
      <c r="A220" s="34">
        <v>264</v>
      </c>
      <c r="B220" s="43">
        <v>74</v>
      </c>
      <c r="C220" s="35">
        <v>241</v>
      </c>
    </row>
    <row r="221" spans="1:3">
      <c r="A221" s="34">
        <v>266</v>
      </c>
      <c r="B221" s="43">
        <v>0</v>
      </c>
      <c r="C221" s="35">
        <v>212</v>
      </c>
    </row>
    <row r="222" spans="1:3">
      <c r="A222" s="34">
        <v>269</v>
      </c>
      <c r="B222" s="43">
        <v>480</v>
      </c>
      <c r="C222" s="35">
        <v>936</v>
      </c>
    </row>
    <row r="223" spans="1:3">
      <c r="A223" s="34">
        <v>269</v>
      </c>
      <c r="B223" s="43">
        <v>2030</v>
      </c>
      <c r="C223" s="35">
        <v>1664</v>
      </c>
    </row>
    <row r="224" spans="1:3">
      <c r="A224" s="34">
        <v>28</v>
      </c>
      <c r="B224" s="43">
        <v>500</v>
      </c>
      <c r="C224" s="35">
        <v>1000</v>
      </c>
    </row>
    <row r="225" spans="1:3">
      <c r="A225" s="34">
        <v>283</v>
      </c>
      <c r="B225" s="43">
        <v>805</v>
      </c>
      <c r="C225" s="35">
        <v>2080</v>
      </c>
    </row>
    <row r="226" spans="1:3">
      <c r="A226" s="34">
        <v>283</v>
      </c>
      <c r="B226" s="43">
        <v>150</v>
      </c>
      <c r="C226" s="35">
        <v>300</v>
      </c>
    </row>
    <row r="227" spans="1:3">
      <c r="A227" s="34">
        <v>284</v>
      </c>
      <c r="B227" s="43">
        <v>736</v>
      </c>
      <c r="C227" s="35">
        <v>1370</v>
      </c>
    </row>
    <row r="228" spans="1:3">
      <c r="A228" s="34">
        <v>295</v>
      </c>
      <c r="B228" s="43">
        <v>1099</v>
      </c>
      <c r="C228" s="35">
        <v>1030</v>
      </c>
    </row>
    <row r="229" spans="1:3">
      <c r="A229" s="34">
        <v>298</v>
      </c>
      <c r="B229" s="43">
        <v>1000</v>
      </c>
      <c r="C229" s="35">
        <v>992</v>
      </c>
    </row>
    <row r="230" spans="1:3">
      <c r="A230" s="34">
        <v>298</v>
      </c>
      <c r="B230" s="43">
        <v>3444</v>
      </c>
      <c r="C230" s="35">
        <v>991</v>
      </c>
    </row>
    <row r="231" spans="1:3">
      <c r="A231" s="34">
        <v>298</v>
      </c>
      <c r="B231" s="43">
        <v>1200</v>
      </c>
      <c r="C231" s="35">
        <v>984</v>
      </c>
    </row>
    <row r="232" spans="1:3">
      <c r="A232" s="34">
        <v>30</v>
      </c>
      <c r="B232" s="43">
        <v>11500</v>
      </c>
      <c r="C232" s="35">
        <v>3132</v>
      </c>
    </row>
    <row r="233" spans="1:3">
      <c r="A233" s="34">
        <v>30</v>
      </c>
      <c r="B233" s="43">
        <v>1400</v>
      </c>
      <c r="C233" s="35">
        <v>2617</v>
      </c>
    </row>
    <row r="234" spans="1:3">
      <c r="A234" s="34">
        <v>30</v>
      </c>
      <c r="B234" s="43">
        <v>16030</v>
      </c>
      <c r="C234" s="35">
        <v>3132</v>
      </c>
    </row>
    <row r="235" spans="1:3">
      <c r="A235" s="34">
        <v>30</v>
      </c>
      <c r="B235" s="43">
        <v>24008</v>
      </c>
      <c r="C235" s="35">
        <v>3124</v>
      </c>
    </row>
    <row r="236" spans="1:3">
      <c r="A236" s="34">
        <v>30</v>
      </c>
      <c r="B236" s="43">
        <v>11970</v>
      </c>
      <c r="C236" s="35">
        <v>3132</v>
      </c>
    </row>
    <row r="237" spans="1:3">
      <c r="A237" s="34">
        <v>300</v>
      </c>
      <c r="B237" s="43">
        <v>10300</v>
      </c>
      <c r="C237" s="35">
        <v>2713</v>
      </c>
    </row>
    <row r="238" spans="1:3">
      <c r="A238" s="34">
        <v>311</v>
      </c>
      <c r="B238" s="43">
        <v>30000</v>
      </c>
      <c r="C238" s="35">
        <v>3444</v>
      </c>
    </row>
    <row r="239" spans="1:3">
      <c r="A239" s="34">
        <v>311</v>
      </c>
      <c r="B239" s="43">
        <v>30000</v>
      </c>
      <c r="C239" s="35">
        <v>3444</v>
      </c>
    </row>
    <row r="240" spans="1:3">
      <c r="A240" s="34">
        <v>311</v>
      </c>
      <c r="B240" s="43">
        <v>30000</v>
      </c>
      <c r="C240" s="35">
        <v>3444</v>
      </c>
    </row>
    <row r="241" spans="1:3">
      <c r="A241" s="34">
        <v>311</v>
      </c>
      <c r="B241" s="43">
        <v>30000</v>
      </c>
      <c r="C241" s="35">
        <v>3423</v>
      </c>
    </row>
    <row r="242" spans="1:3">
      <c r="A242" s="34">
        <v>315</v>
      </c>
      <c r="B242" s="44"/>
      <c r="C242" s="35">
        <v>0</v>
      </c>
    </row>
    <row r="243" spans="1:3">
      <c r="A243" s="34">
        <v>316</v>
      </c>
      <c r="B243" s="43">
        <v>3867</v>
      </c>
      <c r="C243" s="35">
        <v>1470</v>
      </c>
    </row>
    <row r="244" spans="1:3">
      <c r="A244" s="34">
        <v>316</v>
      </c>
      <c r="B244" s="43">
        <v>1786</v>
      </c>
      <c r="C244" s="35">
        <v>1504</v>
      </c>
    </row>
    <row r="245" spans="1:3">
      <c r="A245" s="34">
        <v>316</v>
      </c>
      <c r="B245" s="43">
        <v>7560</v>
      </c>
      <c r="C245" s="35">
        <v>1531</v>
      </c>
    </row>
    <row r="246" spans="1:3">
      <c r="A246" s="34">
        <v>324</v>
      </c>
      <c r="B246" s="43">
        <v>888</v>
      </c>
      <c r="C246" s="35">
        <v>714</v>
      </c>
    </row>
    <row r="247" spans="1:3">
      <c r="A247" s="34">
        <v>329</v>
      </c>
      <c r="B247" s="43">
        <v>18600</v>
      </c>
      <c r="C247" s="35">
        <v>2531</v>
      </c>
    </row>
    <row r="248" spans="1:3">
      <c r="A248" s="34">
        <v>329</v>
      </c>
      <c r="B248" s="43">
        <v>6280</v>
      </c>
      <c r="C248" s="35">
        <v>2134</v>
      </c>
    </row>
    <row r="249" spans="1:3">
      <c r="A249" s="34">
        <v>329</v>
      </c>
      <c r="B249" s="43">
        <v>77000</v>
      </c>
      <c r="C249" s="35">
        <v>3397</v>
      </c>
    </row>
    <row r="250" spans="1:3">
      <c r="A250" s="34">
        <v>329</v>
      </c>
      <c r="B250" s="43">
        <v>1535</v>
      </c>
      <c r="C250" s="35">
        <v>2232</v>
      </c>
    </row>
    <row r="251" spans="1:3">
      <c r="A251" s="34">
        <v>329</v>
      </c>
      <c r="B251" s="43">
        <v>10500</v>
      </c>
      <c r="C251" s="35">
        <v>2130</v>
      </c>
    </row>
    <row r="252" spans="1:3">
      <c r="A252" s="34">
        <v>329</v>
      </c>
      <c r="B252" s="43">
        <v>4800</v>
      </c>
      <c r="C252" s="35">
        <v>1842</v>
      </c>
    </row>
    <row r="253" spans="1:3">
      <c r="A253" s="34">
        <v>329</v>
      </c>
      <c r="B253" s="43">
        <v>19400</v>
      </c>
      <c r="C253" s="35">
        <v>2390</v>
      </c>
    </row>
    <row r="254" spans="1:3">
      <c r="A254" s="34">
        <v>329</v>
      </c>
      <c r="B254" s="43">
        <v>33500</v>
      </c>
      <c r="C254" s="35">
        <v>2521</v>
      </c>
    </row>
    <row r="255" spans="1:3">
      <c r="A255" s="34">
        <v>329</v>
      </c>
      <c r="B255" s="43">
        <v>21300</v>
      </c>
      <c r="C255" s="35">
        <v>2528</v>
      </c>
    </row>
    <row r="256" spans="1:3">
      <c r="A256" s="34">
        <v>329</v>
      </c>
      <c r="B256" s="43">
        <v>44989</v>
      </c>
      <c r="C256" s="35">
        <v>3206</v>
      </c>
    </row>
    <row r="257" spans="1:3">
      <c r="A257" s="34">
        <v>329</v>
      </c>
      <c r="B257" s="43">
        <v>40193</v>
      </c>
      <c r="C257" s="35">
        <v>2869</v>
      </c>
    </row>
    <row r="258" spans="1:3">
      <c r="A258" s="34">
        <v>334</v>
      </c>
      <c r="B258" s="43">
        <v>1430</v>
      </c>
      <c r="C258" s="35">
        <v>917</v>
      </c>
    </row>
    <row r="259" spans="1:3">
      <c r="A259" s="34">
        <v>343</v>
      </c>
      <c r="B259" s="43">
        <v>5096</v>
      </c>
      <c r="C259" s="35">
        <v>1932</v>
      </c>
    </row>
    <row r="260" spans="1:3">
      <c r="A260" s="34">
        <v>343</v>
      </c>
      <c r="B260" s="43">
        <v>2680</v>
      </c>
      <c r="C260" s="35">
        <v>1684</v>
      </c>
    </row>
    <row r="261" spans="1:3">
      <c r="A261" s="34">
        <v>344</v>
      </c>
      <c r="B261" s="43">
        <v>12000</v>
      </c>
      <c r="C261" s="35">
        <v>2912</v>
      </c>
    </row>
    <row r="262" spans="1:3">
      <c r="A262" s="34">
        <v>344</v>
      </c>
      <c r="B262" s="43">
        <v>14470</v>
      </c>
      <c r="C262" s="35">
        <v>2912</v>
      </c>
    </row>
    <row r="263" spans="1:3">
      <c r="A263" s="34">
        <v>344</v>
      </c>
      <c r="B263" s="43">
        <v>10770</v>
      </c>
      <c r="C263" s="35">
        <v>2912</v>
      </c>
    </row>
    <row r="264" spans="1:3">
      <c r="A264" s="34">
        <v>344</v>
      </c>
      <c r="B264" s="43">
        <v>13617</v>
      </c>
      <c r="C264" s="35">
        <v>2912</v>
      </c>
    </row>
    <row r="265" spans="1:3">
      <c r="A265" s="34">
        <v>344</v>
      </c>
      <c r="B265" s="43">
        <v>10137</v>
      </c>
      <c r="C265" s="35">
        <v>2912</v>
      </c>
    </row>
    <row r="266" spans="1:3">
      <c r="A266" s="34">
        <v>344</v>
      </c>
      <c r="B266" s="43">
        <v>13065</v>
      </c>
      <c r="C266" s="35">
        <v>2912</v>
      </c>
    </row>
    <row r="267" spans="1:3">
      <c r="A267" s="34">
        <v>344</v>
      </c>
      <c r="B267" s="43">
        <v>11428</v>
      </c>
      <c r="C267" s="35">
        <v>2912</v>
      </c>
    </row>
    <row r="268" spans="1:3">
      <c r="A268" s="34">
        <v>344</v>
      </c>
      <c r="B268" s="43">
        <v>5252</v>
      </c>
      <c r="C268" s="35">
        <v>2912</v>
      </c>
    </row>
    <row r="269" spans="1:3">
      <c r="A269" s="34">
        <v>344</v>
      </c>
      <c r="B269" s="43">
        <v>13792</v>
      </c>
      <c r="C269" s="35">
        <v>2912</v>
      </c>
    </row>
    <row r="270" spans="1:3">
      <c r="A270" s="34">
        <v>344</v>
      </c>
      <c r="B270" s="43">
        <v>12677</v>
      </c>
      <c r="C270" s="35">
        <v>2912</v>
      </c>
    </row>
    <row r="271" spans="1:3">
      <c r="A271" s="34">
        <v>344</v>
      </c>
      <c r="B271" s="43">
        <v>9999</v>
      </c>
      <c r="C271" s="35">
        <v>2912</v>
      </c>
    </row>
    <row r="272" spans="1:3">
      <c r="A272" s="34">
        <v>344</v>
      </c>
      <c r="B272" s="43">
        <v>13060</v>
      </c>
      <c r="C272" s="35">
        <v>2912</v>
      </c>
    </row>
    <row r="273" spans="1:3">
      <c r="A273" s="34">
        <v>344</v>
      </c>
      <c r="B273" s="43">
        <v>11322</v>
      </c>
      <c r="C273" s="35">
        <v>2912</v>
      </c>
    </row>
    <row r="274" spans="1:3">
      <c r="A274" s="34">
        <v>344</v>
      </c>
      <c r="B274" s="43">
        <v>4450</v>
      </c>
      <c r="C274" s="35">
        <v>2912</v>
      </c>
    </row>
    <row r="275" spans="1:3">
      <c r="A275" s="34">
        <v>344</v>
      </c>
      <c r="B275" s="43">
        <v>12304</v>
      </c>
      <c r="C275" s="35">
        <v>2912</v>
      </c>
    </row>
    <row r="276" spans="1:3">
      <c r="A276" s="34">
        <v>344</v>
      </c>
      <c r="B276" s="43">
        <v>12035</v>
      </c>
      <c r="C276" s="35">
        <v>2912</v>
      </c>
    </row>
    <row r="277" spans="1:3">
      <c r="A277" s="34">
        <v>344</v>
      </c>
      <c r="B277" s="43">
        <v>11350</v>
      </c>
      <c r="C277" s="35">
        <v>2912</v>
      </c>
    </row>
    <row r="278" spans="1:3">
      <c r="A278" s="34">
        <v>344</v>
      </c>
      <c r="B278" s="43">
        <v>17032</v>
      </c>
      <c r="C278" s="35">
        <v>2912</v>
      </c>
    </row>
    <row r="279" spans="1:3">
      <c r="A279" s="34">
        <v>344</v>
      </c>
      <c r="B279" s="43">
        <v>14452</v>
      </c>
      <c r="C279" s="35">
        <v>2912</v>
      </c>
    </row>
    <row r="280" spans="1:3">
      <c r="A280" s="34">
        <v>344</v>
      </c>
      <c r="B280" s="43">
        <v>15975</v>
      </c>
      <c r="C280" s="35">
        <v>2912</v>
      </c>
    </row>
    <row r="281" spans="1:3">
      <c r="A281" s="34">
        <v>344</v>
      </c>
      <c r="B281" s="43">
        <v>15525</v>
      </c>
      <c r="C281" s="35">
        <v>2912</v>
      </c>
    </row>
    <row r="282" spans="1:3">
      <c r="A282" s="34">
        <v>344</v>
      </c>
      <c r="B282" s="43">
        <v>16554</v>
      </c>
      <c r="C282" s="35">
        <v>2912</v>
      </c>
    </row>
    <row r="283" spans="1:3">
      <c r="A283" s="34">
        <v>344</v>
      </c>
      <c r="B283" s="43">
        <v>14288</v>
      </c>
      <c r="C283" s="35">
        <v>2912</v>
      </c>
    </row>
    <row r="284" spans="1:3">
      <c r="A284" s="34">
        <v>344</v>
      </c>
      <c r="B284" s="43">
        <v>16450</v>
      </c>
      <c r="C284" s="35">
        <v>2912</v>
      </c>
    </row>
    <row r="285" spans="1:3">
      <c r="A285" s="34">
        <v>344</v>
      </c>
      <c r="B285" s="43">
        <v>16684</v>
      </c>
      <c r="C285" s="35">
        <v>2912</v>
      </c>
    </row>
    <row r="286" spans="1:3">
      <c r="A286" s="34">
        <v>344</v>
      </c>
      <c r="B286" s="43">
        <v>830</v>
      </c>
      <c r="C286" s="35">
        <v>2280</v>
      </c>
    </row>
    <row r="287" spans="1:3">
      <c r="A287" s="34">
        <v>344</v>
      </c>
      <c r="B287" s="43">
        <v>10177</v>
      </c>
      <c r="C287" s="35">
        <v>2912</v>
      </c>
    </row>
    <row r="288" spans="1:3">
      <c r="A288" s="34">
        <v>344</v>
      </c>
      <c r="B288" s="43">
        <v>5000</v>
      </c>
      <c r="C288" s="35">
        <v>0</v>
      </c>
    </row>
    <row r="289" spans="1:3">
      <c r="A289" s="34">
        <v>344</v>
      </c>
      <c r="B289" s="43">
        <v>11366</v>
      </c>
      <c r="C289" s="35">
        <v>0</v>
      </c>
    </row>
    <row r="290" spans="1:3">
      <c r="A290" s="34">
        <v>357</v>
      </c>
      <c r="B290" s="43">
        <v>890</v>
      </c>
      <c r="C290" s="35">
        <v>1930</v>
      </c>
    </row>
    <row r="291" spans="1:3">
      <c r="A291" s="34">
        <v>384</v>
      </c>
      <c r="B291" s="43">
        <v>0</v>
      </c>
      <c r="C291" s="35">
        <v>495</v>
      </c>
    </row>
    <row r="292" spans="1:3">
      <c r="A292" s="34">
        <v>398</v>
      </c>
      <c r="B292" s="43">
        <v>13382</v>
      </c>
      <c r="C292" s="35">
        <v>2642</v>
      </c>
    </row>
    <row r="293" spans="1:3">
      <c r="A293" s="34">
        <v>398</v>
      </c>
      <c r="B293" s="43">
        <v>11200</v>
      </c>
      <c r="C293" s="35">
        <v>2642</v>
      </c>
    </row>
    <row r="294" spans="1:3">
      <c r="A294" s="34">
        <v>398</v>
      </c>
      <c r="B294" s="43">
        <v>32293</v>
      </c>
      <c r="C294" s="35">
        <v>2774</v>
      </c>
    </row>
    <row r="295" spans="1:3">
      <c r="A295" s="34">
        <v>400</v>
      </c>
      <c r="B295" s="43">
        <v>1300</v>
      </c>
      <c r="C295" s="35">
        <v>1487</v>
      </c>
    </row>
    <row r="296" spans="1:3">
      <c r="A296" s="34">
        <v>400</v>
      </c>
      <c r="B296" s="43">
        <v>2025</v>
      </c>
      <c r="C296" s="35">
        <v>1487</v>
      </c>
    </row>
    <row r="297" spans="1:3">
      <c r="A297" s="34">
        <v>408</v>
      </c>
      <c r="B297" s="43">
        <v>5000</v>
      </c>
      <c r="C297" s="35">
        <v>1331</v>
      </c>
    </row>
    <row r="298" spans="1:3">
      <c r="A298" s="34">
        <v>408</v>
      </c>
      <c r="B298" s="43">
        <v>14300</v>
      </c>
      <c r="C298" s="35">
        <v>2203</v>
      </c>
    </row>
    <row r="299" spans="1:3">
      <c r="A299" s="34">
        <v>408</v>
      </c>
      <c r="B299" s="43">
        <v>1676</v>
      </c>
      <c r="C299" s="35">
        <v>618</v>
      </c>
    </row>
    <row r="300" spans="1:3">
      <c r="A300" s="34">
        <v>41</v>
      </c>
      <c r="B300" s="43">
        <v>1388</v>
      </c>
      <c r="C300" s="35">
        <v>1769</v>
      </c>
    </row>
    <row r="301" spans="1:3">
      <c r="A301" s="34">
        <v>41</v>
      </c>
      <c r="B301" s="43">
        <v>1684</v>
      </c>
      <c r="C301" s="35">
        <v>1771</v>
      </c>
    </row>
    <row r="302" spans="1:3">
      <c r="A302" s="34">
        <v>432</v>
      </c>
      <c r="B302" s="43">
        <v>1680</v>
      </c>
      <c r="C302" s="35">
        <v>0</v>
      </c>
    </row>
    <row r="303" spans="1:3">
      <c r="A303" s="34">
        <v>452</v>
      </c>
      <c r="B303" s="43">
        <v>14229</v>
      </c>
      <c r="C303" s="35">
        <v>2700</v>
      </c>
    </row>
    <row r="304" spans="1:3">
      <c r="A304" s="34">
        <v>49</v>
      </c>
      <c r="B304" s="43">
        <v>20000</v>
      </c>
      <c r="C304" s="35">
        <v>2602</v>
      </c>
    </row>
    <row r="305" spans="1:3">
      <c r="A305" s="34">
        <v>5</v>
      </c>
      <c r="B305" s="43">
        <v>5234</v>
      </c>
      <c r="C305" s="35">
        <v>1600</v>
      </c>
    </row>
    <row r="306" spans="1:3">
      <c r="A306" s="34">
        <v>5</v>
      </c>
      <c r="B306" s="43">
        <v>1500</v>
      </c>
      <c r="C306" s="35">
        <v>1091</v>
      </c>
    </row>
    <row r="307" spans="1:3">
      <c r="A307" s="34">
        <v>50</v>
      </c>
      <c r="B307" s="43">
        <v>1550</v>
      </c>
      <c r="C307" s="35">
        <v>1872</v>
      </c>
    </row>
    <row r="308" spans="1:3">
      <c r="A308" s="34">
        <v>502</v>
      </c>
      <c r="B308" s="43">
        <v>1081</v>
      </c>
      <c r="C308" s="35">
        <v>797</v>
      </c>
    </row>
    <row r="309" spans="1:3">
      <c r="A309" s="34">
        <v>502</v>
      </c>
      <c r="B309" s="43">
        <v>2500</v>
      </c>
      <c r="C309" s="35">
        <v>972</v>
      </c>
    </row>
    <row r="310" spans="1:3">
      <c r="A310" s="34">
        <v>51</v>
      </c>
      <c r="B310" s="43">
        <v>6000</v>
      </c>
      <c r="C310" s="35">
        <v>1620</v>
      </c>
    </row>
    <row r="311" spans="1:3">
      <c r="A311" s="34">
        <v>51</v>
      </c>
      <c r="B311" s="43">
        <v>25500</v>
      </c>
      <c r="C311" s="35">
        <v>2798</v>
      </c>
    </row>
    <row r="312" spans="1:3">
      <c r="A312" s="34">
        <v>51</v>
      </c>
      <c r="B312" s="43">
        <v>16000</v>
      </c>
      <c r="C312" s="35">
        <v>3172</v>
      </c>
    </row>
    <row r="313" spans="1:3">
      <c r="A313" s="34">
        <v>517</v>
      </c>
      <c r="B313" s="43">
        <v>3000</v>
      </c>
      <c r="C313" s="35">
        <v>2930</v>
      </c>
    </row>
    <row r="314" spans="1:3">
      <c r="A314" s="34">
        <v>552</v>
      </c>
      <c r="B314" s="43">
        <v>1468</v>
      </c>
      <c r="C314" s="35">
        <v>2984</v>
      </c>
    </row>
    <row r="315" spans="1:3">
      <c r="A315" s="34">
        <v>56</v>
      </c>
      <c r="B315" s="43">
        <v>8550</v>
      </c>
      <c r="C315" s="35">
        <v>2000</v>
      </c>
    </row>
    <row r="316" spans="1:3">
      <c r="A316" s="34">
        <v>56</v>
      </c>
      <c r="B316" s="43">
        <v>800</v>
      </c>
      <c r="C316" s="35">
        <v>416</v>
      </c>
    </row>
    <row r="317" spans="1:3">
      <c r="A317" s="34">
        <v>56</v>
      </c>
      <c r="B317" s="43">
        <v>10231</v>
      </c>
      <c r="C317" s="35">
        <v>2040</v>
      </c>
    </row>
    <row r="318" spans="1:3">
      <c r="A318" s="34">
        <v>56</v>
      </c>
      <c r="B318" s="43">
        <v>15200</v>
      </c>
      <c r="C318" s="35">
        <v>2000</v>
      </c>
    </row>
    <row r="319" spans="1:3">
      <c r="A319" s="34">
        <v>627</v>
      </c>
      <c r="B319" s="43">
        <v>15</v>
      </c>
      <c r="C319" s="35">
        <v>120</v>
      </c>
    </row>
    <row r="320" spans="1:3">
      <c r="A320" s="34">
        <v>64</v>
      </c>
      <c r="B320" s="43">
        <v>37000</v>
      </c>
      <c r="C320" s="35">
        <v>2499</v>
      </c>
    </row>
    <row r="321" spans="1:3">
      <c r="A321" s="34">
        <v>649</v>
      </c>
      <c r="B321" s="43">
        <v>170</v>
      </c>
      <c r="C321" s="35">
        <v>800</v>
      </c>
    </row>
    <row r="322" spans="1:3">
      <c r="A322" s="34">
        <v>649</v>
      </c>
      <c r="B322" s="43">
        <v>2100</v>
      </c>
      <c r="C322" s="35">
        <v>2828</v>
      </c>
    </row>
    <row r="323" spans="1:3">
      <c r="A323" s="34">
        <v>649</v>
      </c>
      <c r="B323" s="43">
        <v>4883</v>
      </c>
      <c r="C323" s="35">
        <v>2828</v>
      </c>
    </row>
    <row r="324" spans="1:3">
      <c r="A324" s="34">
        <v>86</v>
      </c>
      <c r="B324" s="43">
        <v>30116</v>
      </c>
      <c r="C324" s="35">
        <v>3138</v>
      </c>
    </row>
    <row r="325" spans="1:3">
      <c r="A325" s="34">
        <v>86</v>
      </c>
      <c r="B325" s="43">
        <v>7200</v>
      </c>
      <c r="C325" s="35">
        <v>2412</v>
      </c>
    </row>
    <row r="326" spans="1:3">
      <c r="A326" s="34">
        <v>86</v>
      </c>
      <c r="B326" s="43">
        <v>14560</v>
      </c>
      <c r="C326" s="35">
        <v>2975</v>
      </c>
    </row>
    <row r="327" spans="1:3">
      <c r="A327" s="34">
        <v>86</v>
      </c>
      <c r="B327" s="43">
        <v>29600</v>
      </c>
      <c r="C327" s="35">
        <v>2983</v>
      </c>
    </row>
    <row r="328" spans="1:3">
      <c r="A328" s="34">
        <v>86</v>
      </c>
      <c r="B328" s="43">
        <v>30000</v>
      </c>
      <c r="C328" s="35">
        <v>3124</v>
      </c>
    </row>
    <row r="329" spans="1:3">
      <c r="A329" s="34">
        <v>86</v>
      </c>
      <c r="B329" s="43">
        <v>8400</v>
      </c>
      <c r="C329" s="35">
        <v>2611</v>
      </c>
    </row>
    <row r="330" spans="1:3">
      <c r="A330" s="34">
        <v>88</v>
      </c>
      <c r="B330" s="43">
        <v>12000</v>
      </c>
      <c r="C330" s="35">
        <v>2860</v>
      </c>
    </row>
    <row r="331" spans="1:3">
      <c r="A331" s="34">
        <v>88</v>
      </c>
      <c r="B331" s="43">
        <v>17000</v>
      </c>
      <c r="C331" s="35">
        <v>2948</v>
      </c>
    </row>
    <row r="332" spans="1:3">
      <c r="A332" s="34">
        <v>88</v>
      </c>
      <c r="B332" s="43">
        <v>13000</v>
      </c>
      <c r="C332" s="35">
        <v>2860</v>
      </c>
    </row>
    <row r="333" spans="1:3">
      <c r="A333" s="34">
        <v>88</v>
      </c>
      <c r="B333" s="43">
        <v>12771</v>
      </c>
      <c r="C333" s="35">
        <v>2860</v>
      </c>
    </row>
    <row r="334" spans="1:3">
      <c r="A334" s="34">
        <v>88</v>
      </c>
      <c r="B334" s="43">
        <v>13500</v>
      </c>
      <c r="C334" s="35">
        <v>2912</v>
      </c>
    </row>
    <row r="335" spans="1:3">
      <c r="A335" s="34">
        <v>9</v>
      </c>
      <c r="B335" s="43">
        <v>15536</v>
      </c>
      <c r="C335" s="35">
        <v>3226</v>
      </c>
    </row>
    <row r="336" spans="1:3">
      <c r="A336" s="34">
        <v>9</v>
      </c>
      <c r="B336" s="43">
        <v>20000</v>
      </c>
      <c r="C336" s="35">
        <v>3533</v>
      </c>
    </row>
    <row r="337" spans="1:3">
      <c r="A337" s="34">
        <v>9</v>
      </c>
      <c r="B337" s="43">
        <v>10000</v>
      </c>
      <c r="C337" s="35">
        <v>3226</v>
      </c>
    </row>
    <row r="338" spans="1:3">
      <c r="A338" s="34">
        <v>9</v>
      </c>
      <c r="B338" s="43">
        <v>10000</v>
      </c>
      <c r="C338" s="35">
        <v>3226</v>
      </c>
    </row>
    <row r="339" spans="1:3">
      <c r="A339" s="34">
        <v>91</v>
      </c>
      <c r="B339" s="43">
        <v>1000</v>
      </c>
      <c r="C339" s="35">
        <v>1066</v>
      </c>
    </row>
    <row r="340" spans="1:3">
      <c r="A340" s="34">
        <v>94</v>
      </c>
      <c r="B340" s="43">
        <v>1305</v>
      </c>
      <c r="C340" s="35">
        <v>805</v>
      </c>
    </row>
    <row r="341" spans="1:3">
      <c r="A341" s="34">
        <v>94</v>
      </c>
      <c r="B341" s="43">
        <v>4000</v>
      </c>
      <c r="C341" s="35">
        <v>1516</v>
      </c>
    </row>
    <row r="342" spans="1:3">
      <c r="A342" s="34" t="s">
        <v>913</v>
      </c>
      <c r="B342" s="43" t="s">
        <v>922</v>
      </c>
      <c r="C342" s="35" t="s">
        <v>920</v>
      </c>
    </row>
  </sheetData>
  <sheetProtection password="CC33" sheet="1" objects="1" scenario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Input</vt:lpstr>
      <vt:lpstr>2020 Library Quick Report</vt:lpstr>
      <vt:lpstr>2020 Individual Charts</vt:lpstr>
      <vt:lpstr>2020 Comparison Charts</vt:lpstr>
      <vt:lpstr>2020Data</vt:lpstr>
      <vt:lpstr>branch</vt:lpstr>
      <vt:lpstr>BranchInfo</vt:lpstr>
      <vt:lpstr>_2019_Charts</vt:lpstr>
      <vt:lpstr>'2020Data'!Comparison_Library_City</vt:lpstr>
      <vt:lpstr>'2020 Comparison Charts'!Print_Area</vt:lpstr>
      <vt:lpstr>'2020 Individual Charts'!Print_Area</vt:lpstr>
      <vt:lpstr>'2020 Library Quick Report'!Print_Area</vt:lpstr>
      <vt:lpstr>Input!Print_Area</vt:lpstr>
    </vt:vector>
  </TitlesOfParts>
  <Company>connecticut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cslstaff</dc:creator>
  <cp:lastModifiedBy>Microsoft Office User</cp:lastModifiedBy>
  <cp:lastPrinted>2019-08-02T14:43:58Z</cp:lastPrinted>
  <dcterms:created xsi:type="dcterms:W3CDTF">2009-12-09T16:28:57Z</dcterms:created>
  <dcterms:modified xsi:type="dcterms:W3CDTF">2021-07-06T16:30:02Z</dcterms:modified>
</cp:coreProperties>
</file>