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3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5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reynolds4\Documents\"/>
    </mc:Choice>
  </mc:AlternateContent>
  <xr:revisionPtr revIDLastSave="0" documentId="8_{8C5A7625-452F-44F5-B27E-D88B26DC1F8E}" xr6:coauthVersionLast="45" xr6:coauthVersionMax="45" xr10:uidLastSave="{00000000-0000-0000-0000-000000000000}"/>
  <bookViews>
    <workbookView xWindow="-108" yWindow="-108" windowWidth="23256" windowHeight="12576" tabRatio="775" activeTab="3" xr2:uid="{00000000-000D-0000-FFFF-FFFF00000000}"/>
  </bookViews>
  <sheets>
    <sheet name="Input" sheetId="15" r:id="rId1"/>
    <sheet name="2020 Library Quick Report" sheetId="25" r:id="rId2"/>
    <sheet name="2020 Individual Charts" sheetId="18" r:id="rId3"/>
    <sheet name="2020 Comparison Charts" sheetId="16" r:id="rId4"/>
    <sheet name="2020Data" sheetId="24" state="hidden" r:id="rId5"/>
    <sheet name="main" sheetId="26" state="hidden" r:id="rId6"/>
    <sheet name="branch" sheetId="27" state="hidden" r:id="rId7"/>
    <sheet name="BranchInfo" sheetId="28" state="hidden" r:id="rId8"/>
  </sheets>
  <definedNames>
    <definedName name="_2019_Charts">Input!$C$13</definedName>
    <definedName name="_xlnm._FilterDatabase" localSheetId="4" hidden="1">'2020Data'!$A$1:$EB$84</definedName>
    <definedName name="_xlnm._FilterDatabase" localSheetId="0" hidden="1">Input!$B$42:$AG$43</definedName>
    <definedName name="_xlnm._FilterDatabase" localSheetId="5" hidden="1">main!$A$1:$EL$558</definedName>
    <definedName name="Comparison_Library_City" localSheetId="4">'2020Data'!$A$1:$A$83</definedName>
    <definedName name="_xlnm.Print_Area" localSheetId="3">'2020 Comparison Charts'!$A$1:$K$331</definedName>
    <definedName name="_xlnm.Print_Area" localSheetId="2">'2020 Individual Charts'!$A$1:$O$227</definedName>
    <definedName name="_xlnm.Print_Area" localSheetId="1">'2020 Library Quick Report'!$B$2:$F$58</definedName>
    <definedName name="_xlnm.Print_Area" localSheetId="0">Input!$A$1:$H$29</definedName>
  </definedNames>
  <calcPr calcId="191029"/>
  <pivotCaches>
    <pivotCache cacheId="0" r:id="rId9"/>
    <pivotCache cacheId="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3" i="24" l="1"/>
  <c r="C113" i="24"/>
  <c r="D113" i="24"/>
  <c r="E113" i="24"/>
  <c r="F113" i="24"/>
  <c r="G113" i="24"/>
  <c r="H113" i="24"/>
  <c r="I113" i="24"/>
  <c r="J113" i="24"/>
  <c r="K113" i="24"/>
  <c r="L113" i="24"/>
  <c r="M113" i="24"/>
  <c r="N113" i="24"/>
  <c r="O113" i="24"/>
  <c r="P113" i="24"/>
  <c r="Q113" i="24"/>
  <c r="R113" i="24"/>
  <c r="S113" i="24"/>
  <c r="T113" i="24"/>
  <c r="U113" i="24"/>
  <c r="V113" i="24"/>
  <c r="W113" i="24"/>
  <c r="X113" i="24"/>
  <c r="Y113" i="24"/>
  <c r="Z113" i="24"/>
  <c r="AA113" i="24"/>
  <c r="AB113" i="24"/>
  <c r="AC113" i="24"/>
  <c r="AD113" i="24"/>
  <c r="AE113" i="24"/>
  <c r="AF113" i="24"/>
  <c r="AG113" i="24"/>
  <c r="AH113" i="24"/>
  <c r="AI113" i="24"/>
  <c r="AJ113" i="24"/>
  <c r="AK113" i="24"/>
  <c r="AL113" i="24"/>
  <c r="AM113" i="24"/>
  <c r="AN113" i="24"/>
  <c r="AO113" i="24"/>
  <c r="AP113" i="24"/>
  <c r="AQ113" i="24"/>
  <c r="AR113" i="24"/>
  <c r="AS113" i="24"/>
  <c r="AT113" i="24"/>
  <c r="AU113" i="24"/>
  <c r="AV113" i="24"/>
  <c r="AW113" i="24"/>
  <c r="AX113" i="24"/>
  <c r="AY113" i="24"/>
  <c r="AZ113" i="24"/>
  <c r="BA113" i="24"/>
  <c r="BB113" i="24"/>
  <c r="BC113" i="24"/>
  <c r="BD113" i="24"/>
  <c r="BE113" i="24"/>
  <c r="BF113" i="24"/>
  <c r="BG113" i="24"/>
  <c r="BH113" i="24"/>
  <c r="BI113" i="24"/>
  <c r="BJ113" i="24"/>
  <c r="BK113" i="24"/>
  <c r="BL113" i="24"/>
  <c r="BM113" i="24"/>
  <c r="BN113" i="24"/>
  <c r="BO113" i="24"/>
  <c r="BP113" i="24"/>
  <c r="BQ113" i="24"/>
  <c r="BR113" i="24"/>
  <c r="BS113" i="24"/>
  <c r="BT113" i="24"/>
  <c r="BU113" i="24"/>
  <c r="BV113" i="24"/>
  <c r="BW113" i="24"/>
  <c r="BX113" i="24"/>
  <c r="BY113" i="24"/>
  <c r="BZ113" i="24"/>
  <c r="CA113" i="24"/>
  <c r="CB113" i="24"/>
  <c r="CC113" i="24"/>
  <c r="CD113" i="24"/>
  <c r="CE113" i="24"/>
  <c r="CF113" i="24"/>
  <c r="CG113" i="24"/>
  <c r="CH113" i="24"/>
  <c r="CI113" i="24"/>
  <c r="CJ113" i="24"/>
  <c r="CK113" i="24"/>
  <c r="CL113" i="24"/>
  <c r="CM113" i="24"/>
  <c r="CN113" i="24"/>
  <c r="CO113" i="24"/>
  <c r="CP113" i="24"/>
  <c r="CQ113" i="24"/>
  <c r="CR113" i="24"/>
  <c r="CS113" i="24"/>
  <c r="CT113" i="24"/>
  <c r="CU113" i="24"/>
  <c r="CV113" i="24"/>
  <c r="CW113" i="24"/>
  <c r="CX113" i="24"/>
  <c r="CY113" i="24"/>
  <c r="CZ113" i="24"/>
  <c r="DA113" i="24"/>
  <c r="DB113" i="24"/>
  <c r="DC113" i="24"/>
  <c r="DD113" i="24"/>
  <c r="DE113" i="24"/>
  <c r="DF113" i="24"/>
  <c r="DG113" i="24"/>
  <c r="DH113" i="24"/>
  <c r="DI113" i="24"/>
  <c r="DJ113" i="24"/>
  <c r="DK113" i="24"/>
  <c r="DL113" i="24"/>
  <c r="DM113" i="24"/>
  <c r="DN113" i="24"/>
  <c r="DO113" i="24"/>
  <c r="DP113" i="24"/>
  <c r="DQ113" i="24"/>
  <c r="DR113" i="24"/>
  <c r="DS113" i="24"/>
  <c r="DT113" i="24"/>
  <c r="DU113" i="24"/>
  <c r="DV113" i="24"/>
  <c r="DW113" i="24"/>
  <c r="DX113" i="24"/>
  <c r="DY113" i="24"/>
  <c r="DZ113" i="24"/>
  <c r="EA113" i="24"/>
  <c r="EB113" i="24"/>
  <c r="D102" i="24"/>
  <c r="C102" i="24"/>
  <c r="C114" i="24"/>
  <c r="C115" i="24"/>
  <c r="C116" i="24"/>
  <c r="C117" i="24"/>
  <c r="B117" i="24"/>
  <c r="B116" i="24"/>
  <c r="B115" i="24"/>
  <c r="B114" i="24" l="1"/>
  <c r="L3" i="24" l="1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2" i="24"/>
  <c r="N84" i="24"/>
  <c r="O84" i="24"/>
  <c r="CC2" i="24" l="1"/>
  <c r="C53" i="25" l="1"/>
  <c r="DH3" i="24"/>
  <c r="DH4" i="24"/>
  <c r="DH5" i="24"/>
  <c r="DH6" i="24"/>
  <c r="DH7" i="24"/>
  <c r="DH8" i="24"/>
  <c r="DH9" i="24"/>
  <c r="DH10" i="24"/>
  <c r="DH11" i="24"/>
  <c r="DH12" i="24"/>
  <c r="DH13" i="24"/>
  <c r="DH14" i="24"/>
  <c r="DH15" i="24"/>
  <c r="DH16" i="24"/>
  <c r="DH17" i="24"/>
  <c r="DH18" i="24"/>
  <c r="DH19" i="24"/>
  <c r="DH20" i="24"/>
  <c r="DH21" i="24"/>
  <c r="DH22" i="24"/>
  <c r="DH23" i="24"/>
  <c r="DH24" i="24"/>
  <c r="DH25" i="24"/>
  <c r="DH26" i="24"/>
  <c r="DH27" i="24"/>
  <c r="DH28" i="24"/>
  <c r="DH29" i="24"/>
  <c r="DH30" i="24"/>
  <c r="DH31" i="24"/>
  <c r="DH32" i="24"/>
  <c r="DH33" i="24"/>
  <c r="DH34" i="24"/>
  <c r="DH35" i="24"/>
  <c r="DH36" i="24"/>
  <c r="DH37" i="24"/>
  <c r="DH38" i="24"/>
  <c r="DH39" i="24"/>
  <c r="DH40" i="24"/>
  <c r="DH41" i="24"/>
  <c r="DH42" i="24"/>
  <c r="DH43" i="24"/>
  <c r="DH44" i="24"/>
  <c r="DH45" i="24"/>
  <c r="DH46" i="24"/>
  <c r="DH47" i="24"/>
  <c r="DH48" i="24"/>
  <c r="DH49" i="24"/>
  <c r="DH50" i="24"/>
  <c r="DH51" i="24"/>
  <c r="DH52" i="24"/>
  <c r="DH53" i="24"/>
  <c r="DH54" i="24"/>
  <c r="DH55" i="24"/>
  <c r="DH56" i="24"/>
  <c r="DH57" i="24"/>
  <c r="DH58" i="24"/>
  <c r="DH59" i="24"/>
  <c r="DH60" i="24"/>
  <c r="DH61" i="24"/>
  <c r="DH62" i="24"/>
  <c r="DH63" i="24"/>
  <c r="DH64" i="24"/>
  <c r="DH65" i="24"/>
  <c r="DH66" i="24"/>
  <c r="DH67" i="24"/>
  <c r="DH68" i="24"/>
  <c r="DH69" i="24"/>
  <c r="DH70" i="24"/>
  <c r="DH71" i="24"/>
  <c r="DH72" i="24"/>
  <c r="DH73" i="24"/>
  <c r="DH74" i="24"/>
  <c r="DH75" i="24"/>
  <c r="DH76" i="24"/>
  <c r="DH77" i="24"/>
  <c r="DH78" i="24"/>
  <c r="DH79" i="24"/>
  <c r="DH80" i="24"/>
  <c r="DH81" i="24"/>
  <c r="DH82" i="24"/>
  <c r="DH83" i="24"/>
  <c r="DH2" i="24"/>
  <c r="AG84" i="24" l="1"/>
  <c r="AF84" i="24"/>
  <c r="B102" i="24"/>
  <c r="BR3" i="24"/>
  <c r="BR4" i="24"/>
  <c r="BR5" i="24"/>
  <c r="BR6" i="24"/>
  <c r="BR7" i="24"/>
  <c r="BR8" i="24"/>
  <c r="BR9" i="24"/>
  <c r="BR10" i="24"/>
  <c r="BR11" i="24"/>
  <c r="BR12" i="24"/>
  <c r="BR13" i="24"/>
  <c r="BR14" i="24"/>
  <c r="BR15" i="24"/>
  <c r="BR16" i="24"/>
  <c r="BR17" i="24"/>
  <c r="BR18" i="24"/>
  <c r="BR19" i="24"/>
  <c r="BR20" i="24"/>
  <c r="BR21" i="24"/>
  <c r="BR22" i="24"/>
  <c r="BR23" i="24"/>
  <c r="BR24" i="24"/>
  <c r="BR25" i="24"/>
  <c r="BR26" i="24"/>
  <c r="BR27" i="24"/>
  <c r="BR28" i="24"/>
  <c r="BR29" i="24"/>
  <c r="BR30" i="24"/>
  <c r="BR31" i="24"/>
  <c r="BR32" i="24"/>
  <c r="BR33" i="24"/>
  <c r="BR34" i="24"/>
  <c r="BR35" i="24"/>
  <c r="BR36" i="24"/>
  <c r="BR37" i="24"/>
  <c r="BR38" i="24"/>
  <c r="BR39" i="24"/>
  <c r="BR40" i="24"/>
  <c r="BR41" i="24"/>
  <c r="BR42" i="24"/>
  <c r="BR43" i="24"/>
  <c r="BR44" i="24"/>
  <c r="BR45" i="24"/>
  <c r="BR46" i="24"/>
  <c r="BR47" i="24"/>
  <c r="BR48" i="24"/>
  <c r="BR49" i="24"/>
  <c r="BR50" i="24"/>
  <c r="BR51" i="24"/>
  <c r="BR52" i="24"/>
  <c r="BR53" i="24"/>
  <c r="BR54" i="24"/>
  <c r="BR55" i="24"/>
  <c r="BR56" i="24"/>
  <c r="BR57" i="24"/>
  <c r="BR58" i="24"/>
  <c r="BR59" i="24"/>
  <c r="BR60" i="24"/>
  <c r="BR61" i="24"/>
  <c r="BR62" i="24"/>
  <c r="BR63" i="24"/>
  <c r="BR64" i="24"/>
  <c r="BR65" i="24"/>
  <c r="BR66" i="24"/>
  <c r="BR67" i="24"/>
  <c r="BR68" i="24"/>
  <c r="BR69" i="24"/>
  <c r="BR70" i="24"/>
  <c r="BR71" i="24"/>
  <c r="BR72" i="24"/>
  <c r="BR73" i="24"/>
  <c r="BR74" i="24"/>
  <c r="BR75" i="24"/>
  <c r="BR76" i="24"/>
  <c r="BR77" i="24"/>
  <c r="BR78" i="24"/>
  <c r="BR79" i="24"/>
  <c r="BR80" i="24"/>
  <c r="BR81" i="24"/>
  <c r="BR82" i="24"/>
  <c r="BR83" i="24"/>
  <c r="BR2" i="24"/>
  <c r="EB2" i="24"/>
  <c r="EB83" i="24" l="1"/>
  <c r="EB82" i="24"/>
  <c r="EB81" i="24"/>
  <c r="EB80" i="24"/>
  <c r="EB79" i="24"/>
  <c r="EB78" i="24"/>
  <c r="EB77" i="24"/>
  <c r="EB76" i="24"/>
  <c r="EB75" i="24"/>
  <c r="EB73" i="24"/>
  <c r="EB72" i="24"/>
  <c r="EB69" i="24"/>
  <c r="EB68" i="24"/>
  <c r="EB67" i="24"/>
  <c r="EB65" i="24"/>
  <c r="EB64" i="24"/>
  <c r="EB62" i="24"/>
  <c r="EB61" i="24"/>
  <c r="EB60" i="24"/>
  <c r="EB59" i="24"/>
  <c r="EB58" i="24"/>
  <c r="EB57" i="24"/>
  <c r="EB56" i="24"/>
  <c r="EB55" i="24"/>
  <c r="EB53" i="24"/>
  <c r="EB52" i="24"/>
  <c r="EB51" i="24"/>
  <c r="EB50" i="24"/>
  <c r="EB49" i="24"/>
  <c r="EB48" i="24"/>
  <c r="EB47" i="24"/>
  <c r="EB46" i="24"/>
  <c r="EB44" i="24"/>
  <c r="EB43" i="24"/>
  <c r="EB42" i="24"/>
  <c r="EB41" i="24"/>
  <c r="EB40" i="24"/>
  <c r="EB39" i="24"/>
  <c r="EB38" i="24"/>
  <c r="EB36" i="24"/>
  <c r="EB35" i="24"/>
  <c r="EB34" i="24"/>
  <c r="EB33" i="24"/>
  <c r="EB32" i="24"/>
  <c r="EB31" i="24"/>
  <c r="EB30" i="24"/>
  <c r="EB29" i="24"/>
  <c r="EB27" i="24"/>
  <c r="EB26" i="24"/>
  <c r="EB25" i="24"/>
  <c r="EB24" i="24"/>
  <c r="EB23" i="24"/>
  <c r="EB22" i="24"/>
  <c r="EB21" i="24"/>
  <c r="EB20" i="24"/>
  <c r="EB19" i="24"/>
  <c r="EB18" i="24"/>
  <c r="EB16" i="24"/>
  <c r="EB14" i="24"/>
  <c r="EB13" i="24"/>
  <c r="EB12" i="24"/>
  <c r="EB11" i="24"/>
  <c r="EB10" i="24"/>
  <c r="EB9" i="24"/>
  <c r="EB7" i="24"/>
  <c r="EB5" i="24"/>
  <c r="EB4" i="24"/>
  <c r="EB3" i="24"/>
  <c r="CP83" i="24"/>
  <c r="CP82" i="24"/>
  <c r="CP81" i="24"/>
  <c r="CP80" i="24"/>
  <c r="CP79" i="24"/>
  <c r="CP78" i="24"/>
  <c r="CP76" i="24"/>
  <c r="CP75" i="24"/>
  <c r="CP73" i="24"/>
  <c r="CP69" i="24"/>
  <c r="CP68" i="24"/>
  <c r="CP65" i="24"/>
  <c r="CP62" i="24"/>
  <c r="CP61" i="24"/>
  <c r="CP60" i="24"/>
  <c r="CP59" i="24"/>
  <c r="CP55" i="24"/>
  <c r="CP47" i="24"/>
  <c r="CP46" i="24"/>
  <c r="CP45" i="24"/>
  <c r="A6" i="16"/>
  <c r="G90" i="24" l="1"/>
  <c r="G104" i="24"/>
  <c r="EB117" i="24"/>
  <c r="DV117" i="24"/>
  <c r="DV116" i="24"/>
  <c r="DV115" i="24"/>
  <c r="DV114" i="24"/>
  <c r="DU117" i="24"/>
  <c r="DU116" i="24"/>
  <c r="DU115" i="24"/>
  <c r="DU114" i="24"/>
  <c r="DT117" i="24"/>
  <c r="DT116" i="24"/>
  <c r="DT115" i="24"/>
  <c r="DT114" i="24"/>
  <c r="DS117" i="24"/>
  <c r="DS116" i="24"/>
  <c r="DS115" i="24"/>
  <c r="DS114" i="24"/>
  <c r="DR117" i="24"/>
  <c r="DR116" i="24"/>
  <c r="DR115" i="24"/>
  <c r="DR114" i="24"/>
  <c r="DQ117" i="24"/>
  <c r="DQ116" i="24"/>
  <c r="DQ115" i="24"/>
  <c r="DQ114" i="24"/>
  <c r="DP117" i="24"/>
  <c r="DP116" i="24"/>
  <c r="DP115" i="24"/>
  <c r="DP114" i="24"/>
  <c r="DO117" i="24"/>
  <c r="DO116" i="24"/>
  <c r="DO115" i="24"/>
  <c r="DO114" i="24"/>
  <c r="DN117" i="24"/>
  <c r="DN116" i="24"/>
  <c r="DN115" i="24"/>
  <c r="DN114" i="24"/>
  <c r="DM117" i="24"/>
  <c r="DM116" i="24"/>
  <c r="DM115" i="24"/>
  <c r="DM114" i="24"/>
  <c r="DK117" i="24"/>
  <c r="DK116" i="24"/>
  <c r="DK115" i="24"/>
  <c r="DK114" i="24"/>
  <c r="DJ117" i="24"/>
  <c r="DJ116" i="24"/>
  <c r="DJ115" i="24"/>
  <c r="DJ114" i="24"/>
  <c r="DI117" i="24"/>
  <c r="DI116" i="24"/>
  <c r="DI115" i="24"/>
  <c r="DI114" i="24"/>
  <c r="DH117" i="24"/>
  <c r="DH116" i="24"/>
  <c r="DH115" i="24"/>
  <c r="DH114" i="24"/>
  <c r="DG117" i="24"/>
  <c r="DG116" i="24"/>
  <c r="DG115" i="24"/>
  <c r="DG114" i="24"/>
  <c r="DF117" i="24"/>
  <c r="DF116" i="24"/>
  <c r="DF115" i="24"/>
  <c r="DF114" i="24"/>
  <c r="DE117" i="24"/>
  <c r="DE116" i="24"/>
  <c r="DE115" i="24"/>
  <c r="DE114" i="24"/>
  <c r="DD117" i="24"/>
  <c r="DD116" i="24"/>
  <c r="DD115" i="24"/>
  <c r="DD114" i="24"/>
  <c r="DC117" i="24"/>
  <c r="DC116" i="24"/>
  <c r="DC115" i="24"/>
  <c r="DC114" i="24"/>
  <c r="DB117" i="24"/>
  <c r="DB116" i="24"/>
  <c r="DB115" i="24"/>
  <c r="DB114" i="24"/>
  <c r="DA117" i="24"/>
  <c r="DA116" i="24"/>
  <c r="DA115" i="24"/>
  <c r="DA114" i="24"/>
  <c r="CZ117" i="24"/>
  <c r="CZ116" i="24"/>
  <c r="CZ115" i="24"/>
  <c r="CZ114" i="24"/>
  <c r="CY117" i="24"/>
  <c r="CY116" i="24"/>
  <c r="CY115" i="24"/>
  <c r="CY114" i="24"/>
  <c r="CX117" i="24"/>
  <c r="CX116" i="24"/>
  <c r="CX115" i="24"/>
  <c r="CX114" i="24"/>
  <c r="CW117" i="24"/>
  <c r="CW116" i="24"/>
  <c r="CW115" i="24"/>
  <c r="CW114" i="24"/>
  <c r="CV117" i="24"/>
  <c r="CV116" i="24"/>
  <c r="CV115" i="24"/>
  <c r="CV114" i="24"/>
  <c r="CU117" i="24"/>
  <c r="CU116" i="24"/>
  <c r="CU115" i="24"/>
  <c r="CU114" i="24"/>
  <c r="CR117" i="24"/>
  <c r="CR116" i="24"/>
  <c r="CR115" i="24"/>
  <c r="CR114" i="24"/>
  <c r="CQ117" i="24"/>
  <c r="CQ116" i="24"/>
  <c r="CQ115" i="24"/>
  <c r="CQ114" i="24"/>
  <c r="CO117" i="24"/>
  <c r="CO116" i="24"/>
  <c r="CO115" i="24"/>
  <c r="CO114" i="24"/>
  <c r="CN117" i="24"/>
  <c r="CN116" i="24"/>
  <c r="CN115" i="24"/>
  <c r="CN114" i="24"/>
  <c r="CM117" i="24"/>
  <c r="CM116" i="24"/>
  <c r="CM115" i="24"/>
  <c r="CM114" i="24"/>
  <c r="CL117" i="24"/>
  <c r="CL116" i="24"/>
  <c r="CL115" i="24"/>
  <c r="CL114" i="24"/>
  <c r="CK117" i="24"/>
  <c r="CK116" i="24"/>
  <c r="CK115" i="24"/>
  <c r="CK114" i="24"/>
  <c r="CI117" i="24"/>
  <c r="CI116" i="24"/>
  <c r="CI115" i="24"/>
  <c r="CI114" i="24"/>
  <c r="CF117" i="24"/>
  <c r="CF116" i="24"/>
  <c r="CF115" i="24"/>
  <c r="CF114" i="24"/>
  <c r="CE117" i="24"/>
  <c r="CE116" i="24"/>
  <c r="CE115" i="24"/>
  <c r="CE114" i="24"/>
  <c r="CD117" i="24"/>
  <c r="CD116" i="24"/>
  <c r="CD115" i="24"/>
  <c r="CD114" i="24"/>
  <c r="CB117" i="24"/>
  <c r="CB116" i="24"/>
  <c r="CB115" i="24"/>
  <c r="CB114" i="24"/>
  <c r="CA117" i="24"/>
  <c r="CA116" i="24"/>
  <c r="CA115" i="24"/>
  <c r="CA114" i="24"/>
  <c r="BZ117" i="24"/>
  <c r="BZ116" i="24"/>
  <c r="BZ115" i="24"/>
  <c r="BZ114" i="24"/>
  <c r="BT117" i="24"/>
  <c r="BT116" i="24"/>
  <c r="BT115" i="24"/>
  <c r="BT114" i="24"/>
  <c r="BS117" i="24"/>
  <c r="BS116" i="24"/>
  <c r="BS115" i="24"/>
  <c r="BS114" i="24"/>
  <c r="BR117" i="24"/>
  <c r="BR116" i="24"/>
  <c r="BR115" i="24"/>
  <c r="BR114" i="24"/>
  <c r="BQ117" i="24"/>
  <c r="BQ116" i="24"/>
  <c r="BQ115" i="24"/>
  <c r="BQ114" i="24"/>
  <c r="BP117" i="24"/>
  <c r="BP116" i="24"/>
  <c r="BP115" i="24"/>
  <c r="BP114" i="24"/>
  <c r="BN117" i="24"/>
  <c r="BN116" i="24"/>
  <c r="BN115" i="24"/>
  <c r="BN114" i="24"/>
  <c r="BM117" i="24"/>
  <c r="BM116" i="24"/>
  <c r="BM115" i="24"/>
  <c r="BM114" i="24"/>
  <c r="BK117" i="24"/>
  <c r="BK116" i="24"/>
  <c r="BK115" i="24"/>
  <c r="BK114" i="24"/>
  <c r="BI117" i="24"/>
  <c r="BI116" i="24"/>
  <c r="BI115" i="24"/>
  <c r="BI114" i="24"/>
  <c r="BH117" i="24"/>
  <c r="BH116" i="24"/>
  <c r="BH115" i="24"/>
  <c r="BH114" i="24"/>
  <c r="BG117" i="24"/>
  <c r="BG116" i="24"/>
  <c r="BG115" i="24"/>
  <c r="BG114" i="24"/>
  <c r="BF117" i="24"/>
  <c r="BF116" i="24"/>
  <c r="BF115" i="24"/>
  <c r="BF114" i="24"/>
  <c r="BE117" i="24"/>
  <c r="BE116" i="24"/>
  <c r="BE115" i="24"/>
  <c r="BE114" i="24"/>
  <c r="BD117" i="24"/>
  <c r="BD116" i="24"/>
  <c r="BD115" i="24"/>
  <c r="BD114" i="24"/>
  <c r="BC117" i="24"/>
  <c r="BC116" i="24"/>
  <c r="BC115" i="24"/>
  <c r="BC114" i="24"/>
  <c r="BB117" i="24"/>
  <c r="BB116" i="24"/>
  <c r="BB115" i="24"/>
  <c r="BB114" i="24"/>
  <c r="AZ117" i="24"/>
  <c r="AZ116" i="24"/>
  <c r="AZ115" i="24"/>
  <c r="AZ114" i="24"/>
  <c r="CF102" i="24"/>
  <c r="CE102" i="24"/>
  <c r="CD102" i="24"/>
  <c r="CB102" i="24"/>
  <c r="CA102" i="24"/>
  <c r="BZ102" i="24"/>
  <c r="BT102" i="24"/>
  <c r="BS102" i="24"/>
  <c r="BR102" i="24"/>
  <c r="BQ102" i="24"/>
  <c r="BP102" i="24"/>
  <c r="BN102" i="24"/>
  <c r="BM102" i="24"/>
  <c r="BK102" i="24"/>
  <c r="BI102" i="24"/>
  <c r="BH102" i="24"/>
  <c r="BG102" i="24"/>
  <c r="BF102" i="24"/>
  <c r="BE102" i="24"/>
  <c r="BD102" i="24"/>
  <c r="BC102" i="24"/>
  <c r="BB102" i="24"/>
  <c r="AZ102" i="24"/>
  <c r="CI102" i="24"/>
  <c r="F56" i="25"/>
  <c r="F55" i="25"/>
  <c r="F54" i="25"/>
  <c r="F53" i="25"/>
  <c r="F50" i="25"/>
  <c r="F49" i="25"/>
  <c r="F43" i="25"/>
  <c r="F42" i="25"/>
  <c r="F40" i="25"/>
  <c r="F39" i="25"/>
  <c r="F38" i="25"/>
  <c r="F25" i="25"/>
  <c r="F22" i="25"/>
  <c r="F24" i="25"/>
  <c r="F21" i="25"/>
  <c r="F20" i="25"/>
  <c r="F19" i="25"/>
  <c r="F18" i="25"/>
  <c r="F13" i="25"/>
  <c r="F12" i="25"/>
  <c r="F11" i="25"/>
  <c r="F8" i="25"/>
  <c r="F10" i="25"/>
  <c r="F7" i="25"/>
  <c r="F9" i="25"/>
  <c r="F6" i="25"/>
  <c r="F5" i="25"/>
  <c r="C51" i="25"/>
  <c r="C43" i="25"/>
  <c r="C42" i="25"/>
  <c r="C41" i="25"/>
  <c r="C40" i="25"/>
  <c r="C39" i="25"/>
  <c r="C37" i="25"/>
  <c r="C36" i="25"/>
  <c r="C33" i="25"/>
  <c r="C32" i="25"/>
  <c r="C31" i="25"/>
  <c r="C29" i="25"/>
  <c r="C22" i="25"/>
  <c r="C21" i="25"/>
  <c r="C19" i="25"/>
  <c r="C18" i="25"/>
  <c r="C15" i="25"/>
  <c r="C17" i="25"/>
  <c r="C14" i="25"/>
  <c r="DU102" i="24"/>
  <c r="DT102" i="24"/>
  <c r="DS102" i="24"/>
  <c r="DR102" i="24"/>
  <c r="DQ102" i="24"/>
  <c r="DP102" i="24"/>
  <c r="DO102" i="24"/>
  <c r="DN102" i="24"/>
  <c r="DM102" i="24"/>
  <c r="DK102" i="24"/>
  <c r="DJ102" i="24"/>
  <c r="DI102" i="24"/>
  <c r="DH102" i="24"/>
  <c r="DG102" i="24"/>
  <c r="DF102" i="24"/>
  <c r="DE102" i="24"/>
  <c r="DD102" i="24"/>
  <c r="DC102" i="24"/>
  <c r="DB102" i="24"/>
  <c r="DA102" i="24"/>
  <c r="CZ102" i="24"/>
  <c r="CY102" i="24"/>
  <c r="CX102" i="24"/>
  <c r="CW102" i="24"/>
  <c r="CV102" i="24"/>
  <c r="CU102" i="24"/>
  <c r="CR102" i="24"/>
  <c r="CQ102" i="24"/>
  <c r="CO102" i="24"/>
  <c r="CN102" i="24"/>
  <c r="CM102" i="24"/>
  <c r="CL102" i="24"/>
  <c r="CK102" i="24"/>
  <c r="C10" i="25"/>
  <c r="C9" i="25"/>
  <c r="C8" i="25"/>
  <c r="C7" i="25"/>
  <c r="C6" i="25"/>
  <c r="B6" i="18"/>
  <c r="B2" i="25"/>
  <c r="BC84" i="24"/>
  <c r="BC90" i="24"/>
  <c r="BC91" i="24"/>
  <c r="BC92" i="24"/>
  <c r="BC93" i="24"/>
  <c r="BC94" i="24"/>
  <c r="BC95" i="24"/>
  <c r="BC96" i="24"/>
  <c r="BC97" i="24"/>
  <c r="BC104" i="24"/>
  <c r="BC118" i="24" s="1"/>
  <c r="EA3" i="24" l="1"/>
  <c r="EB102" i="24"/>
  <c r="EA4" i="24"/>
  <c r="EA5" i="24"/>
  <c r="EA114" i="24" s="1"/>
  <c r="EB114" i="24"/>
  <c r="EA6" i="24"/>
  <c r="EA117" i="24" s="1"/>
  <c r="EA7" i="24"/>
  <c r="EA115" i="24" s="1"/>
  <c r="EA8" i="24"/>
  <c r="EA9" i="24"/>
  <c r="EA10" i="24"/>
  <c r="EA11" i="24"/>
  <c r="EA12" i="24"/>
  <c r="EA13" i="24"/>
  <c r="EA14" i="24"/>
  <c r="EA15" i="24"/>
  <c r="EA16" i="24"/>
  <c r="EA17" i="24"/>
  <c r="EA18" i="24"/>
  <c r="EA19" i="24"/>
  <c r="EA20" i="24"/>
  <c r="EA21" i="24"/>
  <c r="EA22" i="24"/>
  <c r="EA23" i="24"/>
  <c r="EA24" i="24"/>
  <c r="EA25" i="24"/>
  <c r="EA26" i="24"/>
  <c r="EA27" i="24"/>
  <c r="EA116" i="24" s="1"/>
  <c r="EB116" i="24"/>
  <c r="EA28" i="24"/>
  <c r="EA29" i="24"/>
  <c r="EA30" i="24"/>
  <c r="EA31" i="24"/>
  <c r="EA32" i="24"/>
  <c r="EA33" i="24"/>
  <c r="EA34" i="24"/>
  <c r="EA35" i="24"/>
  <c r="EA36" i="24"/>
  <c r="EA37" i="24"/>
  <c r="EA38" i="24"/>
  <c r="EA39" i="24"/>
  <c r="EA40" i="24"/>
  <c r="EA41" i="24"/>
  <c r="EA42" i="24"/>
  <c r="EA43" i="24"/>
  <c r="EA44" i="24"/>
  <c r="EA45" i="24"/>
  <c r="EA46" i="24"/>
  <c r="EA47" i="24"/>
  <c r="EA48" i="24"/>
  <c r="EA49" i="24"/>
  <c r="EA50" i="24"/>
  <c r="EA51" i="24"/>
  <c r="EA52" i="24"/>
  <c r="EA53" i="24"/>
  <c r="EA54" i="24"/>
  <c r="EA55" i="24"/>
  <c r="EA56" i="24"/>
  <c r="EA57" i="24"/>
  <c r="EA58" i="24"/>
  <c r="EA59" i="24"/>
  <c r="EA60" i="24"/>
  <c r="EA61" i="24"/>
  <c r="EA62" i="24"/>
  <c r="EA63" i="24"/>
  <c r="EA64" i="24"/>
  <c r="EA65" i="24"/>
  <c r="EA66" i="24"/>
  <c r="EA67" i="24"/>
  <c r="EA68" i="24"/>
  <c r="EA69" i="24"/>
  <c r="EA70" i="24"/>
  <c r="EA71" i="24"/>
  <c r="EA72" i="24"/>
  <c r="EA73" i="24"/>
  <c r="EA74" i="24"/>
  <c r="EA75" i="24"/>
  <c r="EA76" i="24"/>
  <c r="EA77" i="24"/>
  <c r="EA78" i="24"/>
  <c r="EA79" i="24"/>
  <c r="EA80" i="24"/>
  <c r="EA81" i="24"/>
  <c r="EA82" i="24"/>
  <c r="EA83" i="24"/>
  <c r="EB115" i="24"/>
  <c r="EA2" i="24"/>
  <c r="EA102" i="24" l="1"/>
  <c r="EB95" i="24"/>
  <c r="EB91" i="24"/>
  <c r="EA90" i="24"/>
  <c r="EB92" i="24"/>
  <c r="EA95" i="24"/>
  <c r="EA91" i="24"/>
  <c r="EA94" i="24"/>
  <c r="EA104" i="24"/>
  <c r="EA118" i="24" s="1"/>
  <c r="EA97" i="24"/>
  <c r="EB104" i="24"/>
  <c r="EB118" i="24" s="1"/>
  <c r="EB93" i="24"/>
  <c r="EB97" i="24"/>
  <c r="EA92" i="24"/>
  <c r="EB94" i="24"/>
  <c r="EA93" i="24"/>
  <c r="EB90" i="24"/>
  <c r="EB96" i="24"/>
  <c r="EA96" i="24"/>
  <c r="EA84" i="24"/>
  <c r="EB84" i="24"/>
  <c r="G96" i="24"/>
  <c r="G116" i="24"/>
  <c r="DK93" i="24"/>
  <c r="DK91" i="24"/>
  <c r="DK96" i="24"/>
  <c r="BH104" i="24"/>
  <c r="AX117" i="24"/>
  <c r="AX116" i="24"/>
  <c r="AX115" i="24"/>
  <c r="AX114" i="24"/>
  <c r="AW117" i="24"/>
  <c r="AW116" i="24"/>
  <c r="AW115" i="24"/>
  <c r="AW114" i="24"/>
  <c r="AV117" i="24"/>
  <c r="AV116" i="24"/>
  <c r="AV115" i="24"/>
  <c r="AV114" i="24"/>
  <c r="AU117" i="24"/>
  <c r="AU116" i="24"/>
  <c r="AU115" i="24"/>
  <c r="AU114" i="24"/>
  <c r="AT117" i="24"/>
  <c r="AT116" i="24"/>
  <c r="AT115" i="24"/>
  <c r="AT114" i="24"/>
  <c r="AS117" i="24"/>
  <c r="AS116" i="24"/>
  <c r="AS115" i="24"/>
  <c r="AS114" i="24"/>
  <c r="AR117" i="24"/>
  <c r="AR116" i="24"/>
  <c r="AR115" i="24"/>
  <c r="AR114" i="24"/>
  <c r="AP117" i="24"/>
  <c r="AP116" i="24"/>
  <c r="AP115" i="24"/>
  <c r="AP114" i="24"/>
  <c r="AN117" i="24"/>
  <c r="AN116" i="24"/>
  <c r="AN115" i="24"/>
  <c r="AN114" i="24"/>
  <c r="AM117" i="24"/>
  <c r="AM116" i="24"/>
  <c r="AM115" i="24"/>
  <c r="AM114" i="24"/>
  <c r="AL117" i="24"/>
  <c r="AL116" i="24"/>
  <c r="AL115" i="24"/>
  <c r="AL114" i="24"/>
  <c r="AK117" i="24"/>
  <c r="AK116" i="24"/>
  <c r="AK115" i="24"/>
  <c r="AK114" i="24"/>
  <c r="AH117" i="24"/>
  <c r="AH116" i="24"/>
  <c r="AH115" i="24"/>
  <c r="AH114" i="24"/>
  <c r="AG117" i="24"/>
  <c r="AG116" i="24"/>
  <c r="AG115" i="24"/>
  <c r="AG114" i="24"/>
  <c r="AF117" i="24"/>
  <c r="AF116" i="24"/>
  <c r="AF115" i="24"/>
  <c r="AF114" i="24"/>
  <c r="AE117" i="24"/>
  <c r="AE116" i="24"/>
  <c r="AE115" i="24"/>
  <c r="AE114" i="24"/>
  <c r="AD117" i="24"/>
  <c r="AD116" i="24"/>
  <c r="AD115" i="24"/>
  <c r="AD114" i="24"/>
  <c r="AC117" i="24"/>
  <c r="AC116" i="24"/>
  <c r="AC115" i="24"/>
  <c r="AC114" i="24"/>
  <c r="AB117" i="24"/>
  <c r="AB116" i="24"/>
  <c r="AB115" i="24"/>
  <c r="AB114" i="24"/>
  <c r="V117" i="24"/>
  <c r="V116" i="24"/>
  <c r="V115" i="24"/>
  <c r="V114" i="24"/>
  <c r="U117" i="24"/>
  <c r="U116" i="24"/>
  <c r="U115" i="24"/>
  <c r="U114" i="24"/>
  <c r="T117" i="24"/>
  <c r="T116" i="24"/>
  <c r="T115" i="24"/>
  <c r="T114" i="24"/>
  <c r="S117" i="24"/>
  <c r="S116" i="24"/>
  <c r="S115" i="24"/>
  <c r="S114" i="24"/>
  <c r="P117" i="24"/>
  <c r="P116" i="24"/>
  <c r="P115" i="24"/>
  <c r="P114" i="24"/>
  <c r="O117" i="24"/>
  <c r="O116" i="24"/>
  <c r="O115" i="24"/>
  <c r="O114" i="24"/>
  <c r="N117" i="24"/>
  <c r="N116" i="24"/>
  <c r="N115" i="24"/>
  <c r="N114" i="24"/>
  <c r="K117" i="24"/>
  <c r="K116" i="24"/>
  <c r="K115" i="24"/>
  <c r="K114" i="24"/>
  <c r="J117" i="24"/>
  <c r="J116" i="24"/>
  <c r="J115" i="24"/>
  <c r="J114" i="24"/>
  <c r="G117" i="24"/>
  <c r="G115" i="24"/>
  <c r="G114" i="24"/>
  <c r="F117" i="24"/>
  <c r="F116" i="24"/>
  <c r="F115" i="24"/>
  <c r="F114" i="24"/>
  <c r="E117" i="24"/>
  <c r="E116" i="24"/>
  <c r="E115" i="24"/>
  <c r="E114" i="24"/>
  <c r="D117" i="24"/>
  <c r="D116" i="24"/>
  <c r="D115" i="24"/>
  <c r="D114" i="24"/>
  <c r="AX102" i="24"/>
  <c r="AW102" i="24"/>
  <c r="AV102" i="24"/>
  <c r="AU90" i="24"/>
  <c r="AU92" i="24"/>
  <c r="AU94" i="24"/>
  <c r="AU93" i="24"/>
  <c r="AU91" i="24"/>
  <c r="AU97" i="24"/>
  <c r="AU95" i="24"/>
  <c r="AU96" i="24"/>
  <c r="AU102" i="24"/>
  <c r="AT102" i="24"/>
  <c r="AS102" i="24"/>
  <c r="AR102" i="24"/>
  <c r="AP102" i="24"/>
  <c r="AN102" i="24"/>
  <c r="AM102" i="24"/>
  <c r="AL102" i="24"/>
  <c r="AK102" i="24"/>
  <c r="AH102" i="24"/>
  <c r="AG102" i="24"/>
  <c r="AF102" i="24"/>
  <c r="AE102" i="24"/>
  <c r="AD102" i="24"/>
  <c r="AC102" i="24"/>
  <c r="AB102" i="24"/>
  <c r="V102" i="24"/>
  <c r="U102" i="24"/>
  <c r="T102" i="24"/>
  <c r="S102" i="24"/>
  <c r="P102" i="24"/>
  <c r="O102" i="24"/>
  <c r="N102" i="24"/>
  <c r="K102" i="24"/>
  <c r="J102" i="24"/>
  <c r="F102" i="24"/>
  <c r="E102" i="24"/>
  <c r="BC103" i="24"/>
  <c r="C5" i="25"/>
  <c r="DJ104" i="24"/>
  <c r="DI104" i="24"/>
  <c r="DH104" i="24"/>
  <c r="DG104" i="24"/>
  <c r="DF104" i="24"/>
  <c r="DE104" i="24"/>
  <c r="DD104" i="24"/>
  <c r="DC104" i="24"/>
  <c r="DB104" i="24"/>
  <c r="DA104" i="24"/>
  <c r="CZ104" i="24"/>
  <c r="CW104" i="24"/>
  <c r="CV104" i="24"/>
  <c r="CU104" i="24"/>
  <c r="CR104" i="24"/>
  <c r="CQ104" i="24"/>
  <c r="CO104" i="24"/>
  <c r="CK104" i="24"/>
  <c r="CF104" i="24"/>
  <c r="CE104" i="24"/>
  <c r="CD104" i="24"/>
  <c r="CB104" i="24"/>
  <c r="CA104" i="24"/>
  <c r="BZ104" i="24"/>
  <c r="BT104" i="24"/>
  <c r="BS104" i="24"/>
  <c r="BR104" i="24"/>
  <c r="BQ104" i="24"/>
  <c r="BP104" i="24"/>
  <c r="BN104" i="24"/>
  <c r="BM104" i="24"/>
  <c r="BK104" i="24"/>
  <c r="BI104" i="24"/>
  <c r="BG104" i="24"/>
  <c r="BF104" i="24"/>
  <c r="BE104" i="24"/>
  <c r="BD104" i="24"/>
  <c r="BB104" i="24"/>
  <c r="AZ104" i="24"/>
  <c r="AX104" i="24"/>
  <c r="AW104" i="24"/>
  <c r="AV104" i="24"/>
  <c r="AT104" i="24"/>
  <c r="AS104" i="24"/>
  <c r="AR104" i="24"/>
  <c r="AP104" i="24"/>
  <c r="AN104" i="24"/>
  <c r="AM104" i="24"/>
  <c r="AL104" i="24"/>
  <c r="AK104" i="24"/>
  <c r="AH104" i="24"/>
  <c r="AG104" i="24"/>
  <c r="AF104" i="24"/>
  <c r="AE104" i="24"/>
  <c r="AD104" i="24"/>
  <c r="AC104" i="24"/>
  <c r="AB104" i="24"/>
  <c r="V104" i="24"/>
  <c r="U104" i="24"/>
  <c r="T104" i="24"/>
  <c r="S104" i="24"/>
  <c r="P104" i="24"/>
  <c r="O104" i="24"/>
  <c r="N104" i="24"/>
  <c r="K104" i="24"/>
  <c r="J104" i="24"/>
  <c r="F104" i="24"/>
  <c r="E104" i="24"/>
  <c r="D104" i="24"/>
  <c r="C104" i="24"/>
  <c r="DJ97" i="24"/>
  <c r="DI97" i="24"/>
  <c r="DJ96" i="24"/>
  <c r="DI96" i="24"/>
  <c r="DK95" i="24"/>
  <c r="DJ95" i="24"/>
  <c r="DI95" i="24"/>
  <c r="DK94" i="24"/>
  <c r="DJ94" i="24"/>
  <c r="DI94" i="24"/>
  <c r="DJ93" i="24"/>
  <c r="DI93" i="24"/>
  <c r="DK92" i="24"/>
  <c r="DJ92" i="24"/>
  <c r="DI92" i="24"/>
  <c r="DJ91" i="24"/>
  <c r="DI91" i="24"/>
  <c r="DK90" i="24"/>
  <c r="DJ90" i="24"/>
  <c r="DI90" i="24"/>
  <c r="DH97" i="24"/>
  <c r="DG97" i="24"/>
  <c r="DF97" i="24"/>
  <c r="DE97" i="24"/>
  <c r="DD97" i="24"/>
  <c r="DC97" i="24"/>
  <c r="DB97" i="24"/>
  <c r="DA97" i="24"/>
  <c r="DH96" i="24"/>
  <c r="DG96" i="24"/>
  <c r="DF96" i="24"/>
  <c r="DE96" i="24"/>
  <c r="DD96" i="24"/>
  <c r="DC96" i="24"/>
  <c r="DB96" i="24"/>
  <c r="DA96" i="24"/>
  <c r="DH95" i="24"/>
  <c r="DG95" i="24"/>
  <c r="DF95" i="24"/>
  <c r="DE95" i="24"/>
  <c r="DD95" i="24"/>
  <c r="DC95" i="24"/>
  <c r="DB95" i="24"/>
  <c r="DA95" i="24"/>
  <c r="DH94" i="24"/>
  <c r="DG94" i="24"/>
  <c r="DF94" i="24"/>
  <c r="DE94" i="24"/>
  <c r="DD94" i="24"/>
  <c r="DC94" i="24"/>
  <c r="DB94" i="24"/>
  <c r="DA94" i="24"/>
  <c r="DH93" i="24"/>
  <c r="DG93" i="24"/>
  <c r="DF93" i="24"/>
  <c r="DE93" i="24"/>
  <c r="DD93" i="24"/>
  <c r="DC93" i="24"/>
  <c r="DB93" i="24"/>
  <c r="DA93" i="24"/>
  <c r="DH92" i="24"/>
  <c r="DG92" i="24"/>
  <c r="DF92" i="24"/>
  <c r="DE92" i="24"/>
  <c r="DD92" i="24"/>
  <c r="DC92" i="24"/>
  <c r="DB92" i="24"/>
  <c r="DA92" i="24"/>
  <c r="DH91" i="24"/>
  <c r="DG91" i="24"/>
  <c r="DF91" i="24"/>
  <c r="DE91" i="24"/>
  <c r="DD91" i="24"/>
  <c r="DC91" i="24"/>
  <c r="DB91" i="24"/>
  <c r="DA91" i="24"/>
  <c r="DH90" i="24"/>
  <c r="DG90" i="24"/>
  <c r="DF90" i="24"/>
  <c r="DE90" i="24"/>
  <c r="DD90" i="24"/>
  <c r="DC90" i="24"/>
  <c r="DB90" i="24"/>
  <c r="DA90" i="24"/>
  <c r="CZ97" i="24"/>
  <c r="CY97" i="24"/>
  <c r="CX97" i="24"/>
  <c r="CW97" i="24"/>
  <c r="CV97" i="24"/>
  <c r="CU97" i="24"/>
  <c r="CZ96" i="24"/>
  <c r="CY96" i="24"/>
  <c r="CX96" i="24"/>
  <c r="CW96" i="24"/>
  <c r="CV96" i="24"/>
  <c r="CU96" i="24"/>
  <c r="CZ95" i="24"/>
  <c r="CY95" i="24"/>
  <c r="CX95" i="24"/>
  <c r="CW95" i="24"/>
  <c r="CV95" i="24"/>
  <c r="CU95" i="24"/>
  <c r="CZ94" i="24"/>
  <c r="CY94" i="24"/>
  <c r="CX94" i="24"/>
  <c r="CW94" i="24"/>
  <c r="CV94" i="24"/>
  <c r="CU94" i="24"/>
  <c r="CZ93" i="24"/>
  <c r="CY93" i="24"/>
  <c r="CX93" i="24"/>
  <c r="CW93" i="24"/>
  <c r="CV93" i="24"/>
  <c r="CU93" i="24"/>
  <c r="CZ92" i="24"/>
  <c r="CY92" i="24"/>
  <c r="CX92" i="24"/>
  <c r="CW92" i="24"/>
  <c r="CV92" i="24"/>
  <c r="CU92" i="24"/>
  <c r="CZ91" i="24"/>
  <c r="CY91" i="24"/>
  <c r="CX91" i="24"/>
  <c r="CW91" i="24"/>
  <c r="CV91" i="24"/>
  <c r="CU91" i="24"/>
  <c r="CZ90" i="24"/>
  <c r="CY90" i="24"/>
  <c r="CX90" i="24"/>
  <c r="CW90" i="24"/>
  <c r="CV90" i="24"/>
  <c r="CU90" i="24"/>
  <c r="CR97" i="24"/>
  <c r="CQ97" i="24"/>
  <c r="CO97" i="24"/>
  <c r="CN97" i="24"/>
  <c r="CM97" i="24"/>
  <c r="CL97" i="24"/>
  <c r="CK97" i="24"/>
  <c r="CR96" i="24"/>
  <c r="CQ96" i="24"/>
  <c r="CO96" i="24"/>
  <c r="CN96" i="24"/>
  <c r="CM96" i="24"/>
  <c r="CL96" i="24"/>
  <c r="CK96" i="24"/>
  <c r="CR95" i="24"/>
  <c r="CQ95" i="24"/>
  <c r="CO95" i="24"/>
  <c r="CN95" i="24"/>
  <c r="CM95" i="24"/>
  <c r="CL95" i="24"/>
  <c r="CK95" i="24"/>
  <c r="CR94" i="24"/>
  <c r="CQ94" i="24"/>
  <c r="CO94" i="24"/>
  <c r="CN94" i="24"/>
  <c r="CM94" i="24"/>
  <c r="CL94" i="24"/>
  <c r="CK94" i="24"/>
  <c r="CR93" i="24"/>
  <c r="CQ93" i="24"/>
  <c r="CO93" i="24"/>
  <c r="CN93" i="24"/>
  <c r="CM93" i="24"/>
  <c r="CL93" i="24"/>
  <c r="CK93" i="24"/>
  <c r="CR92" i="24"/>
  <c r="CQ92" i="24"/>
  <c r="CO92" i="24"/>
  <c r="CN92" i="24"/>
  <c r="CM92" i="24"/>
  <c r="CL92" i="24"/>
  <c r="CK92" i="24"/>
  <c r="CR91" i="24"/>
  <c r="CQ91" i="24"/>
  <c r="CO91" i="24"/>
  <c r="CN91" i="24"/>
  <c r="CM91" i="24"/>
  <c r="CL91" i="24"/>
  <c r="CK91" i="24"/>
  <c r="CR90" i="24"/>
  <c r="CQ90" i="24"/>
  <c r="CO90" i="24"/>
  <c r="CN90" i="24"/>
  <c r="CM90" i="24"/>
  <c r="CL90" i="24"/>
  <c r="CK90" i="24"/>
  <c r="CF97" i="24"/>
  <c r="CE97" i="24"/>
  <c r="CD97" i="24"/>
  <c r="CF96" i="24"/>
  <c r="CE96" i="24"/>
  <c r="CD96" i="24"/>
  <c r="CF95" i="24"/>
  <c r="CE95" i="24"/>
  <c r="CD95" i="24"/>
  <c r="CF94" i="24"/>
  <c r="CE94" i="24"/>
  <c r="CD94" i="24"/>
  <c r="CF93" i="24"/>
  <c r="CE93" i="24"/>
  <c r="CD93" i="24"/>
  <c r="CF92" i="24"/>
  <c r="CE92" i="24"/>
  <c r="CD92" i="24"/>
  <c r="CF91" i="24"/>
  <c r="CE91" i="24"/>
  <c r="CD91" i="24"/>
  <c r="CF90" i="24"/>
  <c r="CE90" i="24"/>
  <c r="CD90" i="24"/>
  <c r="CB97" i="24"/>
  <c r="CA97" i="24"/>
  <c r="BZ97" i="24"/>
  <c r="CB96" i="24"/>
  <c r="CA96" i="24"/>
  <c r="BZ96" i="24"/>
  <c r="CB95" i="24"/>
  <c r="CA95" i="24"/>
  <c r="BZ95" i="24"/>
  <c r="CB94" i="24"/>
  <c r="CA94" i="24"/>
  <c r="BZ94" i="24"/>
  <c r="CB93" i="24"/>
  <c r="CA93" i="24"/>
  <c r="BZ93" i="24"/>
  <c r="CB92" i="24"/>
  <c r="CA92" i="24"/>
  <c r="BZ92" i="24"/>
  <c r="CB91" i="24"/>
  <c r="CA91" i="24"/>
  <c r="BZ91" i="24"/>
  <c r="CB90" i="24"/>
  <c r="CA90" i="24"/>
  <c r="BZ90" i="24"/>
  <c r="BT97" i="24"/>
  <c r="BS97" i="24"/>
  <c r="BR97" i="24"/>
  <c r="BQ97" i="24"/>
  <c r="BP97" i="24"/>
  <c r="BT96" i="24"/>
  <c r="BS96" i="24"/>
  <c r="BR96" i="24"/>
  <c r="BQ96" i="24"/>
  <c r="BP96" i="24"/>
  <c r="BT95" i="24"/>
  <c r="BS95" i="24"/>
  <c r="BR95" i="24"/>
  <c r="BQ95" i="24"/>
  <c r="BP95" i="24"/>
  <c r="BT94" i="24"/>
  <c r="BS94" i="24"/>
  <c r="BR94" i="24"/>
  <c r="BQ94" i="24"/>
  <c r="BP94" i="24"/>
  <c r="BT93" i="24"/>
  <c r="BS93" i="24"/>
  <c r="BR93" i="24"/>
  <c r="BQ93" i="24"/>
  <c r="BP93" i="24"/>
  <c r="BT92" i="24"/>
  <c r="BS92" i="24"/>
  <c r="BR92" i="24"/>
  <c r="BQ92" i="24"/>
  <c r="BP92" i="24"/>
  <c r="BT91" i="24"/>
  <c r="BS91" i="24"/>
  <c r="BR91" i="24"/>
  <c r="BQ91" i="24"/>
  <c r="BP91" i="24"/>
  <c r="BT90" i="24"/>
  <c r="BS90" i="24"/>
  <c r="BR90" i="24"/>
  <c r="BQ90" i="24"/>
  <c r="BP90" i="24"/>
  <c r="BN97" i="24"/>
  <c r="BN96" i="24"/>
  <c r="BN95" i="24"/>
  <c r="BN94" i="24"/>
  <c r="BN93" i="24"/>
  <c r="BN92" i="24"/>
  <c r="BN91" i="24"/>
  <c r="BN90" i="24"/>
  <c r="BM97" i="24"/>
  <c r="BK97" i="24"/>
  <c r="BI97" i="24"/>
  <c r="BH97" i="24"/>
  <c r="BG97" i="24"/>
  <c r="BM96" i="24"/>
  <c r="BK96" i="24"/>
  <c r="BI96" i="24"/>
  <c r="BH96" i="24"/>
  <c r="BG96" i="24"/>
  <c r="BM95" i="24"/>
  <c r="BK95" i="24"/>
  <c r="BI95" i="24"/>
  <c r="BH95" i="24"/>
  <c r="BG95" i="24"/>
  <c r="BM94" i="24"/>
  <c r="BK94" i="24"/>
  <c r="BI94" i="24"/>
  <c r="BH94" i="24"/>
  <c r="BG94" i="24"/>
  <c r="BM93" i="24"/>
  <c r="BK93" i="24"/>
  <c r="BI93" i="24"/>
  <c r="BH93" i="24"/>
  <c r="BG93" i="24"/>
  <c r="BM92" i="24"/>
  <c r="BK92" i="24"/>
  <c r="BI92" i="24"/>
  <c r="BH92" i="24"/>
  <c r="BG92" i="24"/>
  <c r="BM91" i="24"/>
  <c r="BK91" i="24"/>
  <c r="BI91" i="24"/>
  <c r="BH91" i="24"/>
  <c r="BG91" i="24"/>
  <c r="BM90" i="24"/>
  <c r="BK90" i="24"/>
  <c r="BI90" i="24"/>
  <c r="BH90" i="24"/>
  <c r="BG90" i="24"/>
  <c r="BF97" i="24"/>
  <c r="BE97" i="24"/>
  <c r="BD97" i="24"/>
  <c r="BB97" i="24"/>
  <c r="AZ97" i="24"/>
  <c r="BF96" i="24"/>
  <c r="BE96" i="24"/>
  <c r="BD96" i="24"/>
  <c r="BB96" i="24"/>
  <c r="AZ96" i="24"/>
  <c r="BF95" i="24"/>
  <c r="BE95" i="24"/>
  <c r="BD95" i="24"/>
  <c r="BB95" i="24"/>
  <c r="AZ95" i="24"/>
  <c r="BF94" i="24"/>
  <c r="BE94" i="24"/>
  <c r="BD94" i="24"/>
  <c r="BB94" i="24"/>
  <c r="AZ94" i="24"/>
  <c r="BF93" i="24"/>
  <c r="BE93" i="24"/>
  <c r="BD93" i="24"/>
  <c r="BB93" i="24"/>
  <c r="AZ93" i="24"/>
  <c r="BF92" i="24"/>
  <c r="BE92" i="24"/>
  <c r="BD92" i="24"/>
  <c r="BB92" i="24"/>
  <c r="AZ92" i="24"/>
  <c r="BF91" i="24"/>
  <c r="BE91" i="24"/>
  <c r="BD91" i="24"/>
  <c r="BB91" i="24"/>
  <c r="AZ91" i="24"/>
  <c r="BF90" i="24"/>
  <c r="BE90" i="24"/>
  <c r="BD90" i="24"/>
  <c r="BB90" i="24"/>
  <c r="AZ90" i="24"/>
  <c r="AX97" i="24"/>
  <c r="AW97" i="24"/>
  <c r="AV97" i="24"/>
  <c r="AT97" i="24"/>
  <c r="AS97" i="24"/>
  <c r="AR97" i="24"/>
  <c r="AP97" i="24"/>
  <c r="AN97" i="24"/>
  <c r="AX96" i="24"/>
  <c r="AW96" i="24"/>
  <c r="AV96" i="24"/>
  <c r="AT96" i="24"/>
  <c r="AS96" i="24"/>
  <c r="AR96" i="24"/>
  <c r="AP96" i="24"/>
  <c r="AN96" i="24"/>
  <c r="AX95" i="24"/>
  <c r="AW95" i="24"/>
  <c r="AV95" i="24"/>
  <c r="AT95" i="24"/>
  <c r="AS95" i="24"/>
  <c r="AR95" i="24"/>
  <c r="AP95" i="24"/>
  <c r="AN95" i="24"/>
  <c r="AX94" i="24"/>
  <c r="AW94" i="24"/>
  <c r="AV94" i="24"/>
  <c r="AT94" i="24"/>
  <c r="AS94" i="24"/>
  <c r="AR94" i="24"/>
  <c r="AP94" i="24"/>
  <c r="AN94" i="24"/>
  <c r="AX93" i="24"/>
  <c r="AW93" i="24"/>
  <c r="AV93" i="24"/>
  <c r="AT93" i="24"/>
  <c r="AS93" i="24"/>
  <c r="AR93" i="24"/>
  <c r="AP93" i="24"/>
  <c r="AN93" i="24"/>
  <c r="AX92" i="24"/>
  <c r="AW92" i="24"/>
  <c r="AV92" i="24"/>
  <c r="AT92" i="24"/>
  <c r="AS92" i="24"/>
  <c r="AR92" i="24"/>
  <c r="AP92" i="24"/>
  <c r="AN92" i="24"/>
  <c r="AX91" i="24"/>
  <c r="AW91" i="24"/>
  <c r="AV91" i="24"/>
  <c r="AT91" i="24"/>
  <c r="AS91" i="24"/>
  <c r="AR91" i="24"/>
  <c r="AP91" i="24"/>
  <c r="AN91" i="24"/>
  <c r="AX90" i="24"/>
  <c r="AW90" i="24"/>
  <c r="AV90" i="24"/>
  <c r="AT90" i="24"/>
  <c r="AS90" i="24"/>
  <c r="AR90" i="24"/>
  <c r="AP90" i="24"/>
  <c r="AN90" i="24"/>
  <c r="AM97" i="24"/>
  <c r="AL97" i="24"/>
  <c r="AK97" i="24"/>
  <c r="AH97" i="24"/>
  <c r="AG97" i="24"/>
  <c r="AF97" i="24"/>
  <c r="AE97" i="24"/>
  <c r="AD97" i="24"/>
  <c r="AC97" i="24"/>
  <c r="AB97" i="24"/>
  <c r="AM96" i="24"/>
  <c r="AL96" i="24"/>
  <c r="AK96" i="24"/>
  <c r="AH96" i="24"/>
  <c r="AG96" i="24"/>
  <c r="AF96" i="24"/>
  <c r="AE96" i="24"/>
  <c r="AD96" i="24"/>
  <c r="AC96" i="24"/>
  <c r="AB96" i="24"/>
  <c r="AM95" i="24"/>
  <c r="AL95" i="24"/>
  <c r="AK95" i="24"/>
  <c r="AH95" i="24"/>
  <c r="AG95" i="24"/>
  <c r="AF95" i="24"/>
  <c r="AE95" i="24"/>
  <c r="AD95" i="24"/>
  <c r="AC95" i="24"/>
  <c r="AB95" i="24"/>
  <c r="AM94" i="24"/>
  <c r="AL94" i="24"/>
  <c r="AK94" i="24"/>
  <c r="AH94" i="24"/>
  <c r="AG94" i="24"/>
  <c r="AF94" i="24"/>
  <c r="AE94" i="24"/>
  <c r="AD94" i="24"/>
  <c r="AC94" i="24"/>
  <c r="AB94" i="24"/>
  <c r="AM93" i="24"/>
  <c r="AL93" i="24"/>
  <c r="AK93" i="24"/>
  <c r="AH93" i="24"/>
  <c r="AG93" i="24"/>
  <c r="AF93" i="24"/>
  <c r="AE93" i="24"/>
  <c r="AD93" i="24"/>
  <c r="AC93" i="24"/>
  <c r="AB93" i="24"/>
  <c r="AM92" i="24"/>
  <c r="AL92" i="24"/>
  <c r="AK92" i="24"/>
  <c r="AH92" i="24"/>
  <c r="AG92" i="24"/>
  <c r="AF92" i="24"/>
  <c r="AE92" i="24"/>
  <c r="AD92" i="24"/>
  <c r="AC92" i="24"/>
  <c r="AB92" i="24"/>
  <c r="AM91" i="24"/>
  <c r="AL91" i="24"/>
  <c r="AK91" i="24"/>
  <c r="AH91" i="24"/>
  <c r="AG91" i="24"/>
  <c r="AF91" i="24"/>
  <c r="AE91" i="24"/>
  <c r="AD91" i="24"/>
  <c r="AC91" i="24"/>
  <c r="AB91" i="24"/>
  <c r="AM90" i="24"/>
  <c r="AL90" i="24"/>
  <c r="AK90" i="24"/>
  <c r="AH90" i="24"/>
  <c r="AG90" i="24"/>
  <c r="AF90" i="24"/>
  <c r="AE90" i="24"/>
  <c r="AD90" i="24"/>
  <c r="AC90" i="24"/>
  <c r="AB90" i="24"/>
  <c r="V97" i="24"/>
  <c r="U97" i="24"/>
  <c r="T97" i="24"/>
  <c r="S97" i="24"/>
  <c r="P97" i="24"/>
  <c r="O97" i="24"/>
  <c r="N97" i="24"/>
  <c r="K97" i="24"/>
  <c r="J97" i="24"/>
  <c r="F97" i="24"/>
  <c r="E97" i="24"/>
  <c r="D97" i="24"/>
  <c r="C97" i="24"/>
  <c r="V96" i="24"/>
  <c r="U96" i="24"/>
  <c r="T96" i="24"/>
  <c r="S96" i="24"/>
  <c r="P96" i="24"/>
  <c r="O96" i="24"/>
  <c r="N96" i="24"/>
  <c r="K96" i="24"/>
  <c r="J96" i="24"/>
  <c r="F96" i="24"/>
  <c r="E96" i="24"/>
  <c r="D96" i="24"/>
  <c r="C96" i="24"/>
  <c r="V95" i="24"/>
  <c r="U95" i="24"/>
  <c r="T95" i="24"/>
  <c r="S95" i="24"/>
  <c r="P95" i="24"/>
  <c r="O95" i="24"/>
  <c r="N95" i="24"/>
  <c r="K95" i="24"/>
  <c r="J95" i="24"/>
  <c r="G95" i="24"/>
  <c r="F95" i="24"/>
  <c r="E95" i="24"/>
  <c r="D95" i="24"/>
  <c r="C95" i="24"/>
  <c r="V94" i="24"/>
  <c r="U94" i="24"/>
  <c r="T94" i="24"/>
  <c r="S94" i="24"/>
  <c r="P94" i="24"/>
  <c r="O94" i="24"/>
  <c r="N94" i="24"/>
  <c r="K94" i="24"/>
  <c r="J94" i="24"/>
  <c r="G94" i="24"/>
  <c r="F94" i="24"/>
  <c r="E94" i="24"/>
  <c r="D94" i="24"/>
  <c r="C94" i="24"/>
  <c r="V93" i="24"/>
  <c r="U93" i="24"/>
  <c r="T93" i="24"/>
  <c r="S93" i="24"/>
  <c r="P93" i="24"/>
  <c r="O93" i="24"/>
  <c r="N93" i="24"/>
  <c r="K93" i="24"/>
  <c r="J93" i="24"/>
  <c r="G93" i="24"/>
  <c r="F93" i="24"/>
  <c r="E93" i="24"/>
  <c r="D93" i="24"/>
  <c r="C93" i="24"/>
  <c r="V92" i="24"/>
  <c r="U92" i="24"/>
  <c r="T92" i="24"/>
  <c r="S92" i="24"/>
  <c r="P92" i="24"/>
  <c r="O92" i="24"/>
  <c r="N92" i="24"/>
  <c r="K92" i="24"/>
  <c r="J92" i="24"/>
  <c r="G92" i="24"/>
  <c r="F92" i="24"/>
  <c r="E92" i="24"/>
  <c r="D92" i="24"/>
  <c r="C92" i="24"/>
  <c r="V91" i="24"/>
  <c r="U91" i="24"/>
  <c r="T91" i="24"/>
  <c r="S91" i="24"/>
  <c r="P91" i="24"/>
  <c r="O91" i="24"/>
  <c r="N91" i="24"/>
  <c r="K91" i="24"/>
  <c r="J91" i="24"/>
  <c r="G91" i="24"/>
  <c r="F91" i="24"/>
  <c r="E91" i="24"/>
  <c r="D91" i="24"/>
  <c r="C91" i="24"/>
  <c r="V90" i="24"/>
  <c r="U90" i="24"/>
  <c r="T90" i="24"/>
  <c r="S90" i="24"/>
  <c r="P90" i="24"/>
  <c r="O90" i="24"/>
  <c r="N90" i="24"/>
  <c r="K90" i="24"/>
  <c r="J90" i="24"/>
  <c r="F90" i="24"/>
  <c r="E90" i="24"/>
  <c r="D90" i="24"/>
  <c r="C90" i="24"/>
  <c r="DK84" i="24"/>
  <c r="DK104" i="24" s="1"/>
  <c r="DJ84" i="24"/>
  <c r="DI84" i="24"/>
  <c r="DH84" i="24"/>
  <c r="DG84" i="24"/>
  <c r="DF84" i="24"/>
  <c r="DE84" i="24"/>
  <c r="DD84" i="24"/>
  <c r="DC84" i="24"/>
  <c r="DB84" i="24"/>
  <c r="DA84" i="24"/>
  <c r="CZ84" i="24"/>
  <c r="CY84" i="24"/>
  <c r="CX84" i="24"/>
  <c r="CW84" i="24"/>
  <c r="CV84" i="24"/>
  <c r="CU84" i="24"/>
  <c r="CR84" i="24"/>
  <c r="CQ84" i="24"/>
  <c r="CO84" i="24"/>
  <c r="CN84" i="24"/>
  <c r="CM84" i="24"/>
  <c r="CL84" i="24"/>
  <c r="CK84" i="24"/>
  <c r="CF84" i="24"/>
  <c r="CE84" i="24"/>
  <c r="CD84" i="24"/>
  <c r="CB84" i="24"/>
  <c r="CA84" i="24"/>
  <c r="BZ84" i="24"/>
  <c r="BT84" i="24"/>
  <c r="BS84" i="24"/>
  <c r="BR84" i="24"/>
  <c r="BQ84" i="24"/>
  <c r="BP84" i="24"/>
  <c r="BN84" i="24"/>
  <c r="BM84" i="24"/>
  <c r="BK84" i="24"/>
  <c r="BI84" i="24"/>
  <c r="BH84" i="24"/>
  <c r="BG84" i="24"/>
  <c r="BF84" i="24"/>
  <c r="BE84" i="24"/>
  <c r="BD84" i="24"/>
  <c r="BB84" i="24"/>
  <c r="AZ84" i="24"/>
  <c r="AX84" i="24"/>
  <c r="AW84" i="24"/>
  <c r="AV84" i="24"/>
  <c r="AT84" i="24"/>
  <c r="AS84" i="24"/>
  <c r="AR84" i="24"/>
  <c r="AP84" i="24"/>
  <c r="AN84" i="24"/>
  <c r="AM84" i="24"/>
  <c r="AL84" i="24"/>
  <c r="AK84" i="24"/>
  <c r="AH84" i="24"/>
  <c r="AE84" i="24"/>
  <c r="AD84" i="24"/>
  <c r="AC84" i="24"/>
  <c r="AB84" i="24"/>
  <c r="V84" i="24"/>
  <c r="U84" i="24"/>
  <c r="T84" i="24"/>
  <c r="S84" i="24"/>
  <c r="P84" i="24"/>
  <c r="DP84" i="24"/>
  <c r="K84" i="24"/>
  <c r="J84" i="24"/>
  <c r="G84" i="24"/>
  <c r="F84" i="24"/>
  <c r="E84" i="24"/>
  <c r="D84" i="24"/>
  <c r="CI103" i="24" l="1"/>
  <c r="EA103" i="24"/>
  <c r="EB103" i="24"/>
  <c r="G97" i="24"/>
  <c r="G102" i="24"/>
  <c r="DK97" i="24"/>
  <c r="AU84" i="24"/>
  <c r="AU104" i="24"/>
  <c r="BX2" i="24"/>
  <c r="CP10" i="24"/>
  <c r="CP26" i="24"/>
  <c r="CP34" i="24"/>
  <c r="CP7" i="24"/>
  <c r="CP115" i="24" s="1"/>
  <c r="CP13" i="24"/>
  <c r="CP23" i="24"/>
  <c r="CP4" i="24"/>
  <c r="CP5" i="24"/>
  <c r="CP6" i="24"/>
  <c r="CP117" i="24" s="1"/>
  <c r="CP11" i="24"/>
  <c r="CP12" i="24"/>
  <c r="CP14" i="24"/>
  <c r="CP18" i="24"/>
  <c r="CP20" i="24"/>
  <c r="CP21" i="24"/>
  <c r="CP22" i="24"/>
  <c r="CP24" i="24"/>
  <c r="CP25" i="24"/>
  <c r="CP27" i="24"/>
  <c r="CP116" i="24" s="1"/>
  <c r="CP29" i="24"/>
  <c r="CP32" i="24"/>
  <c r="CP33" i="24"/>
  <c r="CP35" i="24"/>
  <c r="CP36" i="24"/>
  <c r="CP38" i="24"/>
  <c r="CP39" i="24"/>
  <c r="CP40" i="24"/>
  <c r="CP42" i="24"/>
  <c r="CP43" i="24"/>
  <c r="AY2" i="24"/>
  <c r="CP90" i="24" l="1"/>
  <c r="CP93" i="24"/>
  <c r="CP97" i="24"/>
  <c r="CP95" i="24"/>
  <c r="CP91" i="24"/>
  <c r="CP94" i="24"/>
  <c r="CP92" i="24"/>
  <c r="CC3" i="24"/>
  <c r="CC4" i="24"/>
  <c r="CC5" i="24"/>
  <c r="CC114" i="24" s="1"/>
  <c r="CC6" i="24"/>
  <c r="CC117" i="24" s="1"/>
  <c r="CC7" i="24"/>
  <c r="CC115" i="24" s="1"/>
  <c r="CC8" i="24"/>
  <c r="CC9" i="24"/>
  <c r="CC10" i="24"/>
  <c r="CC11" i="24"/>
  <c r="CC12" i="24"/>
  <c r="CC13" i="24"/>
  <c r="CC14" i="24"/>
  <c r="CC15" i="24"/>
  <c r="CC16" i="24"/>
  <c r="CC17" i="24"/>
  <c r="CC18" i="24"/>
  <c r="CC19" i="24"/>
  <c r="CC20" i="24"/>
  <c r="CC21" i="24"/>
  <c r="CC22" i="24"/>
  <c r="CC23" i="24"/>
  <c r="CC24" i="24"/>
  <c r="CC25" i="24"/>
  <c r="CC26" i="24"/>
  <c r="CC27" i="24"/>
  <c r="CC28" i="24"/>
  <c r="CC29" i="24"/>
  <c r="CC30" i="24"/>
  <c r="CC31" i="24"/>
  <c r="CC32" i="24"/>
  <c r="CC33" i="24"/>
  <c r="CC34" i="24"/>
  <c r="CC35" i="24"/>
  <c r="CC36" i="24"/>
  <c r="CC37" i="24"/>
  <c r="CC38" i="24"/>
  <c r="CC39" i="24"/>
  <c r="CC40" i="24"/>
  <c r="CC41" i="24"/>
  <c r="CC42" i="24"/>
  <c r="CC43" i="24"/>
  <c r="CC44" i="24"/>
  <c r="CC45" i="24"/>
  <c r="CC46" i="24"/>
  <c r="CC47" i="24"/>
  <c r="CC48" i="24"/>
  <c r="CC49" i="24"/>
  <c r="CC50" i="24"/>
  <c r="CC51" i="24"/>
  <c r="CC52" i="24"/>
  <c r="CC53" i="24"/>
  <c r="CC54" i="24"/>
  <c r="CC55" i="24"/>
  <c r="CC56" i="24"/>
  <c r="CC57" i="24"/>
  <c r="CC58" i="24"/>
  <c r="CC59" i="24"/>
  <c r="CC60" i="24"/>
  <c r="CC61" i="24"/>
  <c r="CC62" i="24"/>
  <c r="CC63" i="24"/>
  <c r="CC64" i="24"/>
  <c r="CC65" i="24"/>
  <c r="CC66" i="24"/>
  <c r="CC67" i="24"/>
  <c r="CC68" i="24"/>
  <c r="CC69" i="24"/>
  <c r="CC70" i="24"/>
  <c r="CC71" i="24"/>
  <c r="CC72" i="24"/>
  <c r="CC73" i="24"/>
  <c r="CC74" i="24"/>
  <c r="CC75" i="24"/>
  <c r="CC76" i="24"/>
  <c r="CC77" i="24"/>
  <c r="CC78" i="24"/>
  <c r="CC79" i="24"/>
  <c r="CC80" i="24"/>
  <c r="CC81" i="24"/>
  <c r="CC82" i="24"/>
  <c r="CC83" i="24"/>
  <c r="DF118" i="24"/>
  <c r="DC118" i="24"/>
  <c r="H3" i="24"/>
  <c r="H4" i="24"/>
  <c r="H5" i="24"/>
  <c r="H7" i="24"/>
  <c r="H8" i="24"/>
  <c r="H9" i="24"/>
  <c r="H10" i="24"/>
  <c r="H13" i="24"/>
  <c r="H15" i="24"/>
  <c r="H16" i="24"/>
  <c r="H17" i="24"/>
  <c r="H19" i="24"/>
  <c r="H20" i="24"/>
  <c r="H21" i="24"/>
  <c r="H22" i="24"/>
  <c r="H24" i="24"/>
  <c r="H25" i="24"/>
  <c r="H27" i="24"/>
  <c r="H28" i="24"/>
  <c r="H29" i="24"/>
  <c r="H30" i="24"/>
  <c r="H31" i="24"/>
  <c r="H32" i="24"/>
  <c r="H34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1" i="24"/>
  <c r="H52" i="24"/>
  <c r="H53" i="24"/>
  <c r="H54" i="24"/>
  <c r="H55" i="24"/>
  <c r="H56" i="24"/>
  <c r="H57" i="24"/>
  <c r="H58" i="24"/>
  <c r="H62" i="24"/>
  <c r="H63" i="24"/>
  <c r="H64" i="24"/>
  <c r="H65" i="24"/>
  <c r="H66" i="24"/>
  <c r="H67" i="24"/>
  <c r="H68" i="24"/>
  <c r="H70" i="24"/>
  <c r="H71" i="24"/>
  <c r="H72" i="24"/>
  <c r="H73" i="24"/>
  <c r="H74" i="24"/>
  <c r="H75" i="24"/>
  <c r="H76" i="24"/>
  <c r="H77" i="24"/>
  <c r="H79" i="24"/>
  <c r="H80" i="24"/>
  <c r="H81" i="24"/>
  <c r="H82" i="24"/>
  <c r="H83" i="24"/>
  <c r="H78" i="24"/>
  <c r="H69" i="24"/>
  <c r="H61" i="24"/>
  <c r="H60" i="24"/>
  <c r="H59" i="24"/>
  <c r="H50" i="24"/>
  <c r="H35" i="24"/>
  <c r="H33" i="24"/>
  <c r="H26" i="24"/>
  <c r="H23" i="24"/>
  <c r="H18" i="24"/>
  <c r="H14" i="24"/>
  <c r="H12" i="24"/>
  <c r="H11" i="24"/>
  <c r="H6" i="24"/>
  <c r="H2" i="24"/>
  <c r="DL114" i="24"/>
  <c r="DL117" i="24"/>
  <c r="DL116" i="24"/>
  <c r="DL115" i="24"/>
  <c r="CS2" i="24"/>
  <c r="CS3" i="24"/>
  <c r="CS4" i="24"/>
  <c r="CS5" i="24"/>
  <c r="CS6" i="24"/>
  <c r="CS117" i="24" s="1"/>
  <c r="CS7" i="24"/>
  <c r="CS8" i="24"/>
  <c r="CS9" i="24"/>
  <c r="CS10" i="24"/>
  <c r="CS11" i="24"/>
  <c r="CS12" i="24"/>
  <c r="CS13" i="24"/>
  <c r="CS14" i="24"/>
  <c r="CS15" i="24"/>
  <c r="CS16" i="24"/>
  <c r="CS17" i="24"/>
  <c r="CS18" i="24"/>
  <c r="CS19" i="24"/>
  <c r="CS20" i="24"/>
  <c r="CS21" i="24"/>
  <c r="CS22" i="24"/>
  <c r="CS23" i="24"/>
  <c r="CS24" i="24"/>
  <c r="CS25" i="24"/>
  <c r="CS26" i="24"/>
  <c r="CS27" i="24"/>
  <c r="CS116" i="24" s="1"/>
  <c r="CS28" i="24"/>
  <c r="CS29" i="24"/>
  <c r="CS30" i="24"/>
  <c r="CS31" i="24"/>
  <c r="CS32" i="24"/>
  <c r="CS33" i="24"/>
  <c r="CS34" i="24"/>
  <c r="CS35" i="24"/>
  <c r="CS36" i="24"/>
  <c r="CS37" i="24"/>
  <c r="CS38" i="24"/>
  <c r="CS39" i="24"/>
  <c r="CS40" i="24"/>
  <c r="CS41" i="24"/>
  <c r="CS42" i="24"/>
  <c r="CS43" i="24"/>
  <c r="CS44" i="24"/>
  <c r="CS45" i="24"/>
  <c r="CS46" i="24"/>
  <c r="CS47" i="24"/>
  <c r="CS48" i="24"/>
  <c r="CS49" i="24"/>
  <c r="CS50" i="24"/>
  <c r="CS51" i="24"/>
  <c r="CS52" i="24"/>
  <c r="CS53" i="24"/>
  <c r="CS54" i="24"/>
  <c r="CS55" i="24"/>
  <c r="CS56" i="24"/>
  <c r="CS57" i="24"/>
  <c r="CS58" i="24"/>
  <c r="CS59" i="24"/>
  <c r="CS60" i="24"/>
  <c r="CS61" i="24"/>
  <c r="CS62" i="24"/>
  <c r="CS63" i="24"/>
  <c r="CS64" i="24"/>
  <c r="CS65" i="24"/>
  <c r="CS66" i="24"/>
  <c r="CS67" i="24"/>
  <c r="CS68" i="24"/>
  <c r="CS69" i="24"/>
  <c r="CS70" i="24"/>
  <c r="CS71" i="24"/>
  <c r="CT71" i="24" s="1"/>
  <c r="CS72" i="24"/>
  <c r="CT72" i="24" s="1"/>
  <c r="CS73" i="24"/>
  <c r="BV73" i="24" s="1"/>
  <c r="CS74" i="24"/>
  <c r="CT74" i="24" s="1"/>
  <c r="CS75" i="24"/>
  <c r="CT75" i="24" s="1"/>
  <c r="CS76" i="24"/>
  <c r="CT76" i="24" s="1"/>
  <c r="CS77" i="24"/>
  <c r="CT77" i="24" s="1"/>
  <c r="CS78" i="24"/>
  <c r="CT78" i="24" s="1"/>
  <c r="CS79" i="24"/>
  <c r="CT79" i="24" s="1"/>
  <c r="CS80" i="24"/>
  <c r="CT80" i="24" s="1"/>
  <c r="CS81" i="24"/>
  <c r="CT81" i="24" s="1"/>
  <c r="CS82" i="24"/>
  <c r="CT82" i="24" s="1"/>
  <c r="CS83" i="24"/>
  <c r="CT83" i="24" s="1"/>
  <c r="CG2" i="24"/>
  <c r="CG3" i="24"/>
  <c r="CG4" i="24"/>
  <c r="CG5" i="24"/>
  <c r="CG6" i="24"/>
  <c r="CG117" i="24" s="1"/>
  <c r="CG7" i="24"/>
  <c r="CG8" i="24"/>
  <c r="CG9" i="24"/>
  <c r="CG10" i="24"/>
  <c r="CG11" i="24"/>
  <c r="CG12" i="24"/>
  <c r="CG13" i="24"/>
  <c r="CG14" i="24"/>
  <c r="CG15" i="24"/>
  <c r="CG16" i="24"/>
  <c r="CG17" i="24"/>
  <c r="CG18" i="24"/>
  <c r="CG19" i="24"/>
  <c r="CG20" i="24"/>
  <c r="CG21" i="24"/>
  <c r="CG22" i="24"/>
  <c r="CG23" i="24"/>
  <c r="CG24" i="24"/>
  <c r="CG25" i="24"/>
  <c r="CG26" i="24"/>
  <c r="CG27" i="24"/>
  <c r="CG28" i="24"/>
  <c r="CG29" i="24"/>
  <c r="CG30" i="24"/>
  <c r="CG31" i="24"/>
  <c r="CG32" i="24"/>
  <c r="CG33" i="24"/>
  <c r="CG34" i="24"/>
  <c r="CG35" i="24"/>
  <c r="CG36" i="24"/>
  <c r="CG37" i="24"/>
  <c r="CG38" i="24"/>
  <c r="CG39" i="24"/>
  <c r="CG40" i="24"/>
  <c r="CG41" i="24"/>
  <c r="CG42" i="24"/>
  <c r="CG43" i="24"/>
  <c r="CG44" i="24"/>
  <c r="CG45" i="24"/>
  <c r="CG46" i="24"/>
  <c r="CG47" i="24"/>
  <c r="CG48" i="24"/>
  <c r="CG49" i="24"/>
  <c r="CG50" i="24"/>
  <c r="CG51" i="24"/>
  <c r="CG52" i="24"/>
  <c r="CG53" i="24"/>
  <c r="CG54" i="24"/>
  <c r="CG55" i="24"/>
  <c r="CG56" i="24"/>
  <c r="CG57" i="24"/>
  <c r="CG58" i="24"/>
  <c r="CG59" i="24"/>
  <c r="CG60" i="24"/>
  <c r="CG61" i="24"/>
  <c r="CG62" i="24"/>
  <c r="CG63" i="24"/>
  <c r="CG64" i="24"/>
  <c r="CG65" i="24"/>
  <c r="CG66" i="24"/>
  <c r="CG67" i="24"/>
  <c r="CG68" i="24"/>
  <c r="CG69" i="24"/>
  <c r="CG70" i="24"/>
  <c r="CG71" i="24"/>
  <c r="CG72" i="24"/>
  <c r="CG73" i="24"/>
  <c r="CG74" i="24"/>
  <c r="CG75" i="24"/>
  <c r="CG76" i="24"/>
  <c r="CG77" i="24"/>
  <c r="CG78" i="24"/>
  <c r="CG79" i="24"/>
  <c r="CG80" i="24"/>
  <c r="CG81" i="24"/>
  <c r="CG82" i="24"/>
  <c r="CG83" i="24"/>
  <c r="CG115" i="24"/>
  <c r="BL2" i="24"/>
  <c r="BL3" i="24"/>
  <c r="BL4" i="24"/>
  <c r="BL5" i="24"/>
  <c r="BL6" i="24"/>
  <c r="BL117" i="24" s="1"/>
  <c r="BL7" i="24"/>
  <c r="BL115" i="24" s="1"/>
  <c r="BL8" i="24"/>
  <c r="BL9" i="24"/>
  <c r="BL10" i="24"/>
  <c r="BL11" i="24"/>
  <c r="BL12" i="24"/>
  <c r="BL13" i="24"/>
  <c r="BL14" i="24"/>
  <c r="BL15" i="24"/>
  <c r="BL16" i="24"/>
  <c r="BL17" i="24"/>
  <c r="BL18" i="24"/>
  <c r="BL19" i="24"/>
  <c r="BL20" i="24"/>
  <c r="BL21" i="24"/>
  <c r="BL22" i="24"/>
  <c r="BL23" i="24"/>
  <c r="BL24" i="24"/>
  <c r="BL25" i="24"/>
  <c r="BL26" i="24"/>
  <c r="BL27" i="24"/>
  <c r="BL28" i="24"/>
  <c r="BL29" i="24"/>
  <c r="BL30" i="24"/>
  <c r="BL31" i="24"/>
  <c r="BL32" i="24"/>
  <c r="BL33" i="24"/>
  <c r="BL34" i="24"/>
  <c r="BL35" i="24"/>
  <c r="BL36" i="24"/>
  <c r="BL37" i="24"/>
  <c r="BL38" i="24"/>
  <c r="BL39" i="24"/>
  <c r="BL40" i="24"/>
  <c r="BL41" i="24"/>
  <c r="BL42" i="24"/>
  <c r="BL43" i="24"/>
  <c r="BL44" i="24"/>
  <c r="BL45" i="24"/>
  <c r="BL46" i="24"/>
  <c r="BL47" i="24"/>
  <c r="BL48" i="24"/>
  <c r="BL49" i="24"/>
  <c r="BL50" i="24"/>
  <c r="BL51" i="24"/>
  <c r="BL52" i="24"/>
  <c r="BL53" i="24"/>
  <c r="BL54" i="24"/>
  <c r="BL55" i="24"/>
  <c r="BL56" i="24"/>
  <c r="BL57" i="24"/>
  <c r="BL58" i="24"/>
  <c r="BL59" i="24"/>
  <c r="BL60" i="24"/>
  <c r="BL61" i="24"/>
  <c r="BL62" i="24"/>
  <c r="BL63" i="24"/>
  <c r="BL64" i="24"/>
  <c r="BL65" i="24"/>
  <c r="BL66" i="24"/>
  <c r="BL67" i="24"/>
  <c r="BL68" i="24"/>
  <c r="BL69" i="24"/>
  <c r="BL70" i="24"/>
  <c r="BL71" i="24"/>
  <c r="BL72" i="24"/>
  <c r="BL73" i="24"/>
  <c r="BL74" i="24"/>
  <c r="BL75" i="24"/>
  <c r="BL76" i="24"/>
  <c r="BL77" i="24"/>
  <c r="BL78" i="24"/>
  <c r="BL79" i="24"/>
  <c r="BL80" i="24"/>
  <c r="BL81" i="24"/>
  <c r="BL82" i="24"/>
  <c r="BL83" i="24"/>
  <c r="BJ2" i="24"/>
  <c r="BJ3" i="24"/>
  <c r="BJ4" i="24"/>
  <c r="BJ5" i="24"/>
  <c r="BJ6" i="24"/>
  <c r="BJ117" i="24" s="1"/>
  <c r="BJ7" i="24"/>
  <c r="BJ115" i="24" s="1"/>
  <c r="BJ8" i="24"/>
  <c r="BJ9" i="24"/>
  <c r="BJ10" i="24"/>
  <c r="BJ11" i="24"/>
  <c r="BJ12" i="24"/>
  <c r="BJ13" i="24"/>
  <c r="BJ14" i="24"/>
  <c r="BJ15" i="24"/>
  <c r="BJ16" i="24"/>
  <c r="BJ17" i="24"/>
  <c r="BJ18" i="24"/>
  <c r="BJ19" i="24"/>
  <c r="BJ20" i="24"/>
  <c r="BJ21" i="24"/>
  <c r="BJ22" i="24"/>
  <c r="BJ23" i="24"/>
  <c r="BJ24" i="24"/>
  <c r="BJ25" i="24"/>
  <c r="BJ26" i="24"/>
  <c r="BJ27" i="24"/>
  <c r="BJ116" i="24" s="1"/>
  <c r="BJ28" i="24"/>
  <c r="BJ29" i="24"/>
  <c r="BJ30" i="24"/>
  <c r="BJ31" i="24"/>
  <c r="BJ32" i="24"/>
  <c r="BJ33" i="24"/>
  <c r="BJ34" i="24"/>
  <c r="BJ35" i="24"/>
  <c r="BJ36" i="24"/>
  <c r="BJ37" i="24"/>
  <c r="BJ38" i="24"/>
  <c r="BJ39" i="24"/>
  <c r="BJ40" i="24"/>
  <c r="BJ41" i="24"/>
  <c r="BJ42" i="24"/>
  <c r="BJ43" i="24"/>
  <c r="BJ44" i="24"/>
  <c r="BJ45" i="24"/>
  <c r="BJ46" i="24"/>
  <c r="BJ47" i="24"/>
  <c r="BJ48" i="24"/>
  <c r="BJ49" i="24"/>
  <c r="BJ50" i="24"/>
  <c r="BJ51" i="24"/>
  <c r="BJ52" i="24"/>
  <c r="BJ53" i="24"/>
  <c r="BJ54" i="24"/>
  <c r="BJ55" i="24"/>
  <c r="BJ56" i="24"/>
  <c r="BJ57" i="24"/>
  <c r="BJ58" i="24"/>
  <c r="BJ59" i="24"/>
  <c r="BJ60" i="24"/>
  <c r="BJ61" i="24"/>
  <c r="BJ62" i="24"/>
  <c r="BJ63" i="24"/>
  <c r="BJ64" i="24"/>
  <c r="BJ65" i="24"/>
  <c r="BJ66" i="24"/>
  <c r="BJ67" i="24"/>
  <c r="BJ68" i="24"/>
  <c r="BJ69" i="24"/>
  <c r="BJ70" i="24"/>
  <c r="BJ71" i="24"/>
  <c r="BJ72" i="24"/>
  <c r="BJ73" i="24"/>
  <c r="BJ74" i="24"/>
  <c r="BJ75" i="24"/>
  <c r="BJ76" i="24"/>
  <c r="BJ77" i="24"/>
  <c r="BJ78" i="24"/>
  <c r="BJ79" i="24"/>
  <c r="BJ80" i="24"/>
  <c r="BJ81" i="24"/>
  <c r="BJ82" i="24"/>
  <c r="BJ83" i="24"/>
  <c r="AY3" i="24"/>
  <c r="AY4" i="24"/>
  <c r="AY5" i="24"/>
  <c r="AY6" i="24"/>
  <c r="AY7" i="24"/>
  <c r="AY8" i="24"/>
  <c r="AY9" i="24"/>
  <c r="AY10" i="24"/>
  <c r="AY11" i="24"/>
  <c r="AY12" i="24"/>
  <c r="AY13" i="24"/>
  <c r="AY14" i="24"/>
  <c r="AY15" i="24"/>
  <c r="AY16" i="24"/>
  <c r="AY17" i="24"/>
  <c r="AY18" i="24"/>
  <c r="AY19" i="24"/>
  <c r="AY20" i="24"/>
  <c r="AY21" i="24"/>
  <c r="AY22" i="24"/>
  <c r="AY23" i="24"/>
  <c r="AY24" i="24"/>
  <c r="AY25" i="24"/>
  <c r="AY26" i="24"/>
  <c r="AY27" i="24"/>
  <c r="AY28" i="24"/>
  <c r="AY29" i="24"/>
  <c r="AY30" i="24"/>
  <c r="AY31" i="24"/>
  <c r="AY32" i="24"/>
  <c r="AY33" i="24"/>
  <c r="AY34" i="24"/>
  <c r="AY35" i="24"/>
  <c r="AY36" i="24"/>
  <c r="AY37" i="24"/>
  <c r="AY38" i="24"/>
  <c r="AY39" i="24"/>
  <c r="AY40" i="24"/>
  <c r="AY41" i="24"/>
  <c r="AY42" i="24"/>
  <c r="AY43" i="24"/>
  <c r="AY44" i="24"/>
  <c r="AY45" i="24"/>
  <c r="AY46" i="24"/>
  <c r="AY47" i="24"/>
  <c r="AY48" i="24"/>
  <c r="AY49" i="24"/>
  <c r="AY50" i="24"/>
  <c r="AY51" i="24"/>
  <c r="AY52" i="24"/>
  <c r="AY53" i="24"/>
  <c r="AY54" i="24"/>
  <c r="AY55" i="24"/>
  <c r="AY56" i="24"/>
  <c r="AY57" i="24"/>
  <c r="AY58" i="24"/>
  <c r="AY59" i="24"/>
  <c r="AY60" i="24"/>
  <c r="AY61" i="24"/>
  <c r="AY62" i="24"/>
  <c r="AY63" i="24"/>
  <c r="AY64" i="24"/>
  <c r="AY65" i="24"/>
  <c r="AY66" i="24"/>
  <c r="AY67" i="24"/>
  <c r="AY68" i="24"/>
  <c r="AY69" i="24"/>
  <c r="AY70" i="24"/>
  <c r="AY71" i="24"/>
  <c r="AY72" i="24"/>
  <c r="AY73" i="24"/>
  <c r="AY74" i="24"/>
  <c r="AY75" i="24"/>
  <c r="AY76" i="24"/>
  <c r="AY77" i="24"/>
  <c r="AY78" i="24"/>
  <c r="AY79" i="24"/>
  <c r="AY80" i="24"/>
  <c r="AY81" i="24"/>
  <c r="AY82" i="24"/>
  <c r="AY83" i="24"/>
  <c r="AO2" i="24"/>
  <c r="AO3" i="24"/>
  <c r="AO4" i="24"/>
  <c r="AO5" i="24"/>
  <c r="AO6" i="24"/>
  <c r="AO7" i="24"/>
  <c r="AO8" i="24"/>
  <c r="AO9" i="24"/>
  <c r="AO10" i="24"/>
  <c r="AO11" i="24"/>
  <c r="AO12" i="24"/>
  <c r="AO13" i="24"/>
  <c r="AO14" i="24"/>
  <c r="AO15" i="24"/>
  <c r="AO16" i="24"/>
  <c r="AO17" i="24"/>
  <c r="AO18" i="24"/>
  <c r="AO19" i="24"/>
  <c r="AO20" i="24"/>
  <c r="AO21" i="24"/>
  <c r="AO22" i="24"/>
  <c r="AO23" i="24"/>
  <c r="AO24" i="24"/>
  <c r="AO25" i="24"/>
  <c r="AO26" i="24"/>
  <c r="AO27" i="24"/>
  <c r="AO28" i="24"/>
  <c r="AO29" i="24"/>
  <c r="AO30" i="24"/>
  <c r="AO31" i="24"/>
  <c r="AO32" i="24"/>
  <c r="AO33" i="24"/>
  <c r="AO34" i="24"/>
  <c r="AO35" i="24"/>
  <c r="AO36" i="24"/>
  <c r="AO37" i="24"/>
  <c r="AO38" i="24"/>
  <c r="AO39" i="24"/>
  <c r="AO40" i="24"/>
  <c r="AO41" i="24"/>
  <c r="AO42" i="24"/>
  <c r="AO43" i="24"/>
  <c r="AO44" i="24"/>
  <c r="AO45" i="24"/>
  <c r="AO46" i="24"/>
  <c r="AO47" i="24"/>
  <c r="AO48" i="24"/>
  <c r="AO49" i="24"/>
  <c r="AO50" i="24"/>
  <c r="AO51" i="24"/>
  <c r="AO52" i="24"/>
  <c r="AO53" i="24"/>
  <c r="AO54" i="24"/>
  <c r="AO55" i="24"/>
  <c r="AO56" i="24"/>
  <c r="AO57" i="24"/>
  <c r="AO58" i="24"/>
  <c r="AO59" i="24"/>
  <c r="AO60" i="24"/>
  <c r="AO61" i="24"/>
  <c r="AO62" i="24"/>
  <c r="AO63" i="24"/>
  <c r="AO64" i="24"/>
  <c r="AO65" i="24"/>
  <c r="AO66" i="24"/>
  <c r="AO67" i="24"/>
  <c r="AO68" i="24"/>
  <c r="AO69" i="24"/>
  <c r="AO70" i="24"/>
  <c r="AO71" i="24"/>
  <c r="AO72" i="24"/>
  <c r="AO73" i="24"/>
  <c r="AO74" i="24"/>
  <c r="AO75" i="24"/>
  <c r="AO76" i="24"/>
  <c r="AO77" i="24"/>
  <c r="AO78" i="24"/>
  <c r="AO79" i="24"/>
  <c r="AO80" i="24"/>
  <c r="AO81" i="24"/>
  <c r="AO82" i="24"/>
  <c r="AO83" i="24"/>
  <c r="AI2" i="24"/>
  <c r="AI3" i="24"/>
  <c r="AI4" i="24"/>
  <c r="AI5" i="24"/>
  <c r="AI6" i="24"/>
  <c r="AJ6" i="24" s="1"/>
  <c r="AI7" i="24"/>
  <c r="AJ7" i="24" s="1"/>
  <c r="AI8" i="24"/>
  <c r="AI9" i="24"/>
  <c r="AJ9" i="24" s="1"/>
  <c r="AI10" i="24"/>
  <c r="AJ10" i="24" s="1"/>
  <c r="AI11" i="24"/>
  <c r="AJ11" i="24" s="1"/>
  <c r="AI12" i="24"/>
  <c r="AJ12" i="24" s="1"/>
  <c r="AI13" i="24"/>
  <c r="AI14" i="24"/>
  <c r="AI15" i="24"/>
  <c r="AJ15" i="24" s="1"/>
  <c r="AI16" i="24"/>
  <c r="AJ16" i="24" s="1"/>
  <c r="AI17" i="24"/>
  <c r="AJ17" i="24" s="1"/>
  <c r="AI18" i="24"/>
  <c r="AI19" i="24"/>
  <c r="AI20" i="24"/>
  <c r="AJ20" i="24" s="1"/>
  <c r="AI21" i="24"/>
  <c r="AJ21" i="24" s="1"/>
  <c r="AI22" i="24"/>
  <c r="AJ22" i="24" s="1"/>
  <c r="AI23" i="24"/>
  <c r="AJ23" i="24" s="1"/>
  <c r="AI24" i="24"/>
  <c r="AJ24" i="24" s="1"/>
  <c r="AI25" i="24"/>
  <c r="AJ25" i="24" s="1"/>
  <c r="AI26" i="24"/>
  <c r="AJ26" i="24" s="1"/>
  <c r="AI27" i="24"/>
  <c r="AJ27" i="24" s="1"/>
  <c r="AI28" i="24"/>
  <c r="AJ28" i="24" s="1"/>
  <c r="AI29" i="24"/>
  <c r="AJ29" i="24" s="1"/>
  <c r="AI30" i="24"/>
  <c r="AJ30" i="24" s="1"/>
  <c r="AI31" i="24"/>
  <c r="AJ31" i="24" s="1"/>
  <c r="AI32" i="24"/>
  <c r="AJ32" i="24" s="1"/>
  <c r="AI33" i="24"/>
  <c r="AJ33" i="24" s="1"/>
  <c r="AI34" i="24"/>
  <c r="AI35" i="24"/>
  <c r="AJ35" i="24" s="1"/>
  <c r="AI36" i="24"/>
  <c r="AJ36" i="24" s="1"/>
  <c r="AI37" i="24"/>
  <c r="AJ37" i="24" s="1"/>
  <c r="AI38" i="24"/>
  <c r="AJ38" i="24" s="1"/>
  <c r="AI39" i="24"/>
  <c r="AJ39" i="24" s="1"/>
  <c r="AI40" i="24"/>
  <c r="AJ40" i="24" s="1"/>
  <c r="AI41" i="24"/>
  <c r="AJ41" i="24" s="1"/>
  <c r="AI42" i="24"/>
  <c r="AJ42" i="24" s="1"/>
  <c r="AI43" i="24"/>
  <c r="AJ43" i="24" s="1"/>
  <c r="AI44" i="24"/>
  <c r="AJ44" i="24" s="1"/>
  <c r="AI45" i="24"/>
  <c r="AJ45" i="24" s="1"/>
  <c r="AI46" i="24"/>
  <c r="AJ46" i="24" s="1"/>
  <c r="AI47" i="24"/>
  <c r="AJ47" i="24" s="1"/>
  <c r="AI48" i="24"/>
  <c r="AJ48" i="24" s="1"/>
  <c r="AI49" i="24"/>
  <c r="AJ49" i="24" s="1"/>
  <c r="AI50" i="24"/>
  <c r="AJ50" i="24" s="1"/>
  <c r="AI51" i="24"/>
  <c r="AJ51" i="24" s="1"/>
  <c r="AI52" i="24"/>
  <c r="AJ52" i="24" s="1"/>
  <c r="AI53" i="24"/>
  <c r="AJ53" i="24" s="1"/>
  <c r="AI54" i="24"/>
  <c r="AJ54" i="24" s="1"/>
  <c r="AI55" i="24"/>
  <c r="AJ55" i="24" s="1"/>
  <c r="AI56" i="24"/>
  <c r="AJ56" i="24" s="1"/>
  <c r="AI57" i="24"/>
  <c r="AJ57" i="24" s="1"/>
  <c r="AI58" i="24"/>
  <c r="AJ58" i="24" s="1"/>
  <c r="AI59" i="24"/>
  <c r="AJ59" i="24" s="1"/>
  <c r="AI60" i="24"/>
  <c r="AJ60" i="24" s="1"/>
  <c r="AI61" i="24"/>
  <c r="AJ61" i="24" s="1"/>
  <c r="AI62" i="24"/>
  <c r="AJ62" i="24" s="1"/>
  <c r="AI63" i="24"/>
  <c r="AJ63" i="24" s="1"/>
  <c r="AI64" i="24"/>
  <c r="AJ64" i="24" s="1"/>
  <c r="AI65" i="24"/>
  <c r="AJ65" i="24" s="1"/>
  <c r="AI66" i="24"/>
  <c r="AJ66" i="24" s="1"/>
  <c r="AI67" i="24"/>
  <c r="AJ67" i="24" s="1"/>
  <c r="AI68" i="24"/>
  <c r="AJ68" i="24" s="1"/>
  <c r="AI69" i="24"/>
  <c r="AJ69" i="24" s="1"/>
  <c r="AI70" i="24"/>
  <c r="AJ70" i="24" s="1"/>
  <c r="AI71" i="24"/>
  <c r="AJ71" i="24" s="1"/>
  <c r="AI72" i="24"/>
  <c r="AJ72" i="24" s="1"/>
  <c r="AI73" i="24"/>
  <c r="AJ73" i="24" s="1"/>
  <c r="AI74" i="24"/>
  <c r="AJ74" i="24" s="1"/>
  <c r="AI75" i="24"/>
  <c r="AJ75" i="24" s="1"/>
  <c r="AI76" i="24"/>
  <c r="AJ76" i="24" s="1"/>
  <c r="AI77" i="24"/>
  <c r="AJ77" i="24" s="1"/>
  <c r="AI78" i="24"/>
  <c r="AJ78" i="24" s="1"/>
  <c r="AI79" i="24"/>
  <c r="AJ79" i="24" s="1"/>
  <c r="AI80" i="24"/>
  <c r="AJ80" i="24" s="1"/>
  <c r="AI81" i="24"/>
  <c r="AJ81" i="24" s="1"/>
  <c r="AI82" i="24"/>
  <c r="AJ82" i="24" s="1"/>
  <c r="AI83" i="24"/>
  <c r="AJ83" i="24" s="1"/>
  <c r="BY2" i="24"/>
  <c r="BY3" i="24"/>
  <c r="BY4" i="24"/>
  <c r="BY5" i="24"/>
  <c r="BY114" i="24" s="1"/>
  <c r="BY6" i="24"/>
  <c r="BY117" i="24" s="1"/>
  <c r="BY7" i="24"/>
  <c r="BY115" i="24" s="1"/>
  <c r="BY8" i="24"/>
  <c r="BY9" i="24"/>
  <c r="BY10" i="24"/>
  <c r="BY11" i="24"/>
  <c r="BY12" i="24"/>
  <c r="BY13" i="24"/>
  <c r="BY14" i="24"/>
  <c r="BY15" i="24"/>
  <c r="BY16" i="24"/>
  <c r="BY17" i="24"/>
  <c r="BY18" i="24"/>
  <c r="BY19" i="24"/>
  <c r="BY20" i="24"/>
  <c r="BY21" i="24"/>
  <c r="BY22" i="24"/>
  <c r="BY23" i="24"/>
  <c r="BY24" i="24"/>
  <c r="BY25" i="24"/>
  <c r="BY26" i="24"/>
  <c r="BY27" i="24"/>
  <c r="BY116" i="24" s="1"/>
  <c r="BY28" i="24"/>
  <c r="BY29" i="24"/>
  <c r="BY30" i="24"/>
  <c r="BY31" i="24"/>
  <c r="BY32" i="24"/>
  <c r="BY33" i="24"/>
  <c r="BY34" i="24"/>
  <c r="BY35" i="24"/>
  <c r="BY36" i="24"/>
  <c r="BY37" i="24"/>
  <c r="BY38" i="24"/>
  <c r="BY39" i="24"/>
  <c r="BY40" i="24"/>
  <c r="BY41" i="24"/>
  <c r="BY42" i="24"/>
  <c r="BY43" i="24"/>
  <c r="BY44" i="24"/>
  <c r="BY45" i="24"/>
  <c r="BY46" i="24"/>
  <c r="BY47" i="24"/>
  <c r="BY48" i="24"/>
  <c r="BY49" i="24"/>
  <c r="BY50" i="24"/>
  <c r="BY51" i="24"/>
  <c r="BY52" i="24"/>
  <c r="BY53" i="24"/>
  <c r="BY54" i="24"/>
  <c r="BY55" i="24"/>
  <c r="BY56" i="24"/>
  <c r="BY57" i="24"/>
  <c r="BY58" i="24"/>
  <c r="BY59" i="24"/>
  <c r="BY60" i="24"/>
  <c r="BY61" i="24"/>
  <c r="BY62" i="24"/>
  <c r="BY63" i="24"/>
  <c r="BY64" i="24"/>
  <c r="BY65" i="24"/>
  <c r="BY66" i="24"/>
  <c r="BY67" i="24"/>
  <c r="BY68" i="24"/>
  <c r="BY69" i="24"/>
  <c r="BY70" i="24"/>
  <c r="BY71" i="24"/>
  <c r="BY72" i="24"/>
  <c r="BY73" i="24"/>
  <c r="BY74" i="24"/>
  <c r="BY75" i="24"/>
  <c r="BY76" i="24"/>
  <c r="BY77" i="24"/>
  <c r="BY78" i="24"/>
  <c r="BY79" i="24"/>
  <c r="BY80" i="24"/>
  <c r="BY81" i="24"/>
  <c r="BY82" i="24"/>
  <c r="BY83" i="24"/>
  <c r="DB118" i="24"/>
  <c r="CG114" i="24" l="1"/>
  <c r="BJ114" i="24"/>
  <c r="CG116" i="24"/>
  <c r="CS114" i="24"/>
  <c r="BL114" i="24"/>
  <c r="BL116" i="24"/>
  <c r="CC116" i="24"/>
  <c r="DL102" i="24"/>
  <c r="C16" i="25"/>
  <c r="C20" i="25"/>
  <c r="C47" i="25"/>
  <c r="CS115" i="24"/>
  <c r="BJ102" i="24"/>
  <c r="C38" i="25"/>
  <c r="F32" i="25"/>
  <c r="BY102" i="24"/>
  <c r="F27" i="25"/>
  <c r="CG102" i="24"/>
  <c r="F41" i="25"/>
  <c r="CS102" i="24"/>
  <c r="F26" i="25"/>
  <c r="CC102" i="24"/>
  <c r="F15" i="25"/>
  <c r="BL102" i="24"/>
  <c r="AO114" i="24"/>
  <c r="L114" i="24"/>
  <c r="Q114" i="24"/>
  <c r="AO115" i="24"/>
  <c r="AY115" i="24"/>
  <c r="AO117" i="24"/>
  <c r="AY117" i="24"/>
  <c r="L115" i="24"/>
  <c r="Q115" i="24"/>
  <c r="L117" i="24"/>
  <c r="L116" i="24"/>
  <c r="Q117" i="24"/>
  <c r="Q116" i="24"/>
  <c r="AO116" i="24"/>
  <c r="AY116" i="24"/>
  <c r="AY114" i="24"/>
  <c r="L94" i="24"/>
  <c r="Q91" i="24"/>
  <c r="AO95" i="24"/>
  <c r="BL95" i="24"/>
  <c r="CG97" i="24"/>
  <c r="DL91" i="24"/>
  <c r="DL92" i="24"/>
  <c r="DL90" i="24"/>
  <c r="DL94" i="24"/>
  <c r="DL95" i="24"/>
  <c r="DL93" i="24"/>
  <c r="BY91" i="24"/>
  <c r="L90" i="24"/>
  <c r="AI115" i="24"/>
  <c r="AO94" i="24"/>
  <c r="BJ91" i="24"/>
  <c r="BL94" i="24"/>
  <c r="CS94" i="24"/>
  <c r="DL97" i="24"/>
  <c r="I117" i="24"/>
  <c r="H117" i="24"/>
  <c r="I90" i="24"/>
  <c r="H90" i="24"/>
  <c r="CC97" i="24"/>
  <c r="AJ14" i="24"/>
  <c r="AI97" i="24"/>
  <c r="AO96" i="24"/>
  <c r="AO104" i="24"/>
  <c r="CS95" i="24"/>
  <c r="CS104" i="24"/>
  <c r="CS96" i="24"/>
  <c r="H94" i="24"/>
  <c r="CC93" i="24"/>
  <c r="CC92" i="24"/>
  <c r="BL104" i="24"/>
  <c r="BL96" i="24"/>
  <c r="L95" i="24"/>
  <c r="L102" i="24"/>
  <c r="L96" i="24"/>
  <c r="L104" i="24"/>
  <c r="AJ13" i="24"/>
  <c r="AJ93" i="24" s="1"/>
  <c r="AI93" i="24"/>
  <c r="AJ5" i="24"/>
  <c r="AI92" i="24"/>
  <c r="BJ97" i="24"/>
  <c r="CG93" i="24"/>
  <c r="CG92" i="24"/>
  <c r="H97" i="24"/>
  <c r="H114" i="24"/>
  <c r="H115" i="24"/>
  <c r="H95" i="24"/>
  <c r="H93" i="24"/>
  <c r="CC90" i="24"/>
  <c r="BY93" i="24"/>
  <c r="BY92" i="24"/>
  <c r="Q97" i="24"/>
  <c r="AJ4" i="24"/>
  <c r="AJ90" i="24" s="1"/>
  <c r="AI90" i="24"/>
  <c r="AO91" i="24"/>
  <c r="BJ93" i="24"/>
  <c r="BJ92" i="24"/>
  <c r="BL91" i="24"/>
  <c r="CG90" i="24"/>
  <c r="CS91" i="24"/>
  <c r="H102" i="24"/>
  <c r="I116" i="24"/>
  <c r="H116" i="24"/>
  <c r="CC94" i="24"/>
  <c r="L91" i="24"/>
  <c r="Q93" i="24"/>
  <c r="Q92" i="24"/>
  <c r="AI114" i="24"/>
  <c r="AJ19" i="24"/>
  <c r="AJ115" i="24" s="1"/>
  <c r="AI94" i="24"/>
  <c r="AY102" i="24"/>
  <c r="BJ90" i="24"/>
  <c r="CG94" i="24"/>
  <c r="CC95" i="24"/>
  <c r="CC96" i="24"/>
  <c r="CC104" i="24"/>
  <c r="BY94" i="24"/>
  <c r="Q90" i="24"/>
  <c r="AJ34" i="24"/>
  <c r="AI95" i="24"/>
  <c r="AJ18" i="24"/>
  <c r="AI102" i="24"/>
  <c r="AJ2" i="24"/>
  <c r="AI104" i="24"/>
  <c r="AI96" i="24"/>
  <c r="AO97" i="24"/>
  <c r="BJ94" i="24"/>
  <c r="BL97" i="24"/>
  <c r="CG95" i="24"/>
  <c r="CG104" i="24"/>
  <c r="CG96" i="24"/>
  <c r="CS97" i="24"/>
  <c r="H91" i="24"/>
  <c r="BY90" i="24"/>
  <c r="BY95" i="24"/>
  <c r="BY96" i="24"/>
  <c r="L97" i="24"/>
  <c r="Q94" i="24"/>
  <c r="AO93" i="24"/>
  <c r="AO92" i="24"/>
  <c r="BJ95" i="24"/>
  <c r="BJ96" i="24"/>
  <c r="BJ104" i="24"/>
  <c r="BL93" i="24"/>
  <c r="BL92" i="24"/>
  <c r="CS93" i="24"/>
  <c r="CS92" i="24"/>
  <c r="H96" i="24"/>
  <c r="CC91" i="24"/>
  <c r="AO102" i="24"/>
  <c r="L93" i="24"/>
  <c r="L92" i="24"/>
  <c r="Q95" i="24"/>
  <c r="Q102" i="24"/>
  <c r="Q104" i="24"/>
  <c r="Q96" i="24"/>
  <c r="AJ117" i="24"/>
  <c r="AI117" i="24"/>
  <c r="AJ116" i="24"/>
  <c r="AI116" i="24"/>
  <c r="AJ8" i="24"/>
  <c r="AI91" i="24"/>
  <c r="AO90" i="24"/>
  <c r="BL90" i="24"/>
  <c r="CG91" i="24"/>
  <c r="CS90" i="24"/>
  <c r="DL104" i="24"/>
  <c r="DL96" i="24"/>
  <c r="BY97" i="24"/>
  <c r="BY104" i="24"/>
  <c r="AY96" i="24"/>
  <c r="AY91" i="24"/>
  <c r="AY93" i="24"/>
  <c r="AY92" i="24"/>
  <c r="AY90" i="24"/>
  <c r="AY94" i="24"/>
  <c r="AY95" i="24"/>
  <c r="AY104" i="24"/>
  <c r="AY97" i="24"/>
  <c r="AJ3" i="24"/>
  <c r="AI84" i="24"/>
  <c r="BL84" i="24"/>
  <c r="AY84" i="24"/>
  <c r="Q84" i="24"/>
  <c r="L84" i="24"/>
  <c r="CS84" i="24"/>
  <c r="BJ84" i="24"/>
  <c r="AO84" i="24"/>
  <c r="BY84" i="24"/>
  <c r="CG84" i="24"/>
  <c r="DL84" i="24"/>
  <c r="CC84" i="24"/>
  <c r="CT73" i="24"/>
  <c r="C52" i="25" l="1"/>
  <c r="AJ95" i="24"/>
  <c r="I115" i="24"/>
  <c r="AJ91" i="24"/>
  <c r="I91" i="24"/>
  <c r="AJ114" i="24"/>
  <c r="I114" i="24"/>
  <c r="H92" i="24"/>
  <c r="I94" i="24"/>
  <c r="I92" i="24"/>
  <c r="H104" i="24"/>
  <c r="AJ102" i="24"/>
  <c r="C44" i="25"/>
  <c r="AJ84" i="24"/>
  <c r="AJ94" i="24"/>
  <c r="I104" i="24"/>
  <c r="I96" i="24"/>
  <c r="AJ92" i="24"/>
  <c r="I102" i="24"/>
  <c r="AJ96" i="24"/>
  <c r="AJ104" i="24"/>
  <c r="AJ97" i="24"/>
  <c r="I93" i="24"/>
  <c r="I97" i="24"/>
  <c r="I95" i="24"/>
  <c r="I84" i="24"/>
  <c r="H84" i="24"/>
  <c r="DZ83" i="24"/>
  <c r="DY83" i="24"/>
  <c r="DX83" i="24"/>
  <c r="DW83" i="24"/>
  <c r="BW83" i="24"/>
  <c r="CJ83" i="24"/>
  <c r="CH83" i="24"/>
  <c r="BX83" i="24"/>
  <c r="BV83" i="24"/>
  <c r="BU83" i="24"/>
  <c r="BO83" i="24"/>
  <c r="BA83" i="24"/>
  <c r="AQ83" i="24"/>
  <c r="AA83" i="24"/>
  <c r="Z83" i="24"/>
  <c r="Y83" i="24"/>
  <c r="X83" i="24"/>
  <c r="W83" i="24"/>
  <c r="R83" i="24"/>
  <c r="M83" i="24"/>
  <c r="DZ82" i="24"/>
  <c r="DY82" i="24"/>
  <c r="DX82" i="24"/>
  <c r="DW82" i="24"/>
  <c r="BW82" i="24"/>
  <c r="CJ82" i="24"/>
  <c r="CH82" i="24"/>
  <c r="BX82" i="24"/>
  <c r="BV82" i="24"/>
  <c r="BU82" i="24"/>
  <c r="BO82" i="24"/>
  <c r="BA82" i="24"/>
  <c r="AQ82" i="24"/>
  <c r="AA82" i="24"/>
  <c r="Z82" i="24"/>
  <c r="Y82" i="24"/>
  <c r="X82" i="24"/>
  <c r="W82" i="24"/>
  <c r="R82" i="24"/>
  <c r="M82" i="24"/>
  <c r="DZ81" i="24"/>
  <c r="DY81" i="24"/>
  <c r="DX81" i="24"/>
  <c r="DW81" i="24"/>
  <c r="BW81" i="24"/>
  <c r="CJ81" i="24"/>
  <c r="CH81" i="24"/>
  <c r="BX81" i="24"/>
  <c r="BV81" i="24"/>
  <c r="BU81" i="24"/>
  <c r="BO81" i="24"/>
  <c r="BA81" i="24"/>
  <c r="AQ81" i="24"/>
  <c r="AA81" i="24"/>
  <c r="Z81" i="24"/>
  <c r="Y81" i="24"/>
  <c r="X81" i="24"/>
  <c r="W81" i="24"/>
  <c r="R81" i="24"/>
  <c r="M81" i="24"/>
  <c r="DZ80" i="24"/>
  <c r="DY80" i="24"/>
  <c r="DX80" i="24"/>
  <c r="DW80" i="24"/>
  <c r="BW80" i="24"/>
  <c r="CJ80" i="24"/>
  <c r="CH80" i="24"/>
  <c r="BX80" i="24"/>
  <c r="BV80" i="24"/>
  <c r="BU80" i="24"/>
  <c r="BO80" i="24"/>
  <c r="BA80" i="24"/>
  <c r="AQ80" i="24"/>
  <c r="AA80" i="24"/>
  <c r="Z80" i="24"/>
  <c r="Y80" i="24"/>
  <c r="X80" i="24"/>
  <c r="W80" i="24"/>
  <c r="R80" i="24"/>
  <c r="M80" i="24"/>
  <c r="DZ79" i="24"/>
  <c r="DY79" i="24"/>
  <c r="DX79" i="24"/>
  <c r="DW79" i="24"/>
  <c r="BW79" i="24"/>
  <c r="CJ79" i="24"/>
  <c r="CH79" i="24"/>
  <c r="BX79" i="24"/>
  <c r="BV79" i="24"/>
  <c r="BU79" i="24"/>
  <c r="BO79" i="24"/>
  <c r="BA79" i="24"/>
  <c r="AQ79" i="24"/>
  <c r="AA79" i="24"/>
  <c r="Z79" i="24"/>
  <c r="Y79" i="24"/>
  <c r="X79" i="24"/>
  <c r="W79" i="24"/>
  <c r="R79" i="24"/>
  <c r="M79" i="24"/>
  <c r="DZ78" i="24"/>
  <c r="DY78" i="24"/>
  <c r="DX78" i="24"/>
  <c r="DW78" i="24"/>
  <c r="BW78" i="24"/>
  <c r="CJ78" i="24"/>
  <c r="CH78" i="24"/>
  <c r="BX78" i="24"/>
  <c r="BV78" i="24"/>
  <c r="BU78" i="24"/>
  <c r="BO78" i="24"/>
  <c r="BA78" i="24"/>
  <c r="AQ78" i="24"/>
  <c r="AA78" i="24"/>
  <c r="Z78" i="24"/>
  <c r="Y78" i="24"/>
  <c r="X78" i="24"/>
  <c r="W78" i="24"/>
  <c r="R78" i="24"/>
  <c r="M78" i="24"/>
  <c r="DZ77" i="24"/>
  <c r="DY77" i="24"/>
  <c r="DX77" i="24"/>
  <c r="DW77" i="24"/>
  <c r="BW77" i="24"/>
  <c r="CJ77" i="24"/>
  <c r="CH77" i="24"/>
  <c r="BX77" i="24"/>
  <c r="BV77" i="24"/>
  <c r="BU77" i="24"/>
  <c r="BO77" i="24"/>
  <c r="BA77" i="24"/>
  <c r="AQ77" i="24"/>
  <c r="AA77" i="24"/>
  <c r="Z77" i="24"/>
  <c r="Y77" i="24"/>
  <c r="X77" i="24"/>
  <c r="W77" i="24"/>
  <c r="R77" i="24"/>
  <c r="M77" i="24"/>
  <c r="DZ76" i="24"/>
  <c r="DY76" i="24"/>
  <c r="DX76" i="24"/>
  <c r="DW76" i="24"/>
  <c r="BW76" i="24"/>
  <c r="CJ76" i="24"/>
  <c r="CH76" i="24"/>
  <c r="BX76" i="24"/>
  <c r="BV76" i="24"/>
  <c r="BU76" i="24"/>
  <c r="BO76" i="24"/>
  <c r="BA76" i="24"/>
  <c r="AQ76" i="24"/>
  <c r="AA76" i="24"/>
  <c r="Z76" i="24"/>
  <c r="Y76" i="24"/>
  <c r="X76" i="24"/>
  <c r="W76" i="24"/>
  <c r="R76" i="24"/>
  <c r="M76" i="24"/>
  <c r="DZ75" i="24"/>
  <c r="DY75" i="24"/>
  <c r="DX75" i="24"/>
  <c r="DW75" i="24"/>
  <c r="BW75" i="24"/>
  <c r="CJ75" i="24"/>
  <c r="CH75" i="24"/>
  <c r="BX75" i="24"/>
  <c r="BV75" i="24"/>
  <c r="BU75" i="24"/>
  <c r="BO75" i="24"/>
  <c r="BA75" i="24"/>
  <c r="AQ75" i="24"/>
  <c r="AA75" i="24"/>
  <c r="Z75" i="24"/>
  <c r="Y75" i="24"/>
  <c r="X75" i="24"/>
  <c r="W75" i="24"/>
  <c r="R75" i="24"/>
  <c r="M75" i="24"/>
  <c r="DZ74" i="24"/>
  <c r="DY74" i="24"/>
  <c r="DX74" i="24"/>
  <c r="DW74" i="24"/>
  <c r="BW74" i="24"/>
  <c r="CJ74" i="24"/>
  <c r="CH74" i="24"/>
  <c r="BX74" i="24"/>
  <c r="BV74" i="24"/>
  <c r="BU74" i="24"/>
  <c r="BO74" i="24"/>
  <c r="BA74" i="24"/>
  <c r="AQ74" i="24"/>
  <c r="AA74" i="24"/>
  <c r="Z74" i="24"/>
  <c r="Y74" i="24"/>
  <c r="X74" i="24"/>
  <c r="W74" i="24"/>
  <c r="R74" i="24"/>
  <c r="M74" i="24"/>
  <c r="DZ73" i="24"/>
  <c r="DY73" i="24"/>
  <c r="DX73" i="24"/>
  <c r="DW73" i="24"/>
  <c r="BW73" i="24"/>
  <c r="CJ73" i="24"/>
  <c r="CH73" i="24"/>
  <c r="BX73" i="24"/>
  <c r="BU73" i="24"/>
  <c r="BO73" i="24"/>
  <c r="BA73" i="24"/>
  <c r="AQ73" i="24"/>
  <c r="AA73" i="24"/>
  <c r="Z73" i="24"/>
  <c r="Y73" i="24"/>
  <c r="X73" i="24"/>
  <c r="W73" i="24"/>
  <c r="R73" i="24"/>
  <c r="M73" i="24"/>
  <c r="DZ72" i="24"/>
  <c r="DY72" i="24"/>
  <c r="DX72" i="24"/>
  <c r="DW72" i="24"/>
  <c r="BW72" i="24"/>
  <c r="CJ72" i="24"/>
  <c r="CH72" i="24"/>
  <c r="BX72" i="24"/>
  <c r="BU72" i="24"/>
  <c r="BO72" i="24"/>
  <c r="BA72" i="24"/>
  <c r="AQ72" i="24"/>
  <c r="AA72" i="24"/>
  <c r="Z72" i="24"/>
  <c r="Y72" i="24"/>
  <c r="X72" i="24"/>
  <c r="W72" i="24"/>
  <c r="R72" i="24"/>
  <c r="M72" i="24"/>
  <c r="DZ71" i="24"/>
  <c r="DY71" i="24"/>
  <c r="DX71" i="24"/>
  <c r="DW71" i="24"/>
  <c r="BW71" i="24"/>
  <c r="CJ71" i="24"/>
  <c r="CH71" i="24"/>
  <c r="BX71" i="24"/>
  <c r="BV71" i="24"/>
  <c r="BU71" i="24"/>
  <c r="BO71" i="24"/>
  <c r="BA71" i="24"/>
  <c r="AQ71" i="24"/>
  <c r="AA71" i="24"/>
  <c r="Z71" i="24"/>
  <c r="Y71" i="24"/>
  <c r="X71" i="24"/>
  <c r="W71" i="24"/>
  <c r="R71" i="24"/>
  <c r="M71" i="24"/>
  <c r="DZ70" i="24"/>
  <c r="DY70" i="24"/>
  <c r="DX70" i="24"/>
  <c r="DW70" i="24"/>
  <c r="BW70" i="24"/>
  <c r="CT70" i="24"/>
  <c r="CJ70" i="24"/>
  <c r="CH70" i="24"/>
  <c r="BX70" i="24"/>
  <c r="BV70" i="24"/>
  <c r="BU70" i="24"/>
  <c r="BO70" i="24"/>
  <c r="BA70" i="24"/>
  <c r="AQ70" i="24"/>
  <c r="AA70" i="24"/>
  <c r="Z70" i="24"/>
  <c r="Y70" i="24"/>
  <c r="X70" i="24"/>
  <c r="W70" i="24"/>
  <c r="R70" i="24"/>
  <c r="M70" i="24"/>
  <c r="DZ69" i="24"/>
  <c r="DY69" i="24"/>
  <c r="DX69" i="24"/>
  <c r="DW69" i="24"/>
  <c r="BW69" i="24"/>
  <c r="CT69" i="24"/>
  <c r="CJ69" i="24"/>
  <c r="CH69" i="24"/>
  <c r="BX69" i="24"/>
  <c r="BV69" i="24"/>
  <c r="BU69" i="24"/>
  <c r="BO69" i="24"/>
  <c r="BA69" i="24"/>
  <c r="AQ69" i="24"/>
  <c r="AA69" i="24"/>
  <c r="Z69" i="24"/>
  <c r="Y69" i="24"/>
  <c r="X69" i="24"/>
  <c r="W69" i="24"/>
  <c r="R69" i="24"/>
  <c r="M69" i="24"/>
  <c r="DZ68" i="24"/>
  <c r="DY68" i="24"/>
  <c r="DX68" i="24"/>
  <c r="DW68" i="24"/>
  <c r="BW68" i="24"/>
  <c r="CT68" i="24"/>
  <c r="CJ68" i="24"/>
  <c r="CH68" i="24"/>
  <c r="BX68" i="24"/>
  <c r="BV68" i="24"/>
  <c r="BU68" i="24"/>
  <c r="BO68" i="24"/>
  <c r="BA68" i="24"/>
  <c r="AQ68" i="24"/>
  <c r="AA68" i="24"/>
  <c r="Z68" i="24"/>
  <c r="Y68" i="24"/>
  <c r="X68" i="24"/>
  <c r="W68" i="24"/>
  <c r="R68" i="24"/>
  <c r="M68" i="24"/>
  <c r="DZ67" i="24"/>
  <c r="DY67" i="24"/>
  <c r="DX67" i="24"/>
  <c r="DW67" i="24"/>
  <c r="BW67" i="24"/>
  <c r="CT67" i="24"/>
  <c r="CJ67" i="24"/>
  <c r="CH67" i="24"/>
  <c r="BX67" i="24"/>
  <c r="BV67" i="24"/>
  <c r="BU67" i="24"/>
  <c r="BO67" i="24"/>
  <c r="BA67" i="24"/>
  <c r="AQ67" i="24"/>
  <c r="AA67" i="24"/>
  <c r="Z67" i="24"/>
  <c r="Y67" i="24"/>
  <c r="X67" i="24"/>
  <c r="W67" i="24"/>
  <c r="R67" i="24"/>
  <c r="M67" i="24"/>
  <c r="DZ66" i="24"/>
  <c r="DY66" i="24"/>
  <c r="DX66" i="24"/>
  <c r="DW66" i="24"/>
  <c r="BW66" i="24"/>
  <c r="CT66" i="24"/>
  <c r="CJ66" i="24"/>
  <c r="CH66" i="24"/>
  <c r="BX66" i="24"/>
  <c r="BV66" i="24"/>
  <c r="BU66" i="24"/>
  <c r="BO66" i="24"/>
  <c r="BA66" i="24"/>
  <c r="AQ66" i="24"/>
  <c r="AA66" i="24"/>
  <c r="Z66" i="24"/>
  <c r="Y66" i="24"/>
  <c r="X66" i="24"/>
  <c r="W66" i="24"/>
  <c r="R66" i="24"/>
  <c r="M66" i="24"/>
  <c r="DZ65" i="24"/>
  <c r="DY65" i="24"/>
  <c r="DX65" i="24"/>
  <c r="DW65" i="24"/>
  <c r="BW65" i="24"/>
  <c r="CT65" i="24"/>
  <c r="CJ65" i="24"/>
  <c r="CH65" i="24"/>
  <c r="BX65" i="24"/>
  <c r="BV65" i="24"/>
  <c r="BU65" i="24"/>
  <c r="BO65" i="24"/>
  <c r="BA65" i="24"/>
  <c r="AQ65" i="24"/>
  <c r="AA65" i="24"/>
  <c r="Z65" i="24"/>
  <c r="Y65" i="24"/>
  <c r="X65" i="24"/>
  <c r="W65" i="24"/>
  <c r="R65" i="24"/>
  <c r="M65" i="24"/>
  <c r="DZ64" i="24"/>
  <c r="DY64" i="24"/>
  <c r="DX64" i="24"/>
  <c r="DW64" i="24"/>
  <c r="BW64" i="24"/>
  <c r="CT64" i="24"/>
  <c r="CJ64" i="24"/>
  <c r="CH64" i="24"/>
  <c r="BX64" i="24"/>
  <c r="BV64" i="24"/>
  <c r="BU64" i="24"/>
  <c r="BO64" i="24"/>
  <c r="BA64" i="24"/>
  <c r="AQ64" i="24"/>
  <c r="AA64" i="24"/>
  <c r="Z64" i="24"/>
  <c r="Y64" i="24"/>
  <c r="X64" i="24"/>
  <c r="W64" i="24"/>
  <c r="R64" i="24"/>
  <c r="M64" i="24"/>
  <c r="DZ63" i="24"/>
  <c r="DY63" i="24"/>
  <c r="DX63" i="24"/>
  <c r="DW63" i="24"/>
  <c r="BW63" i="24"/>
  <c r="CT63" i="24"/>
  <c r="CJ63" i="24"/>
  <c r="CH63" i="24"/>
  <c r="BX63" i="24"/>
  <c r="BV63" i="24"/>
  <c r="BU63" i="24"/>
  <c r="BO63" i="24"/>
  <c r="BA63" i="24"/>
  <c r="AQ63" i="24"/>
  <c r="AA63" i="24"/>
  <c r="Z63" i="24"/>
  <c r="Y63" i="24"/>
  <c r="X63" i="24"/>
  <c r="W63" i="24"/>
  <c r="R63" i="24"/>
  <c r="M63" i="24"/>
  <c r="DZ62" i="24"/>
  <c r="DY62" i="24"/>
  <c r="DX62" i="24"/>
  <c r="DW62" i="24"/>
  <c r="BW62" i="24"/>
  <c r="CT62" i="24"/>
  <c r="CJ62" i="24"/>
  <c r="CH62" i="24"/>
  <c r="BX62" i="24"/>
  <c r="BV62" i="24"/>
  <c r="BU62" i="24"/>
  <c r="BO62" i="24"/>
  <c r="BA62" i="24"/>
  <c r="AQ62" i="24"/>
  <c r="AA62" i="24"/>
  <c r="Z62" i="24"/>
  <c r="Y62" i="24"/>
  <c r="X62" i="24"/>
  <c r="W62" i="24"/>
  <c r="R62" i="24"/>
  <c r="M62" i="24"/>
  <c r="DZ61" i="24"/>
  <c r="DY61" i="24"/>
  <c r="DX61" i="24"/>
  <c r="DW61" i="24"/>
  <c r="BW61" i="24"/>
  <c r="CT61" i="24"/>
  <c r="CJ61" i="24"/>
  <c r="CH61" i="24"/>
  <c r="BX61" i="24"/>
  <c r="BV61" i="24"/>
  <c r="BU61" i="24"/>
  <c r="BO61" i="24"/>
  <c r="BA61" i="24"/>
  <c r="AQ61" i="24"/>
  <c r="AA61" i="24"/>
  <c r="Z61" i="24"/>
  <c r="Y61" i="24"/>
  <c r="X61" i="24"/>
  <c r="W61" i="24"/>
  <c r="R61" i="24"/>
  <c r="M61" i="24"/>
  <c r="DZ60" i="24"/>
  <c r="DY60" i="24"/>
  <c r="DX60" i="24"/>
  <c r="DW60" i="24"/>
  <c r="BW60" i="24"/>
  <c r="CT60" i="24"/>
  <c r="CJ60" i="24"/>
  <c r="CH60" i="24"/>
  <c r="BX60" i="24"/>
  <c r="BV60" i="24"/>
  <c r="BU60" i="24"/>
  <c r="BO60" i="24"/>
  <c r="BA60" i="24"/>
  <c r="AQ60" i="24"/>
  <c r="AA60" i="24"/>
  <c r="Z60" i="24"/>
  <c r="Y60" i="24"/>
  <c r="X60" i="24"/>
  <c r="W60" i="24"/>
  <c r="R60" i="24"/>
  <c r="M60" i="24"/>
  <c r="DZ59" i="24"/>
  <c r="DY59" i="24"/>
  <c r="DX59" i="24"/>
  <c r="DW59" i="24"/>
  <c r="BW59" i="24"/>
  <c r="CT59" i="24"/>
  <c r="CJ59" i="24"/>
  <c r="CH59" i="24"/>
  <c r="BX59" i="24"/>
  <c r="BV59" i="24"/>
  <c r="BU59" i="24"/>
  <c r="BO59" i="24"/>
  <c r="BA59" i="24"/>
  <c r="AQ59" i="24"/>
  <c r="AA59" i="24"/>
  <c r="Z59" i="24"/>
  <c r="Y59" i="24"/>
  <c r="X59" i="24"/>
  <c r="W59" i="24"/>
  <c r="R59" i="24"/>
  <c r="M59" i="24"/>
  <c r="DZ58" i="24"/>
  <c r="DY58" i="24"/>
  <c r="DX58" i="24"/>
  <c r="DW58" i="24"/>
  <c r="BW58" i="24"/>
  <c r="CT58" i="24"/>
  <c r="CJ58" i="24"/>
  <c r="CH58" i="24"/>
  <c r="BX58" i="24"/>
  <c r="BV58" i="24"/>
  <c r="BU58" i="24"/>
  <c r="BO58" i="24"/>
  <c r="BA58" i="24"/>
  <c r="AQ58" i="24"/>
  <c r="AA58" i="24"/>
  <c r="Z58" i="24"/>
  <c r="Y58" i="24"/>
  <c r="X58" i="24"/>
  <c r="W58" i="24"/>
  <c r="R58" i="24"/>
  <c r="M58" i="24"/>
  <c r="DZ57" i="24"/>
  <c r="DY57" i="24"/>
  <c r="DX57" i="24"/>
  <c r="DW57" i="24"/>
  <c r="BW57" i="24"/>
  <c r="CT57" i="24"/>
  <c r="CJ57" i="24"/>
  <c r="CH57" i="24"/>
  <c r="BX57" i="24"/>
  <c r="BV57" i="24"/>
  <c r="BU57" i="24"/>
  <c r="BO57" i="24"/>
  <c r="BA57" i="24"/>
  <c r="AQ57" i="24"/>
  <c r="AA57" i="24"/>
  <c r="Z57" i="24"/>
  <c r="Y57" i="24"/>
  <c r="X57" i="24"/>
  <c r="W57" i="24"/>
  <c r="R57" i="24"/>
  <c r="M57" i="24"/>
  <c r="DZ56" i="24"/>
  <c r="DY56" i="24"/>
  <c r="DX56" i="24"/>
  <c r="DW56" i="24"/>
  <c r="BW56" i="24"/>
  <c r="CT56" i="24"/>
  <c r="CJ56" i="24"/>
  <c r="CH56" i="24"/>
  <c r="BX56" i="24"/>
  <c r="BV56" i="24"/>
  <c r="BU56" i="24"/>
  <c r="BO56" i="24"/>
  <c r="BA56" i="24"/>
  <c r="AQ56" i="24"/>
  <c r="AA56" i="24"/>
  <c r="Z56" i="24"/>
  <c r="Y56" i="24"/>
  <c r="X56" i="24"/>
  <c r="W56" i="24"/>
  <c r="R56" i="24"/>
  <c r="M56" i="24"/>
  <c r="DZ55" i="24"/>
  <c r="DY55" i="24"/>
  <c r="DX55" i="24"/>
  <c r="DW55" i="24"/>
  <c r="BW55" i="24"/>
  <c r="CT55" i="24"/>
  <c r="CJ55" i="24"/>
  <c r="CH55" i="24"/>
  <c r="BX55" i="24"/>
  <c r="BV55" i="24"/>
  <c r="BU55" i="24"/>
  <c r="BO55" i="24"/>
  <c r="BA55" i="24"/>
  <c r="AQ55" i="24"/>
  <c r="AA55" i="24"/>
  <c r="Z55" i="24"/>
  <c r="Y55" i="24"/>
  <c r="X55" i="24"/>
  <c r="W55" i="24"/>
  <c r="R55" i="24"/>
  <c r="M55" i="24"/>
  <c r="DZ54" i="24"/>
  <c r="DY54" i="24"/>
  <c r="DX54" i="24"/>
  <c r="DW54" i="24"/>
  <c r="BW54" i="24"/>
  <c r="CT54" i="24"/>
  <c r="CJ54" i="24"/>
  <c r="CH54" i="24"/>
  <c r="BX54" i="24"/>
  <c r="BV54" i="24"/>
  <c r="BU54" i="24"/>
  <c r="BO54" i="24"/>
  <c r="BA54" i="24"/>
  <c r="AQ54" i="24"/>
  <c r="AA54" i="24"/>
  <c r="Z54" i="24"/>
  <c r="Y54" i="24"/>
  <c r="X54" i="24"/>
  <c r="W54" i="24"/>
  <c r="R54" i="24"/>
  <c r="M54" i="24"/>
  <c r="DZ53" i="24"/>
  <c r="DY53" i="24"/>
  <c r="DX53" i="24"/>
  <c r="DW53" i="24"/>
  <c r="BW53" i="24"/>
  <c r="CT53" i="24"/>
  <c r="CJ53" i="24"/>
  <c r="CH53" i="24"/>
  <c r="BX53" i="24"/>
  <c r="BV53" i="24"/>
  <c r="BU53" i="24"/>
  <c r="BO53" i="24"/>
  <c r="BA53" i="24"/>
  <c r="AQ53" i="24"/>
  <c r="AA53" i="24"/>
  <c r="Z53" i="24"/>
  <c r="Y53" i="24"/>
  <c r="X53" i="24"/>
  <c r="W53" i="24"/>
  <c r="R53" i="24"/>
  <c r="M53" i="24"/>
  <c r="DZ52" i="24"/>
  <c r="DY52" i="24"/>
  <c r="DX52" i="24"/>
  <c r="DW52" i="24"/>
  <c r="BW52" i="24"/>
  <c r="CT52" i="24"/>
  <c r="CJ52" i="24"/>
  <c r="CH52" i="24"/>
  <c r="BX52" i="24"/>
  <c r="BV52" i="24"/>
  <c r="BU52" i="24"/>
  <c r="BO52" i="24"/>
  <c r="BA52" i="24"/>
  <c r="AQ52" i="24"/>
  <c r="AA52" i="24"/>
  <c r="Z52" i="24"/>
  <c r="Y52" i="24"/>
  <c r="X52" i="24"/>
  <c r="W52" i="24"/>
  <c r="R52" i="24"/>
  <c r="M52" i="24"/>
  <c r="DZ51" i="24"/>
  <c r="DY51" i="24"/>
  <c r="DX51" i="24"/>
  <c r="DW51" i="24"/>
  <c r="BW51" i="24"/>
  <c r="CT51" i="24"/>
  <c r="CJ51" i="24"/>
  <c r="CH51" i="24"/>
  <c r="BX51" i="24"/>
  <c r="BV51" i="24"/>
  <c r="BU51" i="24"/>
  <c r="BO51" i="24"/>
  <c r="BA51" i="24"/>
  <c r="AQ51" i="24"/>
  <c r="AA51" i="24"/>
  <c r="Z51" i="24"/>
  <c r="Y51" i="24"/>
  <c r="X51" i="24"/>
  <c r="W51" i="24"/>
  <c r="R51" i="24"/>
  <c r="M51" i="24"/>
  <c r="DZ50" i="24"/>
  <c r="DY50" i="24"/>
  <c r="DX50" i="24"/>
  <c r="DW50" i="24"/>
  <c r="BW50" i="24"/>
  <c r="CT50" i="24"/>
  <c r="CJ50" i="24"/>
  <c r="CH50" i="24"/>
  <c r="BX50" i="24"/>
  <c r="BV50" i="24"/>
  <c r="BU50" i="24"/>
  <c r="BO50" i="24"/>
  <c r="BA50" i="24"/>
  <c r="AQ50" i="24"/>
  <c r="AA50" i="24"/>
  <c r="Z50" i="24"/>
  <c r="Y50" i="24"/>
  <c r="X50" i="24"/>
  <c r="W50" i="24"/>
  <c r="R50" i="24"/>
  <c r="M50" i="24"/>
  <c r="DZ49" i="24"/>
  <c r="DY49" i="24"/>
  <c r="DX49" i="24"/>
  <c r="DW49" i="24"/>
  <c r="BW49" i="24"/>
  <c r="CT49" i="24"/>
  <c r="CJ49" i="24"/>
  <c r="CH49" i="24"/>
  <c r="BX49" i="24"/>
  <c r="BV49" i="24"/>
  <c r="BU49" i="24"/>
  <c r="BO49" i="24"/>
  <c r="BA49" i="24"/>
  <c r="AQ49" i="24"/>
  <c r="AA49" i="24"/>
  <c r="Z49" i="24"/>
  <c r="Y49" i="24"/>
  <c r="X49" i="24"/>
  <c r="W49" i="24"/>
  <c r="R49" i="24"/>
  <c r="M49" i="24"/>
  <c r="DZ48" i="24"/>
  <c r="DY48" i="24"/>
  <c r="DX48" i="24"/>
  <c r="DW48" i="24"/>
  <c r="BW48" i="24"/>
  <c r="CT48" i="24"/>
  <c r="CJ48" i="24"/>
  <c r="CH48" i="24"/>
  <c r="BX48" i="24"/>
  <c r="BV48" i="24"/>
  <c r="BU48" i="24"/>
  <c r="BO48" i="24"/>
  <c r="BA48" i="24"/>
  <c r="AQ48" i="24"/>
  <c r="AA48" i="24"/>
  <c r="Z48" i="24"/>
  <c r="Y48" i="24"/>
  <c r="X48" i="24"/>
  <c r="W48" i="24"/>
  <c r="R48" i="24"/>
  <c r="M48" i="24"/>
  <c r="DZ47" i="24"/>
  <c r="DY47" i="24"/>
  <c r="DX47" i="24"/>
  <c r="DW47" i="24"/>
  <c r="BW47" i="24"/>
  <c r="CT47" i="24"/>
  <c r="CJ47" i="24"/>
  <c r="CH47" i="24"/>
  <c r="BX47" i="24"/>
  <c r="BV47" i="24"/>
  <c r="BU47" i="24"/>
  <c r="BO47" i="24"/>
  <c r="BA47" i="24"/>
  <c r="AQ47" i="24"/>
  <c r="AA47" i="24"/>
  <c r="Z47" i="24"/>
  <c r="Y47" i="24"/>
  <c r="X47" i="24"/>
  <c r="W47" i="24"/>
  <c r="R47" i="24"/>
  <c r="M47" i="24"/>
  <c r="DZ46" i="24"/>
  <c r="DY46" i="24"/>
  <c r="DX46" i="24"/>
  <c r="DW46" i="24"/>
  <c r="BW46" i="24"/>
  <c r="CT46" i="24"/>
  <c r="CJ46" i="24"/>
  <c r="CH46" i="24"/>
  <c r="BX46" i="24"/>
  <c r="BV46" i="24"/>
  <c r="BU46" i="24"/>
  <c r="BO46" i="24"/>
  <c r="BA46" i="24"/>
  <c r="AQ46" i="24"/>
  <c r="AA46" i="24"/>
  <c r="Z46" i="24"/>
  <c r="Y46" i="24"/>
  <c r="X46" i="24"/>
  <c r="W46" i="24"/>
  <c r="R46" i="24"/>
  <c r="M46" i="24"/>
  <c r="DZ45" i="24"/>
  <c r="DY45" i="24"/>
  <c r="DX45" i="24"/>
  <c r="DW45" i="24"/>
  <c r="BW45" i="24"/>
  <c r="CT45" i="24"/>
  <c r="CJ45" i="24"/>
  <c r="CH45" i="24"/>
  <c r="BX45" i="24"/>
  <c r="BV45" i="24"/>
  <c r="BU45" i="24"/>
  <c r="BO45" i="24"/>
  <c r="BA45" i="24"/>
  <c r="AQ45" i="24"/>
  <c r="AA45" i="24"/>
  <c r="Z45" i="24"/>
  <c r="Y45" i="24"/>
  <c r="X45" i="24"/>
  <c r="W45" i="24"/>
  <c r="R45" i="24"/>
  <c r="M45" i="24"/>
  <c r="DZ44" i="24"/>
  <c r="DY44" i="24"/>
  <c r="DX44" i="24"/>
  <c r="DW44" i="24"/>
  <c r="BW44" i="24"/>
  <c r="CT44" i="24"/>
  <c r="CJ44" i="24"/>
  <c r="CH44" i="24"/>
  <c r="BX44" i="24"/>
  <c r="BV44" i="24"/>
  <c r="BU44" i="24"/>
  <c r="BO44" i="24"/>
  <c r="BA44" i="24"/>
  <c r="AQ44" i="24"/>
  <c r="AA44" i="24"/>
  <c r="Z44" i="24"/>
  <c r="Y44" i="24"/>
  <c r="X44" i="24"/>
  <c r="W44" i="24"/>
  <c r="R44" i="24"/>
  <c r="M44" i="24"/>
  <c r="DZ43" i="24"/>
  <c r="DY43" i="24"/>
  <c r="DX43" i="24"/>
  <c r="DW43" i="24"/>
  <c r="BW43" i="24"/>
  <c r="CT43" i="24"/>
  <c r="CJ43" i="24"/>
  <c r="CH43" i="24"/>
  <c r="BX43" i="24"/>
  <c r="BV43" i="24"/>
  <c r="BU43" i="24"/>
  <c r="BO43" i="24"/>
  <c r="BA43" i="24"/>
  <c r="AQ43" i="24"/>
  <c r="AA43" i="24"/>
  <c r="Z43" i="24"/>
  <c r="Y43" i="24"/>
  <c r="X43" i="24"/>
  <c r="W43" i="24"/>
  <c r="R43" i="24"/>
  <c r="M43" i="24"/>
  <c r="DZ42" i="24"/>
  <c r="DY42" i="24"/>
  <c r="DX42" i="24"/>
  <c r="DW42" i="24"/>
  <c r="BW42" i="24"/>
  <c r="CT42" i="24"/>
  <c r="CJ42" i="24"/>
  <c r="CH42" i="24"/>
  <c r="BX42" i="24"/>
  <c r="BV42" i="24"/>
  <c r="BU42" i="24"/>
  <c r="BO42" i="24"/>
  <c r="BA42" i="24"/>
  <c r="AQ42" i="24"/>
  <c r="AA42" i="24"/>
  <c r="Z42" i="24"/>
  <c r="Y42" i="24"/>
  <c r="X42" i="24"/>
  <c r="W42" i="24"/>
  <c r="R42" i="24"/>
  <c r="M42" i="24"/>
  <c r="DZ41" i="24"/>
  <c r="DY41" i="24"/>
  <c r="DX41" i="24"/>
  <c r="DW41" i="24"/>
  <c r="BW41" i="24"/>
  <c r="CT41" i="24"/>
  <c r="CJ41" i="24"/>
  <c r="CH41" i="24"/>
  <c r="BX41" i="24"/>
  <c r="BV41" i="24"/>
  <c r="BU41" i="24"/>
  <c r="BO41" i="24"/>
  <c r="BA41" i="24"/>
  <c r="AQ41" i="24"/>
  <c r="AA41" i="24"/>
  <c r="Z41" i="24"/>
  <c r="Y41" i="24"/>
  <c r="X41" i="24"/>
  <c r="W41" i="24"/>
  <c r="R41" i="24"/>
  <c r="M41" i="24"/>
  <c r="DZ40" i="24"/>
  <c r="DY40" i="24"/>
  <c r="DX40" i="24"/>
  <c r="DW40" i="24"/>
  <c r="BW40" i="24"/>
  <c r="CT40" i="24"/>
  <c r="CJ40" i="24"/>
  <c r="CH40" i="24"/>
  <c r="BX40" i="24"/>
  <c r="BV40" i="24"/>
  <c r="BU40" i="24"/>
  <c r="BO40" i="24"/>
  <c r="BA40" i="24"/>
  <c r="AQ40" i="24"/>
  <c r="AA40" i="24"/>
  <c r="Z40" i="24"/>
  <c r="Y40" i="24"/>
  <c r="X40" i="24"/>
  <c r="W40" i="24"/>
  <c r="R40" i="24"/>
  <c r="M40" i="24"/>
  <c r="DZ39" i="24"/>
  <c r="DY39" i="24"/>
  <c r="DX39" i="24"/>
  <c r="DW39" i="24"/>
  <c r="BW39" i="24"/>
  <c r="CT39" i="24"/>
  <c r="CJ39" i="24"/>
  <c r="CH39" i="24"/>
  <c r="BX39" i="24"/>
  <c r="BV39" i="24"/>
  <c r="BU39" i="24"/>
  <c r="BO39" i="24"/>
  <c r="BA39" i="24"/>
  <c r="AQ39" i="24"/>
  <c r="AA39" i="24"/>
  <c r="Z39" i="24"/>
  <c r="Y39" i="24"/>
  <c r="X39" i="24"/>
  <c r="W39" i="24"/>
  <c r="R39" i="24"/>
  <c r="M39" i="24"/>
  <c r="DZ38" i="24"/>
  <c r="DY38" i="24"/>
  <c r="DX38" i="24"/>
  <c r="DW38" i="24"/>
  <c r="BW38" i="24"/>
  <c r="CT38" i="24"/>
  <c r="CJ38" i="24"/>
  <c r="CH38" i="24"/>
  <c r="BX38" i="24"/>
  <c r="BV38" i="24"/>
  <c r="BU38" i="24"/>
  <c r="BO38" i="24"/>
  <c r="BA38" i="24"/>
  <c r="AQ38" i="24"/>
  <c r="AA38" i="24"/>
  <c r="Z38" i="24"/>
  <c r="Y38" i="24"/>
  <c r="X38" i="24"/>
  <c r="W38" i="24"/>
  <c r="R38" i="24"/>
  <c r="M38" i="24"/>
  <c r="DZ37" i="24"/>
  <c r="DY37" i="24"/>
  <c r="DX37" i="24"/>
  <c r="DW37" i="24"/>
  <c r="BW37" i="24"/>
  <c r="CJ37" i="24"/>
  <c r="CH37" i="24"/>
  <c r="BX37" i="24"/>
  <c r="BU37" i="24"/>
  <c r="BO37" i="24"/>
  <c r="BA37" i="24"/>
  <c r="AQ37" i="24"/>
  <c r="AA37" i="24"/>
  <c r="Z37" i="24"/>
  <c r="Y37" i="24"/>
  <c r="X37" i="24"/>
  <c r="W37" i="24"/>
  <c r="R37" i="24"/>
  <c r="M37" i="24"/>
  <c r="DZ36" i="24"/>
  <c r="DY36" i="24"/>
  <c r="DX36" i="24"/>
  <c r="DW36" i="24"/>
  <c r="BW36" i="24"/>
  <c r="CT36" i="24"/>
  <c r="CJ36" i="24"/>
  <c r="CH36" i="24"/>
  <c r="BX36" i="24"/>
  <c r="BV36" i="24"/>
  <c r="BU36" i="24"/>
  <c r="BO36" i="24"/>
  <c r="BA36" i="24"/>
  <c r="AQ36" i="24"/>
  <c r="AA36" i="24"/>
  <c r="Z36" i="24"/>
  <c r="Y36" i="24"/>
  <c r="X36" i="24"/>
  <c r="W36" i="24"/>
  <c r="R36" i="24"/>
  <c r="M36" i="24"/>
  <c r="DZ35" i="24"/>
  <c r="DY35" i="24"/>
  <c r="DX35" i="24"/>
  <c r="DW35" i="24"/>
  <c r="BW35" i="24"/>
  <c r="CT35" i="24"/>
  <c r="CJ35" i="24"/>
  <c r="CH35" i="24"/>
  <c r="BX35" i="24"/>
  <c r="BV35" i="24"/>
  <c r="BU35" i="24"/>
  <c r="BO35" i="24"/>
  <c r="BA35" i="24"/>
  <c r="AQ35" i="24"/>
  <c r="AA35" i="24"/>
  <c r="Z35" i="24"/>
  <c r="Y35" i="24"/>
  <c r="X35" i="24"/>
  <c r="W35" i="24"/>
  <c r="R35" i="24"/>
  <c r="M35" i="24"/>
  <c r="DZ34" i="24"/>
  <c r="DY34" i="24"/>
  <c r="DX34" i="24"/>
  <c r="DW34" i="24"/>
  <c r="BW34" i="24"/>
  <c r="CT34" i="24"/>
  <c r="CJ34" i="24"/>
  <c r="CH34" i="24"/>
  <c r="BX34" i="24"/>
  <c r="BV34" i="24"/>
  <c r="BU34" i="24"/>
  <c r="BO34" i="24"/>
  <c r="BA34" i="24"/>
  <c r="AQ34" i="24"/>
  <c r="AA34" i="24"/>
  <c r="Z34" i="24"/>
  <c r="Y34" i="24"/>
  <c r="X34" i="24"/>
  <c r="W34" i="24"/>
  <c r="R34" i="24"/>
  <c r="M34" i="24"/>
  <c r="DZ33" i="24"/>
  <c r="DY33" i="24"/>
  <c r="DX33" i="24"/>
  <c r="DW33" i="24"/>
  <c r="BW33" i="24"/>
  <c r="CT33" i="24"/>
  <c r="CJ33" i="24"/>
  <c r="CH33" i="24"/>
  <c r="BX33" i="24"/>
  <c r="BV33" i="24"/>
  <c r="BU33" i="24"/>
  <c r="BO33" i="24"/>
  <c r="BA33" i="24"/>
  <c r="AQ33" i="24"/>
  <c r="AA33" i="24"/>
  <c r="Z33" i="24"/>
  <c r="Y33" i="24"/>
  <c r="X33" i="24"/>
  <c r="W33" i="24"/>
  <c r="R33" i="24"/>
  <c r="M33" i="24"/>
  <c r="DZ32" i="24"/>
  <c r="DY32" i="24"/>
  <c r="DX32" i="24"/>
  <c r="DW32" i="24"/>
  <c r="BW32" i="24"/>
  <c r="CT32" i="24"/>
  <c r="CJ32" i="24"/>
  <c r="CH32" i="24"/>
  <c r="BX32" i="24"/>
  <c r="BV32" i="24"/>
  <c r="BU32" i="24"/>
  <c r="BO32" i="24"/>
  <c r="BA32" i="24"/>
  <c r="AQ32" i="24"/>
  <c r="AA32" i="24"/>
  <c r="Z32" i="24"/>
  <c r="Y32" i="24"/>
  <c r="X32" i="24"/>
  <c r="W32" i="24"/>
  <c r="R32" i="24"/>
  <c r="M32" i="24"/>
  <c r="DZ31" i="24"/>
  <c r="DY31" i="24"/>
  <c r="DX31" i="24"/>
  <c r="DW31" i="24"/>
  <c r="BW31" i="24"/>
  <c r="CT31" i="24"/>
  <c r="CJ31" i="24"/>
  <c r="CH31" i="24"/>
  <c r="BX31" i="24"/>
  <c r="BV31" i="24"/>
  <c r="BU31" i="24"/>
  <c r="BO31" i="24"/>
  <c r="BA31" i="24"/>
  <c r="AQ31" i="24"/>
  <c r="AA31" i="24"/>
  <c r="Z31" i="24"/>
  <c r="Y31" i="24"/>
  <c r="X31" i="24"/>
  <c r="W31" i="24"/>
  <c r="R31" i="24"/>
  <c r="M31" i="24"/>
  <c r="DZ30" i="24"/>
  <c r="DY30" i="24"/>
  <c r="DX30" i="24"/>
  <c r="DW30" i="24"/>
  <c r="BW30" i="24"/>
  <c r="CT30" i="24"/>
  <c r="CJ30" i="24"/>
  <c r="CH30" i="24"/>
  <c r="BX30" i="24"/>
  <c r="BV30" i="24"/>
  <c r="BU30" i="24"/>
  <c r="BO30" i="24"/>
  <c r="BA30" i="24"/>
  <c r="AQ30" i="24"/>
  <c r="AA30" i="24"/>
  <c r="Z30" i="24"/>
  <c r="Y30" i="24"/>
  <c r="X30" i="24"/>
  <c r="W30" i="24"/>
  <c r="R30" i="24"/>
  <c r="M30" i="24"/>
  <c r="DZ29" i="24"/>
  <c r="DY29" i="24"/>
  <c r="DX29" i="24"/>
  <c r="DW29" i="24"/>
  <c r="BW29" i="24"/>
  <c r="CT29" i="24"/>
  <c r="CJ29" i="24"/>
  <c r="CH29" i="24"/>
  <c r="BX29" i="24"/>
  <c r="BV29" i="24"/>
  <c r="BU29" i="24"/>
  <c r="BO29" i="24"/>
  <c r="BA29" i="24"/>
  <c r="AQ29" i="24"/>
  <c r="AA29" i="24"/>
  <c r="Z29" i="24"/>
  <c r="Y29" i="24"/>
  <c r="X29" i="24"/>
  <c r="W29" i="24"/>
  <c r="R29" i="24"/>
  <c r="M29" i="24"/>
  <c r="DZ28" i="24"/>
  <c r="DY28" i="24"/>
  <c r="DX28" i="24"/>
  <c r="DW28" i="24"/>
  <c r="BW28" i="24"/>
  <c r="CT28" i="24"/>
  <c r="CJ28" i="24"/>
  <c r="CH28" i="24"/>
  <c r="BX28" i="24"/>
  <c r="BV28" i="24"/>
  <c r="BU28" i="24"/>
  <c r="BO28" i="24"/>
  <c r="BA28" i="24"/>
  <c r="AQ28" i="24"/>
  <c r="AA28" i="24"/>
  <c r="Z28" i="24"/>
  <c r="Y28" i="24"/>
  <c r="X28" i="24"/>
  <c r="W28" i="24"/>
  <c r="R28" i="24"/>
  <c r="M28" i="24"/>
  <c r="DZ27" i="24"/>
  <c r="DY27" i="24"/>
  <c r="DX27" i="24"/>
  <c r="DW27" i="24"/>
  <c r="BW27" i="24"/>
  <c r="CT27" i="24"/>
  <c r="CJ27" i="24"/>
  <c r="CH27" i="24"/>
  <c r="BX27" i="24"/>
  <c r="BV27" i="24"/>
  <c r="BU27" i="24"/>
  <c r="BO27" i="24"/>
  <c r="BA27" i="24"/>
  <c r="AQ27" i="24"/>
  <c r="AA27" i="24"/>
  <c r="Z27" i="24"/>
  <c r="Y27" i="24"/>
  <c r="X27" i="24"/>
  <c r="W27" i="24"/>
  <c r="R27" i="24"/>
  <c r="M27" i="24"/>
  <c r="DZ26" i="24"/>
  <c r="DY26" i="24"/>
  <c r="DX26" i="24"/>
  <c r="DW26" i="24"/>
  <c r="BW26" i="24"/>
  <c r="CT26" i="24"/>
  <c r="CJ26" i="24"/>
  <c r="CH26" i="24"/>
  <c r="BX26" i="24"/>
  <c r="BV26" i="24"/>
  <c r="BU26" i="24"/>
  <c r="BO26" i="24"/>
  <c r="BA26" i="24"/>
  <c r="AQ26" i="24"/>
  <c r="AA26" i="24"/>
  <c r="Z26" i="24"/>
  <c r="Y26" i="24"/>
  <c r="X26" i="24"/>
  <c r="W26" i="24"/>
  <c r="R26" i="24"/>
  <c r="M26" i="24"/>
  <c r="DZ25" i="24"/>
  <c r="DY25" i="24"/>
  <c r="DX25" i="24"/>
  <c r="DW25" i="24"/>
  <c r="BW25" i="24"/>
  <c r="CT25" i="24"/>
  <c r="CJ25" i="24"/>
  <c r="CH25" i="24"/>
  <c r="BX25" i="24"/>
  <c r="BV25" i="24"/>
  <c r="BU25" i="24"/>
  <c r="BO25" i="24"/>
  <c r="BA25" i="24"/>
  <c r="AQ25" i="24"/>
  <c r="AA25" i="24"/>
  <c r="Z25" i="24"/>
  <c r="Y25" i="24"/>
  <c r="X25" i="24"/>
  <c r="W25" i="24"/>
  <c r="R25" i="24"/>
  <c r="M25" i="24"/>
  <c r="DZ24" i="24"/>
  <c r="DY24" i="24"/>
  <c r="DX24" i="24"/>
  <c r="DW24" i="24"/>
  <c r="BW24" i="24"/>
  <c r="CT24" i="24"/>
  <c r="CJ24" i="24"/>
  <c r="CH24" i="24"/>
  <c r="BX24" i="24"/>
  <c r="BV24" i="24"/>
  <c r="BU24" i="24"/>
  <c r="BO24" i="24"/>
  <c r="BA24" i="24"/>
  <c r="AQ24" i="24"/>
  <c r="AA24" i="24"/>
  <c r="Z24" i="24"/>
  <c r="Y24" i="24"/>
  <c r="X24" i="24"/>
  <c r="W24" i="24"/>
  <c r="R24" i="24"/>
  <c r="M24" i="24"/>
  <c r="DZ23" i="24"/>
  <c r="DY23" i="24"/>
  <c r="DX23" i="24"/>
  <c r="DW23" i="24"/>
  <c r="BW23" i="24"/>
  <c r="CT23" i="24"/>
  <c r="CJ23" i="24"/>
  <c r="CH23" i="24"/>
  <c r="BX23" i="24"/>
  <c r="BV23" i="24"/>
  <c r="BU23" i="24"/>
  <c r="BO23" i="24"/>
  <c r="BA23" i="24"/>
  <c r="AQ23" i="24"/>
  <c r="AA23" i="24"/>
  <c r="Z23" i="24"/>
  <c r="Y23" i="24"/>
  <c r="X23" i="24"/>
  <c r="W23" i="24"/>
  <c r="R23" i="24"/>
  <c r="M23" i="24"/>
  <c r="DZ22" i="24"/>
  <c r="DY22" i="24"/>
  <c r="DX22" i="24"/>
  <c r="DW22" i="24"/>
  <c r="BW22" i="24"/>
  <c r="CT22" i="24"/>
  <c r="CJ22" i="24"/>
  <c r="CH22" i="24"/>
  <c r="BX22" i="24"/>
  <c r="BV22" i="24"/>
  <c r="BU22" i="24"/>
  <c r="BO22" i="24"/>
  <c r="BA22" i="24"/>
  <c r="AQ22" i="24"/>
  <c r="AA22" i="24"/>
  <c r="Z22" i="24"/>
  <c r="Y22" i="24"/>
  <c r="X22" i="24"/>
  <c r="W22" i="24"/>
  <c r="R22" i="24"/>
  <c r="M22" i="24"/>
  <c r="DZ21" i="24"/>
  <c r="DY21" i="24"/>
  <c r="DX21" i="24"/>
  <c r="DW21" i="24"/>
  <c r="BW21" i="24"/>
  <c r="CT21" i="24"/>
  <c r="CJ21" i="24"/>
  <c r="CH21" i="24"/>
  <c r="BX21" i="24"/>
  <c r="BV21" i="24"/>
  <c r="BU21" i="24"/>
  <c r="BO21" i="24"/>
  <c r="BA21" i="24"/>
  <c r="AQ21" i="24"/>
  <c r="AA21" i="24"/>
  <c r="Z21" i="24"/>
  <c r="Y21" i="24"/>
  <c r="X21" i="24"/>
  <c r="W21" i="24"/>
  <c r="R21" i="24"/>
  <c r="M21" i="24"/>
  <c r="DZ20" i="24"/>
  <c r="DY20" i="24"/>
  <c r="DX20" i="24"/>
  <c r="DW20" i="24"/>
  <c r="BW20" i="24"/>
  <c r="CT20" i="24"/>
  <c r="CJ20" i="24"/>
  <c r="CH20" i="24"/>
  <c r="BX20" i="24"/>
  <c r="BV20" i="24"/>
  <c r="BU20" i="24"/>
  <c r="BO20" i="24"/>
  <c r="BA20" i="24"/>
  <c r="AQ20" i="24"/>
  <c r="AA20" i="24"/>
  <c r="Z20" i="24"/>
  <c r="Y20" i="24"/>
  <c r="X20" i="24"/>
  <c r="W20" i="24"/>
  <c r="R20" i="24"/>
  <c r="M20" i="24"/>
  <c r="DZ19" i="24"/>
  <c r="DY19" i="24"/>
  <c r="DX19" i="24"/>
  <c r="DW19" i="24"/>
  <c r="BW19" i="24"/>
  <c r="CT19" i="24"/>
  <c r="CJ19" i="24"/>
  <c r="CH19" i="24"/>
  <c r="BX19" i="24"/>
  <c r="BV19" i="24"/>
  <c r="BU19" i="24"/>
  <c r="BO19" i="24"/>
  <c r="BA19" i="24"/>
  <c r="AQ19" i="24"/>
  <c r="AA19" i="24"/>
  <c r="Z19" i="24"/>
  <c r="Y19" i="24"/>
  <c r="X19" i="24"/>
  <c r="W19" i="24"/>
  <c r="R19" i="24"/>
  <c r="M19" i="24"/>
  <c r="DZ18" i="24"/>
  <c r="DY18" i="24"/>
  <c r="DX18" i="24"/>
  <c r="DW18" i="24"/>
  <c r="BW18" i="24"/>
  <c r="CT18" i="24"/>
  <c r="CJ18" i="24"/>
  <c r="CH18" i="24"/>
  <c r="BX18" i="24"/>
  <c r="BV18" i="24"/>
  <c r="BU18" i="24"/>
  <c r="BO18" i="24"/>
  <c r="BA18" i="24"/>
  <c r="AQ18" i="24"/>
  <c r="AA18" i="24"/>
  <c r="Z18" i="24"/>
  <c r="Y18" i="24"/>
  <c r="X18" i="24"/>
  <c r="W18" i="24"/>
  <c r="R18" i="24"/>
  <c r="M18" i="24"/>
  <c r="DZ17" i="24"/>
  <c r="DY17" i="24"/>
  <c r="DX17" i="24"/>
  <c r="DW17" i="24"/>
  <c r="BW17" i="24"/>
  <c r="CT17" i="24"/>
  <c r="CJ17" i="24"/>
  <c r="CH17" i="24"/>
  <c r="BX17" i="24"/>
  <c r="BV17" i="24"/>
  <c r="BU17" i="24"/>
  <c r="BO17" i="24"/>
  <c r="BA17" i="24"/>
  <c r="AQ17" i="24"/>
  <c r="AA17" i="24"/>
  <c r="Z17" i="24"/>
  <c r="Y17" i="24"/>
  <c r="X17" i="24"/>
  <c r="W17" i="24"/>
  <c r="R17" i="24"/>
  <c r="M17" i="24"/>
  <c r="DZ16" i="24"/>
  <c r="DY16" i="24"/>
  <c r="DX16" i="24"/>
  <c r="DW16" i="24"/>
  <c r="BW16" i="24"/>
  <c r="CT16" i="24"/>
  <c r="CJ16" i="24"/>
  <c r="CH16" i="24"/>
  <c r="BX16" i="24"/>
  <c r="BV16" i="24"/>
  <c r="BU16" i="24"/>
  <c r="BO16" i="24"/>
  <c r="BA16" i="24"/>
  <c r="AQ16" i="24"/>
  <c r="AA16" i="24"/>
  <c r="Z16" i="24"/>
  <c r="Y16" i="24"/>
  <c r="X16" i="24"/>
  <c r="W16" i="24"/>
  <c r="R16" i="24"/>
  <c r="M16" i="24"/>
  <c r="DZ15" i="24"/>
  <c r="DY15" i="24"/>
  <c r="DX15" i="24"/>
  <c r="DW15" i="24"/>
  <c r="BW15" i="24"/>
  <c r="CT15" i="24"/>
  <c r="CJ15" i="24"/>
  <c r="CH15" i="24"/>
  <c r="BX15" i="24"/>
  <c r="BV15" i="24"/>
  <c r="BU15" i="24"/>
  <c r="BO15" i="24"/>
  <c r="BA15" i="24"/>
  <c r="AQ15" i="24"/>
  <c r="AA15" i="24"/>
  <c r="Z15" i="24"/>
  <c r="Y15" i="24"/>
  <c r="X15" i="24"/>
  <c r="W15" i="24"/>
  <c r="R15" i="24"/>
  <c r="M15" i="24"/>
  <c r="DZ14" i="24"/>
  <c r="DY14" i="24"/>
  <c r="DX14" i="24"/>
  <c r="DW14" i="24"/>
  <c r="BW14" i="24"/>
  <c r="CT14" i="24"/>
  <c r="CJ14" i="24"/>
  <c r="CH14" i="24"/>
  <c r="BX14" i="24"/>
  <c r="BV14" i="24"/>
  <c r="BU14" i="24"/>
  <c r="BO14" i="24"/>
  <c r="BA14" i="24"/>
  <c r="AQ14" i="24"/>
  <c r="AA14" i="24"/>
  <c r="Z14" i="24"/>
  <c r="Y14" i="24"/>
  <c r="X14" i="24"/>
  <c r="W14" i="24"/>
  <c r="R14" i="24"/>
  <c r="M14" i="24"/>
  <c r="DZ13" i="24"/>
  <c r="DY13" i="24"/>
  <c r="DX13" i="24"/>
  <c r="DW13" i="24"/>
  <c r="BW13" i="24"/>
  <c r="CT13" i="24"/>
  <c r="CJ13" i="24"/>
  <c r="CH13" i="24"/>
  <c r="BX13" i="24"/>
  <c r="BV13" i="24"/>
  <c r="BU13" i="24"/>
  <c r="BO13" i="24"/>
  <c r="BA13" i="24"/>
  <c r="AQ13" i="24"/>
  <c r="AA13" i="24"/>
  <c r="Z13" i="24"/>
  <c r="Y13" i="24"/>
  <c r="X13" i="24"/>
  <c r="W13" i="24"/>
  <c r="R13" i="24"/>
  <c r="M13" i="24"/>
  <c r="DZ12" i="24"/>
  <c r="DY12" i="24"/>
  <c r="DX12" i="24"/>
  <c r="DW12" i="24"/>
  <c r="BW12" i="24"/>
  <c r="CT12" i="24"/>
  <c r="CJ12" i="24"/>
  <c r="CH12" i="24"/>
  <c r="BX12" i="24"/>
  <c r="BV12" i="24"/>
  <c r="BU12" i="24"/>
  <c r="BO12" i="24"/>
  <c r="BA12" i="24"/>
  <c r="AQ12" i="24"/>
  <c r="AA12" i="24"/>
  <c r="Z12" i="24"/>
  <c r="Y12" i="24"/>
  <c r="X12" i="24"/>
  <c r="W12" i="24"/>
  <c r="R12" i="24"/>
  <c r="M12" i="24"/>
  <c r="DZ11" i="24"/>
  <c r="DY11" i="24"/>
  <c r="DX11" i="24"/>
  <c r="DW11" i="24"/>
  <c r="BW11" i="24"/>
  <c r="CT11" i="24"/>
  <c r="CJ11" i="24"/>
  <c r="CH11" i="24"/>
  <c r="BX11" i="24"/>
  <c r="BV11" i="24"/>
  <c r="BU11" i="24"/>
  <c r="BO11" i="24"/>
  <c r="BA11" i="24"/>
  <c r="AQ11" i="24"/>
  <c r="AA11" i="24"/>
  <c r="Z11" i="24"/>
  <c r="Y11" i="24"/>
  <c r="X11" i="24"/>
  <c r="W11" i="24"/>
  <c r="R11" i="24"/>
  <c r="M11" i="24"/>
  <c r="DZ10" i="24"/>
  <c r="DY10" i="24"/>
  <c r="DX10" i="24"/>
  <c r="DW10" i="24"/>
  <c r="BW10" i="24"/>
  <c r="CT10" i="24"/>
  <c r="CJ10" i="24"/>
  <c r="CH10" i="24"/>
  <c r="BX10" i="24"/>
  <c r="BV10" i="24"/>
  <c r="BU10" i="24"/>
  <c r="BO10" i="24"/>
  <c r="BA10" i="24"/>
  <c r="AQ10" i="24"/>
  <c r="AA10" i="24"/>
  <c r="Z10" i="24"/>
  <c r="Y10" i="24"/>
  <c r="X10" i="24"/>
  <c r="W10" i="24"/>
  <c r="R10" i="24"/>
  <c r="M10" i="24"/>
  <c r="DZ9" i="24"/>
  <c r="DY9" i="24"/>
  <c r="DX9" i="24"/>
  <c r="DW9" i="24"/>
  <c r="BW9" i="24"/>
  <c r="CT9" i="24"/>
  <c r="CJ9" i="24"/>
  <c r="CH9" i="24"/>
  <c r="BX9" i="24"/>
  <c r="BV9" i="24"/>
  <c r="BU9" i="24"/>
  <c r="BO9" i="24"/>
  <c r="BA9" i="24"/>
  <c r="AQ9" i="24"/>
  <c r="AA9" i="24"/>
  <c r="Z9" i="24"/>
  <c r="Y9" i="24"/>
  <c r="X9" i="24"/>
  <c r="W9" i="24"/>
  <c r="R9" i="24"/>
  <c r="M9" i="24"/>
  <c r="DZ8" i="24"/>
  <c r="DY8" i="24"/>
  <c r="DX8" i="24"/>
  <c r="DW8" i="24"/>
  <c r="BW8" i="24"/>
  <c r="CT8" i="24"/>
  <c r="CJ8" i="24"/>
  <c r="CH8" i="24"/>
  <c r="BX8" i="24"/>
  <c r="BV8" i="24"/>
  <c r="BU8" i="24"/>
  <c r="BO8" i="24"/>
  <c r="BA8" i="24"/>
  <c r="AQ8" i="24"/>
  <c r="AA8" i="24"/>
  <c r="Z8" i="24"/>
  <c r="Y8" i="24"/>
  <c r="X8" i="24"/>
  <c r="W8" i="24"/>
  <c r="R8" i="24"/>
  <c r="M8" i="24"/>
  <c r="DZ7" i="24"/>
  <c r="DZ115" i="24" s="1"/>
  <c r="DY7" i="24"/>
  <c r="DY115" i="24" s="1"/>
  <c r="DX7" i="24"/>
  <c r="DX115" i="24" s="1"/>
  <c r="DW7" i="24"/>
  <c r="DW115" i="24" s="1"/>
  <c r="BW7" i="24"/>
  <c r="CT7" i="24"/>
  <c r="CT115" i="24" s="1"/>
  <c r="CJ7" i="24"/>
  <c r="CJ115" i="24" s="1"/>
  <c r="CH7" i="24"/>
  <c r="CH115" i="24" s="1"/>
  <c r="BX7" i="24"/>
  <c r="BX115" i="24" s="1"/>
  <c r="BV7" i="24"/>
  <c r="BV115" i="24" s="1"/>
  <c r="BU7" i="24"/>
  <c r="BU115" i="24" s="1"/>
  <c r="BO7" i="24"/>
  <c r="BO115" i="24" s="1"/>
  <c r="BA7" i="24"/>
  <c r="BA115" i="24" s="1"/>
  <c r="AQ7" i="24"/>
  <c r="AA7" i="24"/>
  <c r="Z7" i="24"/>
  <c r="Y7" i="24"/>
  <c r="X7" i="24"/>
  <c r="W7" i="24"/>
  <c r="R7" i="24"/>
  <c r="M7" i="24"/>
  <c r="DZ6" i="24"/>
  <c r="DZ117" i="24" s="1"/>
  <c r="DY6" i="24"/>
  <c r="DY117" i="24" s="1"/>
  <c r="DX6" i="24"/>
  <c r="DX117" i="24" s="1"/>
  <c r="DW6" i="24"/>
  <c r="DW117" i="24" s="1"/>
  <c r="BW6" i="24"/>
  <c r="CT6" i="24"/>
  <c r="CT117" i="24" s="1"/>
  <c r="CJ6" i="24"/>
  <c r="CJ117" i="24" s="1"/>
  <c r="CH6" i="24"/>
  <c r="CH117" i="24" s="1"/>
  <c r="BX6" i="24"/>
  <c r="BX117" i="24" s="1"/>
  <c r="BV6" i="24"/>
  <c r="BV117" i="24" s="1"/>
  <c r="BU6" i="24"/>
  <c r="BU117" i="24" s="1"/>
  <c r="BO6" i="24"/>
  <c r="BO117" i="24" s="1"/>
  <c r="BA6" i="24"/>
  <c r="BA117" i="24" s="1"/>
  <c r="AQ6" i="24"/>
  <c r="AA6" i="24"/>
  <c r="AA117" i="24" s="1"/>
  <c r="Z6" i="24"/>
  <c r="Z117" i="24" s="1"/>
  <c r="Y6" i="24"/>
  <c r="Y117" i="24" s="1"/>
  <c r="X6" i="24"/>
  <c r="X117" i="24" s="1"/>
  <c r="W6" i="24"/>
  <c r="W117" i="24" s="1"/>
  <c r="R6" i="24"/>
  <c r="R117" i="24" s="1"/>
  <c r="M6" i="24"/>
  <c r="M117" i="24" s="1"/>
  <c r="DZ5" i="24"/>
  <c r="DY5" i="24"/>
  <c r="DX5" i="24"/>
  <c r="DW5" i="24"/>
  <c r="BW5" i="24"/>
  <c r="CT5" i="24"/>
  <c r="CJ5" i="24"/>
  <c r="CH5" i="24"/>
  <c r="BX5" i="24"/>
  <c r="BX114" i="24" s="1"/>
  <c r="BV5" i="24"/>
  <c r="BU5" i="24"/>
  <c r="BO5" i="24"/>
  <c r="BA5" i="24"/>
  <c r="AQ5" i="24"/>
  <c r="AA5" i="24"/>
  <c r="Z5" i="24"/>
  <c r="Y5" i="24"/>
  <c r="X5" i="24"/>
  <c r="W5" i="24"/>
  <c r="R5" i="24"/>
  <c r="M5" i="24"/>
  <c r="DZ4" i="24"/>
  <c r="DY4" i="24"/>
  <c r="DX4" i="24"/>
  <c r="DW4" i="24"/>
  <c r="BW4" i="24"/>
  <c r="CT4" i="24"/>
  <c r="CJ4" i="24"/>
  <c r="CH4" i="24"/>
  <c r="BX4" i="24"/>
  <c r="BV4" i="24"/>
  <c r="BU4" i="24"/>
  <c r="BO4" i="24"/>
  <c r="BA4" i="24"/>
  <c r="AQ4" i="24"/>
  <c r="AA4" i="24"/>
  <c r="Z4" i="24"/>
  <c r="Y4" i="24"/>
  <c r="X4" i="24"/>
  <c r="W4" i="24"/>
  <c r="R4" i="24"/>
  <c r="M4" i="24"/>
  <c r="DZ3" i="24"/>
  <c r="DY3" i="24"/>
  <c r="DX3" i="24"/>
  <c r="DW3" i="24"/>
  <c r="BW3" i="24"/>
  <c r="CT3" i="24"/>
  <c r="CJ3" i="24"/>
  <c r="CH3" i="24"/>
  <c r="BX3" i="24"/>
  <c r="BV3" i="24"/>
  <c r="BU3" i="24"/>
  <c r="BO3" i="24"/>
  <c r="BA3" i="24"/>
  <c r="AQ3" i="24"/>
  <c r="AA3" i="24"/>
  <c r="Z3" i="24"/>
  <c r="Y3" i="24"/>
  <c r="X3" i="24"/>
  <c r="W3" i="24"/>
  <c r="R3" i="24"/>
  <c r="M3" i="24"/>
  <c r="DZ2" i="24"/>
  <c r="DY2" i="24"/>
  <c r="DX2" i="24"/>
  <c r="DW2" i="24"/>
  <c r="BW2" i="24"/>
  <c r="CT2" i="24"/>
  <c r="CP2" i="24"/>
  <c r="CP114" i="24" s="1"/>
  <c r="CJ2" i="24"/>
  <c r="CH2" i="24"/>
  <c r="BV2" i="24"/>
  <c r="BU2" i="24"/>
  <c r="BO2" i="24"/>
  <c r="BA2" i="24"/>
  <c r="AQ2" i="24"/>
  <c r="AA2" i="24"/>
  <c r="Z2" i="24"/>
  <c r="Y2" i="24"/>
  <c r="X2" i="24"/>
  <c r="W2" i="24"/>
  <c r="R2" i="24"/>
  <c r="M2" i="24"/>
  <c r="EL558" i="26"/>
  <c r="EK558" i="26"/>
  <c r="EJ558" i="26"/>
  <c r="EI558" i="26"/>
  <c r="EL557" i="26"/>
  <c r="EK557" i="26"/>
  <c r="EJ557" i="26"/>
  <c r="EI557" i="26"/>
  <c r="EL556" i="26"/>
  <c r="EK556" i="26"/>
  <c r="EJ556" i="26"/>
  <c r="EI556" i="26"/>
  <c r="EL555" i="26"/>
  <c r="EK555" i="26"/>
  <c r="EJ555" i="26"/>
  <c r="EI555" i="26"/>
  <c r="EL554" i="26"/>
  <c r="EK554" i="26"/>
  <c r="EJ554" i="26"/>
  <c r="EI554" i="26"/>
  <c r="EL553" i="26"/>
  <c r="EK553" i="26"/>
  <c r="EJ553" i="26"/>
  <c r="EI553" i="26"/>
  <c r="EL552" i="26"/>
  <c r="EK552" i="26"/>
  <c r="EJ552" i="26"/>
  <c r="EI552" i="26"/>
  <c r="EL551" i="26"/>
  <c r="EK551" i="26"/>
  <c r="EJ551" i="26"/>
  <c r="EI551" i="26"/>
  <c r="EL550" i="26"/>
  <c r="EK550" i="26"/>
  <c r="EJ550" i="26"/>
  <c r="EI550" i="26"/>
  <c r="EL549" i="26"/>
  <c r="EK549" i="26"/>
  <c r="EJ549" i="26"/>
  <c r="EI549" i="26"/>
  <c r="EL548" i="26"/>
  <c r="EK548" i="26"/>
  <c r="EJ548" i="26"/>
  <c r="EI548" i="26"/>
  <c r="EL547" i="26"/>
  <c r="EK547" i="26"/>
  <c r="EJ547" i="26"/>
  <c r="EI547" i="26"/>
  <c r="EL546" i="26"/>
  <c r="EK546" i="26"/>
  <c r="EJ546" i="26"/>
  <c r="EI546" i="26"/>
  <c r="EL545" i="26"/>
  <c r="EK545" i="26"/>
  <c r="EJ545" i="26"/>
  <c r="EI545" i="26"/>
  <c r="EL544" i="26"/>
  <c r="EK544" i="26"/>
  <c r="EJ544" i="26"/>
  <c r="EI544" i="26"/>
  <c r="EL543" i="26"/>
  <c r="EK543" i="26"/>
  <c r="EJ543" i="26"/>
  <c r="EI543" i="26"/>
  <c r="EL542" i="26"/>
  <c r="EK542" i="26"/>
  <c r="EJ542" i="26"/>
  <c r="EI542" i="26"/>
  <c r="EL541" i="26"/>
  <c r="EK541" i="26"/>
  <c r="EJ541" i="26"/>
  <c r="EI541" i="26"/>
  <c r="EL540" i="26"/>
  <c r="EK540" i="26"/>
  <c r="EJ540" i="26"/>
  <c r="EI540" i="26"/>
  <c r="EL539" i="26"/>
  <c r="EK539" i="26"/>
  <c r="EJ539" i="26"/>
  <c r="EI539" i="26"/>
  <c r="EL538" i="26"/>
  <c r="EK538" i="26"/>
  <c r="EJ538" i="26"/>
  <c r="EI538" i="26"/>
  <c r="EL537" i="26"/>
  <c r="EK537" i="26"/>
  <c r="EJ537" i="26"/>
  <c r="EI537" i="26"/>
  <c r="EL536" i="26"/>
  <c r="EK536" i="26"/>
  <c r="EJ536" i="26"/>
  <c r="EI536" i="26"/>
  <c r="EL535" i="26"/>
  <c r="EK535" i="26"/>
  <c r="EJ535" i="26"/>
  <c r="EI535" i="26"/>
  <c r="EL534" i="26"/>
  <c r="EK534" i="26"/>
  <c r="EJ534" i="26"/>
  <c r="EI534" i="26"/>
  <c r="EL533" i="26"/>
  <c r="EK533" i="26"/>
  <c r="EJ533" i="26"/>
  <c r="EI533" i="26"/>
  <c r="EL532" i="26"/>
  <c r="EK532" i="26"/>
  <c r="EJ532" i="26"/>
  <c r="EI532" i="26"/>
  <c r="EL531" i="26"/>
  <c r="EK531" i="26"/>
  <c r="EJ531" i="26"/>
  <c r="EI531" i="26"/>
  <c r="EL530" i="26"/>
  <c r="EK530" i="26"/>
  <c r="EJ530" i="26"/>
  <c r="EI530" i="26"/>
  <c r="EL529" i="26"/>
  <c r="EK529" i="26"/>
  <c r="EJ529" i="26"/>
  <c r="EI529" i="26"/>
  <c r="EL528" i="26"/>
  <c r="EK528" i="26"/>
  <c r="EJ528" i="26"/>
  <c r="EI528" i="26"/>
  <c r="EL527" i="26"/>
  <c r="EK527" i="26"/>
  <c r="EJ527" i="26"/>
  <c r="EI527" i="26"/>
  <c r="EL526" i="26"/>
  <c r="EK526" i="26"/>
  <c r="EJ526" i="26"/>
  <c r="EI526" i="26"/>
  <c r="EL525" i="26"/>
  <c r="EK525" i="26"/>
  <c r="EJ525" i="26"/>
  <c r="EI525" i="26"/>
  <c r="EL524" i="26"/>
  <c r="EK524" i="26"/>
  <c r="EJ524" i="26"/>
  <c r="EI524" i="26"/>
  <c r="EL523" i="26"/>
  <c r="EK523" i="26"/>
  <c r="EJ523" i="26"/>
  <c r="EI523" i="26"/>
  <c r="EL522" i="26"/>
  <c r="EK522" i="26"/>
  <c r="EJ522" i="26"/>
  <c r="EI522" i="26"/>
  <c r="EL521" i="26"/>
  <c r="EK521" i="26"/>
  <c r="EJ521" i="26"/>
  <c r="EI521" i="26"/>
  <c r="EL520" i="26"/>
  <c r="EK520" i="26"/>
  <c r="EJ520" i="26"/>
  <c r="EI520" i="26"/>
  <c r="EL519" i="26"/>
  <c r="EK519" i="26"/>
  <c r="EJ519" i="26"/>
  <c r="EI519" i="26"/>
  <c r="EL518" i="26"/>
  <c r="EK518" i="26"/>
  <c r="EJ518" i="26"/>
  <c r="EI518" i="26"/>
  <c r="EL517" i="26"/>
  <c r="EK517" i="26"/>
  <c r="EJ517" i="26"/>
  <c r="EI517" i="26"/>
  <c r="EL516" i="26"/>
  <c r="EK516" i="26"/>
  <c r="EJ516" i="26"/>
  <c r="EI516" i="26"/>
  <c r="EL515" i="26"/>
  <c r="EK515" i="26"/>
  <c r="EJ515" i="26"/>
  <c r="EI515" i="26"/>
  <c r="EL514" i="26"/>
  <c r="EK514" i="26"/>
  <c r="EJ514" i="26"/>
  <c r="EI514" i="26"/>
  <c r="EL513" i="26"/>
  <c r="EK513" i="26"/>
  <c r="EJ513" i="26"/>
  <c r="EI513" i="26"/>
  <c r="EL512" i="26"/>
  <c r="EK512" i="26"/>
  <c r="EJ512" i="26"/>
  <c r="EI512" i="26"/>
  <c r="EL511" i="26"/>
  <c r="EK511" i="26"/>
  <c r="EJ511" i="26"/>
  <c r="EI511" i="26"/>
  <c r="EL510" i="26"/>
  <c r="EK510" i="26"/>
  <c r="EJ510" i="26"/>
  <c r="EI510" i="26"/>
  <c r="EL509" i="26"/>
  <c r="EK509" i="26"/>
  <c r="EJ509" i="26"/>
  <c r="EI509" i="26"/>
  <c r="EL508" i="26"/>
  <c r="EK508" i="26"/>
  <c r="EJ508" i="26"/>
  <c r="EI508" i="26"/>
  <c r="EL507" i="26"/>
  <c r="EK507" i="26"/>
  <c r="EJ507" i="26"/>
  <c r="EI507" i="26"/>
  <c r="EL506" i="26"/>
  <c r="EK506" i="26"/>
  <c r="EJ506" i="26"/>
  <c r="EI506" i="26"/>
  <c r="EL505" i="26"/>
  <c r="EK505" i="26"/>
  <c r="EJ505" i="26"/>
  <c r="EI505" i="26"/>
  <c r="EL504" i="26"/>
  <c r="EK504" i="26"/>
  <c r="EJ504" i="26"/>
  <c r="EI504" i="26"/>
  <c r="EL503" i="26"/>
  <c r="EK503" i="26"/>
  <c r="EJ503" i="26"/>
  <c r="EI503" i="26"/>
  <c r="EL502" i="26"/>
  <c r="EK502" i="26"/>
  <c r="EJ502" i="26"/>
  <c r="EI502" i="26"/>
  <c r="EL501" i="26"/>
  <c r="EK501" i="26"/>
  <c r="EJ501" i="26"/>
  <c r="EI501" i="26"/>
  <c r="EL500" i="26"/>
  <c r="EK500" i="26"/>
  <c r="EJ500" i="26"/>
  <c r="EI500" i="26"/>
  <c r="EL499" i="26"/>
  <c r="EK499" i="26"/>
  <c r="EJ499" i="26"/>
  <c r="EI499" i="26"/>
  <c r="EL498" i="26"/>
  <c r="EK498" i="26"/>
  <c r="EJ498" i="26"/>
  <c r="EI498" i="26"/>
  <c r="EL497" i="26"/>
  <c r="EK497" i="26"/>
  <c r="EJ497" i="26"/>
  <c r="EI497" i="26"/>
  <c r="EL496" i="26"/>
  <c r="EK496" i="26"/>
  <c r="EJ496" i="26"/>
  <c r="EI496" i="26"/>
  <c r="EL495" i="26"/>
  <c r="EK495" i="26"/>
  <c r="EJ495" i="26"/>
  <c r="EI495" i="26"/>
  <c r="EL494" i="26"/>
  <c r="EK494" i="26"/>
  <c r="EJ494" i="26"/>
  <c r="EI494" i="26"/>
  <c r="EL493" i="26"/>
  <c r="EK493" i="26"/>
  <c r="EJ493" i="26"/>
  <c r="EI493" i="26"/>
  <c r="EL492" i="26"/>
  <c r="EK492" i="26"/>
  <c r="EJ492" i="26"/>
  <c r="EI492" i="26"/>
  <c r="EL491" i="26"/>
  <c r="EK491" i="26"/>
  <c r="EJ491" i="26"/>
  <c r="EI491" i="26"/>
  <c r="EL490" i="26"/>
  <c r="EK490" i="26"/>
  <c r="EJ490" i="26"/>
  <c r="EI490" i="26"/>
  <c r="EL489" i="26"/>
  <c r="EK489" i="26"/>
  <c r="EJ489" i="26"/>
  <c r="EI489" i="26"/>
  <c r="EL488" i="26"/>
  <c r="EK488" i="26"/>
  <c r="EJ488" i="26"/>
  <c r="EI488" i="26"/>
  <c r="EL487" i="26"/>
  <c r="EK487" i="26"/>
  <c r="EJ487" i="26"/>
  <c r="EI487" i="26"/>
  <c r="EL486" i="26"/>
  <c r="EK486" i="26"/>
  <c r="EJ486" i="26"/>
  <c r="EI486" i="26"/>
  <c r="EL485" i="26"/>
  <c r="EK485" i="26"/>
  <c r="EJ485" i="26"/>
  <c r="EI485" i="26"/>
  <c r="EL484" i="26"/>
  <c r="EK484" i="26"/>
  <c r="EJ484" i="26"/>
  <c r="EI484" i="26"/>
  <c r="EL483" i="26"/>
  <c r="EK483" i="26"/>
  <c r="EJ483" i="26"/>
  <c r="EI483" i="26"/>
  <c r="EL482" i="26"/>
  <c r="EK482" i="26"/>
  <c r="EJ482" i="26"/>
  <c r="EI482" i="26"/>
  <c r="EL481" i="26"/>
  <c r="EK481" i="26"/>
  <c r="EJ481" i="26"/>
  <c r="EI481" i="26"/>
  <c r="EL480" i="26"/>
  <c r="EK480" i="26"/>
  <c r="EJ480" i="26"/>
  <c r="EI480" i="26"/>
  <c r="EL479" i="26"/>
  <c r="EK479" i="26"/>
  <c r="EJ479" i="26"/>
  <c r="EI479" i="26"/>
  <c r="EL478" i="26"/>
  <c r="EK478" i="26"/>
  <c r="EJ478" i="26"/>
  <c r="EI478" i="26"/>
  <c r="EL477" i="26"/>
  <c r="EK477" i="26"/>
  <c r="EJ477" i="26"/>
  <c r="EI477" i="26"/>
  <c r="EL476" i="26"/>
  <c r="EK476" i="26"/>
  <c r="EJ476" i="26"/>
  <c r="EI476" i="26"/>
  <c r="EL475" i="26"/>
  <c r="EK475" i="26"/>
  <c r="EJ475" i="26"/>
  <c r="EI475" i="26"/>
  <c r="EL474" i="26"/>
  <c r="EK474" i="26"/>
  <c r="EJ474" i="26"/>
  <c r="EI474" i="26"/>
  <c r="EL473" i="26"/>
  <c r="EK473" i="26"/>
  <c r="EJ473" i="26"/>
  <c r="EI473" i="26"/>
  <c r="EL472" i="26"/>
  <c r="EK472" i="26"/>
  <c r="EJ472" i="26"/>
  <c r="EI472" i="26"/>
  <c r="EL471" i="26"/>
  <c r="EK471" i="26"/>
  <c r="EJ471" i="26"/>
  <c r="EI471" i="26"/>
  <c r="EL470" i="26"/>
  <c r="EK470" i="26"/>
  <c r="EJ470" i="26"/>
  <c r="EI470" i="26"/>
  <c r="EL469" i="26"/>
  <c r="EK469" i="26"/>
  <c r="EJ469" i="26"/>
  <c r="EI469" i="26"/>
  <c r="EL468" i="26"/>
  <c r="EK468" i="26"/>
  <c r="EJ468" i="26"/>
  <c r="EI468" i="26"/>
  <c r="EL467" i="26"/>
  <c r="EK467" i="26"/>
  <c r="EJ467" i="26"/>
  <c r="EI467" i="26"/>
  <c r="EL466" i="26"/>
  <c r="EK466" i="26"/>
  <c r="EJ466" i="26"/>
  <c r="EI466" i="26"/>
  <c r="EL465" i="26"/>
  <c r="EK465" i="26"/>
  <c r="EJ465" i="26"/>
  <c r="EI465" i="26"/>
  <c r="EL464" i="26"/>
  <c r="EK464" i="26"/>
  <c r="EJ464" i="26"/>
  <c r="EI464" i="26"/>
  <c r="EL463" i="26"/>
  <c r="EK463" i="26"/>
  <c r="EJ463" i="26"/>
  <c r="EI463" i="26"/>
  <c r="EL462" i="26"/>
  <c r="EK462" i="26"/>
  <c r="EJ462" i="26"/>
  <c r="EI462" i="26"/>
  <c r="EL461" i="26"/>
  <c r="EK461" i="26"/>
  <c r="EJ461" i="26"/>
  <c r="EI461" i="26"/>
  <c r="EL460" i="26"/>
  <c r="EK460" i="26"/>
  <c r="EJ460" i="26"/>
  <c r="EI460" i="26"/>
  <c r="EL459" i="26"/>
  <c r="EK459" i="26"/>
  <c r="EJ459" i="26"/>
  <c r="EI459" i="26"/>
  <c r="EL458" i="26"/>
  <c r="EK458" i="26"/>
  <c r="EJ458" i="26"/>
  <c r="EI458" i="26"/>
  <c r="EL457" i="26"/>
  <c r="EK457" i="26"/>
  <c r="EJ457" i="26"/>
  <c r="EI457" i="26"/>
  <c r="EL456" i="26"/>
  <c r="EK456" i="26"/>
  <c r="EJ456" i="26"/>
  <c r="EI456" i="26"/>
  <c r="EL455" i="26"/>
  <c r="EK455" i="26"/>
  <c r="EJ455" i="26"/>
  <c r="EI455" i="26"/>
  <c r="EL454" i="26"/>
  <c r="EK454" i="26"/>
  <c r="EJ454" i="26"/>
  <c r="EI454" i="26"/>
  <c r="EL453" i="26"/>
  <c r="EK453" i="26"/>
  <c r="EJ453" i="26"/>
  <c r="EI453" i="26"/>
  <c r="EL452" i="26"/>
  <c r="EK452" i="26"/>
  <c r="EJ452" i="26"/>
  <c r="EI452" i="26"/>
  <c r="EL451" i="26"/>
  <c r="EK451" i="26"/>
  <c r="EJ451" i="26"/>
  <c r="EI451" i="26"/>
  <c r="EL450" i="26"/>
  <c r="EK450" i="26"/>
  <c r="EJ450" i="26"/>
  <c r="EI450" i="26"/>
  <c r="EL449" i="26"/>
  <c r="EK449" i="26"/>
  <c r="EJ449" i="26"/>
  <c r="EI449" i="26"/>
  <c r="EL448" i="26"/>
  <c r="EK448" i="26"/>
  <c r="EJ448" i="26"/>
  <c r="EI448" i="26"/>
  <c r="EL447" i="26"/>
  <c r="EK447" i="26"/>
  <c r="EJ447" i="26"/>
  <c r="EI447" i="26"/>
  <c r="EL446" i="26"/>
  <c r="EK446" i="26"/>
  <c r="EJ446" i="26"/>
  <c r="EI446" i="26"/>
  <c r="EL445" i="26"/>
  <c r="EK445" i="26"/>
  <c r="EJ445" i="26"/>
  <c r="EI445" i="26"/>
  <c r="EL444" i="26"/>
  <c r="EK444" i="26"/>
  <c r="EJ444" i="26"/>
  <c r="EI444" i="26"/>
  <c r="EL443" i="26"/>
  <c r="EK443" i="26"/>
  <c r="EJ443" i="26"/>
  <c r="EI443" i="26"/>
  <c r="EL442" i="26"/>
  <c r="EK442" i="26"/>
  <c r="EJ442" i="26"/>
  <c r="EI442" i="26"/>
  <c r="EL441" i="26"/>
  <c r="EK441" i="26"/>
  <c r="EJ441" i="26"/>
  <c r="EI441" i="26"/>
  <c r="EL440" i="26"/>
  <c r="EK440" i="26"/>
  <c r="EJ440" i="26"/>
  <c r="EI440" i="26"/>
  <c r="EL439" i="26"/>
  <c r="EK439" i="26"/>
  <c r="EJ439" i="26"/>
  <c r="EI439" i="26"/>
  <c r="EL438" i="26"/>
  <c r="EK438" i="26"/>
  <c r="EJ438" i="26"/>
  <c r="EI438" i="26"/>
  <c r="EL437" i="26"/>
  <c r="EK437" i="26"/>
  <c r="EJ437" i="26"/>
  <c r="EI437" i="26"/>
  <c r="EL436" i="26"/>
  <c r="EK436" i="26"/>
  <c r="EJ436" i="26"/>
  <c r="EI436" i="26"/>
  <c r="EL435" i="26"/>
  <c r="EK435" i="26"/>
  <c r="EJ435" i="26"/>
  <c r="EI435" i="26"/>
  <c r="EL434" i="26"/>
  <c r="EK434" i="26"/>
  <c r="EJ434" i="26"/>
  <c r="EI434" i="26"/>
  <c r="EL433" i="26"/>
  <c r="EK433" i="26"/>
  <c r="EJ433" i="26"/>
  <c r="EI433" i="26"/>
  <c r="EL432" i="26"/>
  <c r="EK432" i="26"/>
  <c r="EJ432" i="26"/>
  <c r="EI432" i="26"/>
  <c r="EL431" i="26"/>
  <c r="EK431" i="26"/>
  <c r="EJ431" i="26"/>
  <c r="EI431" i="26"/>
  <c r="EL430" i="26"/>
  <c r="EK430" i="26"/>
  <c r="EJ430" i="26"/>
  <c r="EI430" i="26"/>
  <c r="EL429" i="26"/>
  <c r="EK429" i="26"/>
  <c r="EJ429" i="26"/>
  <c r="EI429" i="26"/>
  <c r="EL428" i="26"/>
  <c r="EK428" i="26"/>
  <c r="EJ428" i="26"/>
  <c r="EI428" i="26"/>
  <c r="EL427" i="26"/>
  <c r="EK427" i="26"/>
  <c r="EJ427" i="26"/>
  <c r="EI427" i="26"/>
  <c r="EL426" i="26"/>
  <c r="EK426" i="26"/>
  <c r="EJ426" i="26"/>
  <c r="EI426" i="26"/>
  <c r="EL425" i="26"/>
  <c r="EK425" i="26"/>
  <c r="EJ425" i="26"/>
  <c r="EI425" i="26"/>
  <c r="EL424" i="26"/>
  <c r="EK424" i="26"/>
  <c r="EJ424" i="26"/>
  <c r="EI424" i="26"/>
  <c r="EL423" i="26"/>
  <c r="EK423" i="26"/>
  <c r="EJ423" i="26"/>
  <c r="EI423" i="26"/>
  <c r="EL422" i="26"/>
  <c r="EK422" i="26"/>
  <c r="EJ422" i="26"/>
  <c r="EI422" i="26"/>
  <c r="EL421" i="26"/>
  <c r="EK421" i="26"/>
  <c r="EJ421" i="26"/>
  <c r="EI421" i="26"/>
  <c r="EL420" i="26"/>
  <c r="EK420" i="26"/>
  <c r="EJ420" i="26"/>
  <c r="EI420" i="26"/>
  <c r="EL419" i="26"/>
  <c r="EK419" i="26"/>
  <c r="EJ419" i="26"/>
  <c r="EI419" i="26"/>
  <c r="EL418" i="26"/>
  <c r="EK418" i="26"/>
  <c r="EJ418" i="26"/>
  <c r="EI418" i="26"/>
  <c r="EL417" i="26"/>
  <c r="EK417" i="26"/>
  <c r="EJ417" i="26"/>
  <c r="EI417" i="26"/>
  <c r="EL416" i="26"/>
  <c r="EK416" i="26"/>
  <c r="EJ416" i="26"/>
  <c r="EI416" i="26"/>
  <c r="EL415" i="26"/>
  <c r="EK415" i="26"/>
  <c r="EJ415" i="26"/>
  <c r="EI415" i="26"/>
  <c r="EL414" i="26"/>
  <c r="EK414" i="26"/>
  <c r="EJ414" i="26"/>
  <c r="EI414" i="26"/>
  <c r="EL413" i="26"/>
  <c r="EK413" i="26"/>
  <c r="EJ413" i="26"/>
  <c r="EI413" i="26"/>
  <c r="EL412" i="26"/>
  <c r="EK412" i="26"/>
  <c r="EJ412" i="26"/>
  <c r="EI412" i="26"/>
  <c r="EL411" i="26"/>
  <c r="EK411" i="26"/>
  <c r="EJ411" i="26"/>
  <c r="EI411" i="26"/>
  <c r="EL410" i="26"/>
  <c r="EK410" i="26"/>
  <c r="EJ410" i="26"/>
  <c r="EI410" i="26"/>
  <c r="EL409" i="26"/>
  <c r="EK409" i="26"/>
  <c r="EJ409" i="26"/>
  <c r="EI409" i="26"/>
  <c r="EL408" i="26"/>
  <c r="EK408" i="26"/>
  <c r="EJ408" i="26"/>
  <c r="EI408" i="26"/>
  <c r="EL407" i="26"/>
  <c r="EK407" i="26"/>
  <c r="EJ407" i="26"/>
  <c r="EI407" i="26"/>
  <c r="EL406" i="26"/>
  <c r="EK406" i="26"/>
  <c r="EJ406" i="26"/>
  <c r="EI406" i="26"/>
  <c r="EL405" i="26"/>
  <c r="EK405" i="26"/>
  <c r="EJ405" i="26"/>
  <c r="EI405" i="26"/>
  <c r="EL404" i="26"/>
  <c r="EK404" i="26"/>
  <c r="EJ404" i="26"/>
  <c r="EI404" i="26"/>
  <c r="EL403" i="26"/>
  <c r="EK403" i="26"/>
  <c r="EJ403" i="26"/>
  <c r="EI403" i="26"/>
  <c r="EL402" i="26"/>
  <c r="EK402" i="26"/>
  <c r="EJ402" i="26"/>
  <c r="EI402" i="26"/>
  <c r="EL401" i="26"/>
  <c r="EK401" i="26"/>
  <c r="EJ401" i="26"/>
  <c r="EI401" i="26"/>
  <c r="EL400" i="26"/>
  <c r="EK400" i="26"/>
  <c r="EJ400" i="26"/>
  <c r="EI400" i="26"/>
  <c r="EL399" i="26"/>
  <c r="EK399" i="26"/>
  <c r="EJ399" i="26"/>
  <c r="EI399" i="26"/>
  <c r="EL398" i="26"/>
  <c r="EK398" i="26"/>
  <c r="EJ398" i="26"/>
  <c r="EI398" i="26"/>
  <c r="EL397" i="26"/>
  <c r="EK397" i="26"/>
  <c r="EJ397" i="26"/>
  <c r="EI397" i="26"/>
  <c r="EL396" i="26"/>
  <c r="EK396" i="26"/>
  <c r="EJ396" i="26"/>
  <c r="EI396" i="26"/>
  <c r="EL395" i="26"/>
  <c r="EK395" i="26"/>
  <c r="EJ395" i="26"/>
  <c r="EI395" i="26"/>
  <c r="EL394" i="26"/>
  <c r="EK394" i="26"/>
  <c r="EJ394" i="26"/>
  <c r="EI394" i="26"/>
  <c r="EL393" i="26"/>
  <c r="EK393" i="26"/>
  <c r="EJ393" i="26"/>
  <c r="EI393" i="26"/>
  <c r="EL392" i="26"/>
  <c r="EK392" i="26"/>
  <c r="EJ392" i="26"/>
  <c r="EI392" i="26"/>
  <c r="EL391" i="26"/>
  <c r="EK391" i="26"/>
  <c r="EJ391" i="26"/>
  <c r="EI391" i="26"/>
  <c r="EL390" i="26"/>
  <c r="EK390" i="26"/>
  <c r="EJ390" i="26"/>
  <c r="EI390" i="26"/>
  <c r="EL389" i="26"/>
  <c r="EK389" i="26"/>
  <c r="EJ389" i="26"/>
  <c r="EI389" i="26"/>
  <c r="EL388" i="26"/>
  <c r="EK388" i="26"/>
  <c r="EJ388" i="26"/>
  <c r="EI388" i="26"/>
  <c r="EL387" i="26"/>
  <c r="EK387" i="26"/>
  <c r="EJ387" i="26"/>
  <c r="EI387" i="26"/>
  <c r="EL386" i="26"/>
  <c r="EK386" i="26"/>
  <c r="EJ386" i="26"/>
  <c r="EI386" i="26"/>
  <c r="EL385" i="26"/>
  <c r="EK385" i="26"/>
  <c r="EJ385" i="26"/>
  <c r="EI385" i="26"/>
  <c r="EL384" i="26"/>
  <c r="EK384" i="26"/>
  <c r="EJ384" i="26"/>
  <c r="EI384" i="26"/>
  <c r="EL383" i="26"/>
  <c r="EK383" i="26"/>
  <c r="EJ383" i="26"/>
  <c r="EI383" i="26"/>
  <c r="EL382" i="26"/>
  <c r="EK382" i="26"/>
  <c r="EJ382" i="26"/>
  <c r="EI382" i="26"/>
  <c r="EL381" i="26"/>
  <c r="EK381" i="26"/>
  <c r="EJ381" i="26"/>
  <c r="EI381" i="26"/>
  <c r="EL380" i="26"/>
  <c r="EK380" i="26"/>
  <c r="EJ380" i="26"/>
  <c r="EI380" i="26"/>
  <c r="EL379" i="26"/>
  <c r="EK379" i="26"/>
  <c r="EJ379" i="26"/>
  <c r="EI379" i="26"/>
  <c r="EL378" i="26"/>
  <c r="EK378" i="26"/>
  <c r="EJ378" i="26"/>
  <c r="EI378" i="26"/>
  <c r="EL377" i="26"/>
  <c r="EK377" i="26"/>
  <c r="EJ377" i="26"/>
  <c r="EI377" i="26"/>
  <c r="EL376" i="26"/>
  <c r="EK376" i="26"/>
  <c r="EJ376" i="26"/>
  <c r="EI376" i="26"/>
  <c r="EL375" i="26"/>
  <c r="EK375" i="26"/>
  <c r="EJ375" i="26"/>
  <c r="EI375" i="26"/>
  <c r="EL374" i="26"/>
  <c r="EK374" i="26"/>
  <c r="EJ374" i="26"/>
  <c r="EI374" i="26"/>
  <c r="EL373" i="26"/>
  <c r="EK373" i="26"/>
  <c r="EJ373" i="26"/>
  <c r="EI373" i="26"/>
  <c r="EL372" i="26"/>
  <c r="EK372" i="26"/>
  <c r="EJ372" i="26"/>
  <c r="EI372" i="26"/>
  <c r="EL371" i="26"/>
  <c r="EK371" i="26"/>
  <c r="EJ371" i="26"/>
  <c r="EI371" i="26"/>
  <c r="EL370" i="26"/>
  <c r="EK370" i="26"/>
  <c r="EJ370" i="26"/>
  <c r="EI370" i="26"/>
  <c r="EL369" i="26"/>
  <c r="EK369" i="26"/>
  <c r="EJ369" i="26"/>
  <c r="EI369" i="26"/>
  <c r="EL368" i="26"/>
  <c r="EK368" i="26"/>
  <c r="EJ368" i="26"/>
  <c r="EI368" i="26"/>
  <c r="EL367" i="26"/>
  <c r="EK367" i="26"/>
  <c r="EJ367" i="26"/>
  <c r="EI367" i="26"/>
  <c r="EL366" i="26"/>
  <c r="EK366" i="26"/>
  <c r="EJ366" i="26"/>
  <c r="EI366" i="26"/>
  <c r="EL365" i="26"/>
  <c r="EK365" i="26"/>
  <c r="EJ365" i="26"/>
  <c r="EI365" i="26"/>
  <c r="EL364" i="26"/>
  <c r="EK364" i="26"/>
  <c r="EJ364" i="26"/>
  <c r="EI364" i="26"/>
  <c r="EL363" i="26"/>
  <c r="EK363" i="26"/>
  <c r="EJ363" i="26"/>
  <c r="EI363" i="26"/>
  <c r="EL362" i="26"/>
  <c r="EK362" i="26"/>
  <c r="EJ362" i="26"/>
  <c r="EI362" i="26"/>
  <c r="EL361" i="26"/>
  <c r="EK361" i="26"/>
  <c r="EJ361" i="26"/>
  <c r="EI361" i="26"/>
  <c r="EL360" i="26"/>
  <c r="EK360" i="26"/>
  <c r="EJ360" i="26"/>
  <c r="EI360" i="26"/>
  <c r="EL359" i="26"/>
  <c r="EK359" i="26"/>
  <c r="EJ359" i="26"/>
  <c r="EI359" i="26"/>
  <c r="EL358" i="26"/>
  <c r="EK358" i="26"/>
  <c r="EJ358" i="26"/>
  <c r="EI358" i="26"/>
  <c r="EL357" i="26"/>
  <c r="EK357" i="26"/>
  <c r="EJ357" i="26"/>
  <c r="EI357" i="26"/>
  <c r="EL356" i="26"/>
  <c r="EK356" i="26"/>
  <c r="EJ356" i="26"/>
  <c r="EI356" i="26"/>
  <c r="EL355" i="26"/>
  <c r="EK355" i="26"/>
  <c r="EJ355" i="26"/>
  <c r="EI355" i="26"/>
  <c r="EL354" i="26"/>
  <c r="EK354" i="26"/>
  <c r="EJ354" i="26"/>
  <c r="EI354" i="26"/>
  <c r="EL353" i="26"/>
  <c r="EK353" i="26"/>
  <c r="EJ353" i="26"/>
  <c r="EI353" i="26"/>
  <c r="EL352" i="26"/>
  <c r="EK352" i="26"/>
  <c r="EJ352" i="26"/>
  <c r="EI352" i="26"/>
  <c r="EL351" i="26"/>
  <c r="EK351" i="26"/>
  <c r="EJ351" i="26"/>
  <c r="EI351" i="26"/>
  <c r="EL350" i="26"/>
  <c r="EK350" i="26"/>
  <c r="EJ350" i="26"/>
  <c r="EI350" i="26"/>
  <c r="EL349" i="26"/>
  <c r="EK349" i="26"/>
  <c r="EJ349" i="26"/>
  <c r="EI349" i="26"/>
  <c r="EL348" i="26"/>
  <c r="EK348" i="26"/>
  <c r="EJ348" i="26"/>
  <c r="EI348" i="26"/>
  <c r="EL347" i="26"/>
  <c r="EK347" i="26"/>
  <c r="EJ347" i="26"/>
  <c r="EI347" i="26"/>
  <c r="EL346" i="26"/>
  <c r="EK346" i="26"/>
  <c r="EJ346" i="26"/>
  <c r="EI346" i="26"/>
  <c r="EL345" i="26"/>
  <c r="EK345" i="26"/>
  <c r="EJ345" i="26"/>
  <c r="EI345" i="26"/>
  <c r="EL344" i="26"/>
  <c r="EK344" i="26"/>
  <c r="EJ344" i="26"/>
  <c r="EI344" i="26"/>
  <c r="EL343" i="26"/>
  <c r="EK343" i="26"/>
  <c r="EJ343" i="26"/>
  <c r="EI343" i="26"/>
  <c r="EL342" i="26"/>
  <c r="EK342" i="26"/>
  <c r="EJ342" i="26"/>
  <c r="EI342" i="26"/>
  <c r="EL341" i="26"/>
  <c r="EK341" i="26"/>
  <c r="EJ341" i="26"/>
  <c r="EI341" i="26"/>
  <c r="EL340" i="26"/>
  <c r="EK340" i="26"/>
  <c r="EJ340" i="26"/>
  <c r="EI340" i="26"/>
  <c r="EL339" i="26"/>
  <c r="EK339" i="26"/>
  <c r="EJ339" i="26"/>
  <c r="EI339" i="26"/>
  <c r="EL338" i="26"/>
  <c r="EK338" i="26"/>
  <c r="EJ338" i="26"/>
  <c r="EI338" i="26"/>
  <c r="EL337" i="26"/>
  <c r="EK337" i="26"/>
  <c r="EJ337" i="26"/>
  <c r="EI337" i="26"/>
  <c r="EL336" i="26"/>
  <c r="EK336" i="26"/>
  <c r="EJ336" i="26"/>
  <c r="EI336" i="26"/>
  <c r="EL335" i="26"/>
  <c r="EK335" i="26"/>
  <c r="EJ335" i="26"/>
  <c r="EI335" i="26"/>
  <c r="EL334" i="26"/>
  <c r="EK334" i="26"/>
  <c r="EJ334" i="26"/>
  <c r="EI334" i="26"/>
  <c r="EL333" i="26"/>
  <c r="EK333" i="26"/>
  <c r="EJ333" i="26"/>
  <c r="EI333" i="26"/>
  <c r="EL332" i="26"/>
  <c r="EK332" i="26"/>
  <c r="EJ332" i="26"/>
  <c r="EI332" i="26"/>
  <c r="EL331" i="26"/>
  <c r="EK331" i="26"/>
  <c r="EJ331" i="26"/>
  <c r="EI331" i="26"/>
  <c r="EL330" i="26"/>
  <c r="EK330" i="26"/>
  <c r="EJ330" i="26"/>
  <c r="EI330" i="26"/>
  <c r="EL329" i="26"/>
  <c r="EK329" i="26"/>
  <c r="EJ329" i="26"/>
  <c r="EI329" i="26"/>
  <c r="EL328" i="26"/>
  <c r="EK328" i="26"/>
  <c r="EJ328" i="26"/>
  <c r="EI328" i="26"/>
  <c r="EL327" i="26"/>
  <c r="EK327" i="26"/>
  <c r="EJ327" i="26"/>
  <c r="EI327" i="26"/>
  <c r="EL326" i="26"/>
  <c r="EK326" i="26"/>
  <c r="EJ326" i="26"/>
  <c r="EI326" i="26"/>
  <c r="EL325" i="26"/>
  <c r="EK325" i="26"/>
  <c r="EJ325" i="26"/>
  <c r="EI325" i="26"/>
  <c r="EL324" i="26"/>
  <c r="EK324" i="26"/>
  <c r="EJ324" i="26"/>
  <c r="EI324" i="26"/>
  <c r="EL323" i="26"/>
  <c r="EK323" i="26"/>
  <c r="EJ323" i="26"/>
  <c r="EI323" i="26"/>
  <c r="EL322" i="26"/>
  <c r="EK322" i="26"/>
  <c r="EJ322" i="26"/>
  <c r="EI322" i="26"/>
  <c r="EL321" i="26"/>
  <c r="EK321" i="26"/>
  <c r="EJ321" i="26"/>
  <c r="EI321" i="26"/>
  <c r="EL320" i="26"/>
  <c r="EK320" i="26"/>
  <c r="EJ320" i="26"/>
  <c r="EI320" i="26"/>
  <c r="EL319" i="26"/>
  <c r="EK319" i="26"/>
  <c r="EJ319" i="26"/>
  <c r="EI319" i="26"/>
  <c r="EL318" i="26"/>
  <c r="EK318" i="26"/>
  <c r="EJ318" i="26"/>
  <c r="EI318" i="26"/>
  <c r="EL317" i="26"/>
  <c r="EK317" i="26"/>
  <c r="EJ317" i="26"/>
  <c r="EI317" i="26"/>
  <c r="EL316" i="26"/>
  <c r="EK316" i="26"/>
  <c r="EJ316" i="26"/>
  <c r="EI316" i="26"/>
  <c r="EL315" i="26"/>
  <c r="EK315" i="26"/>
  <c r="EJ315" i="26"/>
  <c r="EI315" i="26"/>
  <c r="EL314" i="26"/>
  <c r="EK314" i="26"/>
  <c r="EJ314" i="26"/>
  <c r="EI314" i="26"/>
  <c r="EL313" i="26"/>
  <c r="EK313" i="26"/>
  <c r="EJ313" i="26"/>
  <c r="EI313" i="26"/>
  <c r="EL312" i="26"/>
  <c r="EK312" i="26"/>
  <c r="EJ312" i="26"/>
  <c r="EI312" i="26"/>
  <c r="EL311" i="26"/>
  <c r="EK311" i="26"/>
  <c r="EJ311" i="26"/>
  <c r="EI311" i="26"/>
  <c r="EL310" i="26"/>
  <c r="EK310" i="26"/>
  <c r="EJ310" i="26"/>
  <c r="EI310" i="26"/>
  <c r="EL309" i="26"/>
  <c r="EK309" i="26"/>
  <c r="EJ309" i="26"/>
  <c r="EI309" i="26"/>
  <c r="EL308" i="26"/>
  <c r="EK308" i="26"/>
  <c r="EJ308" i="26"/>
  <c r="EI308" i="26"/>
  <c r="EL307" i="26"/>
  <c r="EK307" i="26"/>
  <c r="EJ307" i="26"/>
  <c r="EI307" i="26"/>
  <c r="EL306" i="26"/>
  <c r="EK306" i="26"/>
  <c r="EJ306" i="26"/>
  <c r="EI306" i="26"/>
  <c r="EL305" i="26"/>
  <c r="EK305" i="26"/>
  <c r="EJ305" i="26"/>
  <c r="EI305" i="26"/>
  <c r="EL304" i="26"/>
  <c r="EK304" i="26"/>
  <c r="EJ304" i="26"/>
  <c r="EI304" i="26"/>
  <c r="EL303" i="26"/>
  <c r="EK303" i="26"/>
  <c r="EJ303" i="26"/>
  <c r="EI303" i="26"/>
  <c r="EL302" i="26"/>
  <c r="EK302" i="26"/>
  <c r="EJ302" i="26"/>
  <c r="EI302" i="26"/>
  <c r="EL301" i="26"/>
  <c r="EK301" i="26"/>
  <c r="EJ301" i="26"/>
  <c r="EI301" i="26"/>
  <c r="EL300" i="26"/>
  <c r="EK300" i="26"/>
  <c r="EJ300" i="26"/>
  <c r="EI300" i="26"/>
  <c r="EL299" i="26"/>
  <c r="EK299" i="26"/>
  <c r="EJ299" i="26"/>
  <c r="EI299" i="26"/>
  <c r="EL298" i="26"/>
  <c r="EK298" i="26"/>
  <c r="EJ298" i="26"/>
  <c r="EI298" i="26"/>
  <c r="EL297" i="26"/>
  <c r="EK297" i="26"/>
  <c r="EJ297" i="26"/>
  <c r="EI297" i="26"/>
  <c r="EL296" i="26"/>
  <c r="EK296" i="26"/>
  <c r="EJ296" i="26"/>
  <c r="EI296" i="26"/>
  <c r="EL295" i="26"/>
  <c r="EK295" i="26"/>
  <c r="EJ295" i="26"/>
  <c r="EI295" i="26"/>
  <c r="EL294" i="26"/>
  <c r="EK294" i="26"/>
  <c r="EJ294" i="26"/>
  <c r="EI294" i="26"/>
  <c r="EL293" i="26"/>
  <c r="EK293" i="26"/>
  <c r="EJ293" i="26"/>
  <c r="EI293" i="26"/>
  <c r="EL292" i="26"/>
  <c r="EK292" i="26"/>
  <c r="EJ292" i="26"/>
  <c r="EI292" i="26"/>
  <c r="EL291" i="26"/>
  <c r="EK291" i="26"/>
  <c r="EJ291" i="26"/>
  <c r="EI291" i="26"/>
  <c r="EL290" i="26"/>
  <c r="EK290" i="26"/>
  <c r="EJ290" i="26"/>
  <c r="EI290" i="26"/>
  <c r="EL289" i="26"/>
  <c r="EK289" i="26"/>
  <c r="EJ289" i="26"/>
  <c r="EI289" i="26"/>
  <c r="EL288" i="26"/>
  <c r="EK288" i="26"/>
  <c r="EJ288" i="26"/>
  <c r="EI288" i="26"/>
  <c r="EL287" i="26"/>
  <c r="EK287" i="26"/>
  <c r="EJ287" i="26"/>
  <c r="EI287" i="26"/>
  <c r="EL286" i="26"/>
  <c r="EK286" i="26"/>
  <c r="EJ286" i="26"/>
  <c r="EI286" i="26"/>
  <c r="EL285" i="26"/>
  <c r="EK285" i="26"/>
  <c r="EJ285" i="26"/>
  <c r="EI285" i="26"/>
  <c r="EL284" i="26"/>
  <c r="EK284" i="26"/>
  <c r="EJ284" i="26"/>
  <c r="EI284" i="26"/>
  <c r="EL283" i="26"/>
  <c r="EK283" i="26"/>
  <c r="EJ283" i="26"/>
  <c r="EI283" i="26"/>
  <c r="EL282" i="26"/>
  <c r="EK282" i="26"/>
  <c r="EJ282" i="26"/>
  <c r="EI282" i="26"/>
  <c r="EL281" i="26"/>
  <c r="EK281" i="26"/>
  <c r="EJ281" i="26"/>
  <c r="EI281" i="26"/>
  <c r="EL280" i="26"/>
  <c r="EK280" i="26"/>
  <c r="EJ280" i="26"/>
  <c r="EI280" i="26"/>
  <c r="EL279" i="26"/>
  <c r="EK279" i="26"/>
  <c r="EJ279" i="26"/>
  <c r="EI279" i="26"/>
  <c r="EL278" i="26"/>
  <c r="EK278" i="26"/>
  <c r="EJ278" i="26"/>
  <c r="EI278" i="26"/>
  <c r="EL277" i="26"/>
  <c r="EK277" i="26"/>
  <c r="EJ277" i="26"/>
  <c r="EI277" i="26"/>
  <c r="EL276" i="26"/>
  <c r="EK276" i="26"/>
  <c r="EJ276" i="26"/>
  <c r="EI276" i="26"/>
  <c r="EL275" i="26"/>
  <c r="EK275" i="26"/>
  <c r="EJ275" i="26"/>
  <c r="EI275" i="26"/>
  <c r="EL274" i="26"/>
  <c r="EK274" i="26"/>
  <c r="EJ274" i="26"/>
  <c r="EI274" i="26"/>
  <c r="EL273" i="26"/>
  <c r="EK273" i="26"/>
  <c r="EJ273" i="26"/>
  <c r="EI273" i="26"/>
  <c r="EL272" i="26"/>
  <c r="EK272" i="26"/>
  <c r="EJ272" i="26"/>
  <c r="EI272" i="26"/>
  <c r="EL271" i="26"/>
  <c r="EK271" i="26"/>
  <c r="EJ271" i="26"/>
  <c r="EI271" i="26"/>
  <c r="EL270" i="26"/>
  <c r="EK270" i="26"/>
  <c r="EJ270" i="26"/>
  <c r="EI270" i="26"/>
  <c r="EL269" i="26"/>
  <c r="EK269" i="26"/>
  <c r="EJ269" i="26"/>
  <c r="EI269" i="26"/>
  <c r="EL268" i="26"/>
  <c r="EK268" i="26"/>
  <c r="EJ268" i="26"/>
  <c r="EI268" i="26"/>
  <c r="EL267" i="26"/>
  <c r="EK267" i="26"/>
  <c r="EJ267" i="26"/>
  <c r="EI267" i="26"/>
  <c r="EL266" i="26"/>
  <c r="EK266" i="26"/>
  <c r="EJ266" i="26"/>
  <c r="EI266" i="26"/>
  <c r="EL265" i="26"/>
  <c r="EK265" i="26"/>
  <c r="EJ265" i="26"/>
  <c r="EI265" i="26"/>
  <c r="EL264" i="26"/>
  <c r="EK264" i="26"/>
  <c r="EJ264" i="26"/>
  <c r="EI264" i="26"/>
  <c r="EL263" i="26"/>
  <c r="EK263" i="26"/>
  <c r="EJ263" i="26"/>
  <c r="EI263" i="26"/>
  <c r="EL262" i="26"/>
  <c r="EK262" i="26"/>
  <c r="EJ262" i="26"/>
  <c r="EI262" i="26"/>
  <c r="EL261" i="26"/>
  <c r="EK261" i="26"/>
  <c r="EJ261" i="26"/>
  <c r="EI261" i="26"/>
  <c r="EL260" i="26"/>
  <c r="EK260" i="26"/>
  <c r="EJ260" i="26"/>
  <c r="EI260" i="26"/>
  <c r="EL259" i="26"/>
  <c r="EK259" i="26"/>
  <c r="EJ259" i="26"/>
  <c r="EI259" i="26"/>
  <c r="EL258" i="26"/>
  <c r="EK258" i="26"/>
  <c r="EJ258" i="26"/>
  <c r="EI258" i="26"/>
  <c r="EL257" i="26"/>
  <c r="EK257" i="26"/>
  <c r="EJ257" i="26"/>
  <c r="EI257" i="26"/>
  <c r="EL256" i="26"/>
  <c r="EK256" i="26"/>
  <c r="EJ256" i="26"/>
  <c r="EI256" i="26"/>
  <c r="EL255" i="26"/>
  <c r="EK255" i="26"/>
  <c r="EJ255" i="26"/>
  <c r="EI255" i="26"/>
  <c r="EL254" i="26"/>
  <c r="EK254" i="26"/>
  <c r="EJ254" i="26"/>
  <c r="EI254" i="26"/>
  <c r="EL253" i="26"/>
  <c r="EK253" i="26"/>
  <c r="EJ253" i="26"/>
  <c r="EI253" i="26"/>
  <c r="EL252" i="26"/>
  <c r="EK252" i="26"/>
  <c r="EJ252" i="26"/>
  <c r="EI252" i="26"/>
  <c r="EL251" i="26"/>
  <c r="EK251" i="26"/>
  <c r="EJ251" i="26"/>
  <c r="EI251" i="26"/>
  <c r="EL250" i="26"/>
  <c r="EK250" i="26"/>
  <c r="EJ250" i="26"/>
  <c r="EI250" i="26"/>
  <c r="EL249" i="26"/>
  <c r="EK249" i="26"/>
  <c r="EJ249" i="26"/>
  <c r="EI249" i="26"/>
  <c r="EL248" i="26"/>
  <c r="EK248" i="26"/>
  <c r="EJ248" i="26"/>
  <c r="EI248" i="26"/>
  <c r="EL247" i="26"/>
  <c r="EK247" i="26"/>
  <c r="EJ247" i="26"/>
  <c r="EI247" i="26"/>
  <c r="EL246" i="26"/>
  <c r="EK246" i="26"/>
  <c r="EJ246" i="26"/>
  <c r="EI246" i="26"/>
  <c r="EL245" i="26"/>
  <c r="EK245" i="26"/>
  <c r="EJ245" i="26"/>
  <c r="EI245" i="26"/>
  <c r="EL244" i="26"/>
  <c r="EK244" i="26"/>
  <c r="EJ244" i="26"/>
  <c r="EI244" i="26"/>
  <c r="EL243" i="26"/>
  <c r="EK243" i="26"/>
  <c r="EJ243" i="26"/>
  <c r="EI243" i="26"/>
  <c r="EL242" i="26"/>
  <c r="EK242" i="26"/>
  <c r="EJ242" i="26"/>
  <c r="EI242" i="26"/>
  <c r="EL241" i="26"/>
  <c r="EK241" i="26"/>
  <c r="EJ241" i="26"/>
  <c r="EI241" i="26"/>
  <c r="EL240" i="26"/>
  <c r="EK240" i="26"/>
  <c r="EJ240" i="26"/>
  <c r="EI240" i="26"/>
  <c r="EL239" i="26"/>
  <c r="EK239" i="26"/>
  <c r="EJ239" i="26"/>
  <c r="EI239" i="26"/>
  <c r="EL238" i="26"/>
  <c r="EK238" i="26"/>
  <c r="EJ238" i="26"/>
  <c r="EI238" i="26"/>
  <c r="EL237" i="26"/>
  <c r="EK237" i="26"/>
  <c r="EJ237" i="26"/>
  <c r="EI237" i="26"/>
  <c r="EL236" i="26"/>
  <c r="EK236" i="26"/>
  <c r="EJ236" i="26"/>
  <c r="EI236" i="26"/>
  <c r="EL235" i="26"/>
  <c r="EK235" i="26"/>
  <c r="EJ235" i="26"/>
  <c r="EI235" i="26"/>
  <c r="EL234" i="26"/>
  <c r="EK234" i="26"/>
  <c r="EJ234" i="26"/>
  <c r="EI234" i="26"/>
  <c r="EL233" i="26"/>
  <c r="EK233" i="26"/>
  <c r="EJ233" i="26"/>
  <c r="EI233" i="26"/>
  <c r="EL232" i="26"/>
  <c r="EK232" i="26"/>
  <c r="EJ232" i="26"/>
  <c r="EI232" i="26"/>
  <c r="EL231" i="26"/>
  <c r="EK231" i="26"/>
  <c r="EJ231" i="26"/>
  <c r="EI231" i="26"/>
  <c r="EL230" i="26"/>
  <c r="EK230" i="26"/>
  <c r="EJ230" i="26"/>
  <c r="EI230" i="26"/>
  <c r="EL229" i="26"/>
  <c r="EK229" i="26"/>
  <c r="EJ229" i="26"/>
  <c r="EI229" i="26"/>
  <c r="EL228" i="26"/>
  <c r="EK228" i="26"/>
  <c r="EJ228" i="26"/>
  <c r="EI228" i="26"/>
  <c r="EL227" i="26"/>
  <c r="EK227" i="26"/>
  <c r="EJ227" i="26"/>
  <c r="EI227" i="26"/>
  <c r="EL226" i="26"/>
  <c r="EK226" i="26"/>
  <c r="EJ226" i="26"/>
  <c r="EI226" i="26"/>
  <c r="EL225" i="26"/>
  <c r="EK225" i="26"/>
  <c r="EJ225" i="26"/>
  <c r="EI225" i="26"/>
  <c r="EL224" i="26"/>
  <c r="EK224" i="26"/>
  <c r="EJ224" i="26"/>
  <c r="EI224" i="26"/>
  <c r="EL223" i="26"/>
  <c r="EK223" i="26"/>
  <c r="EJ223" i="26"/>
  <c r="EI223" i="26"/>
  <c r="EL222" i="26"/>
  <c r="EK222" i="26"/>
  <c r="EJ222" i="26"/>
  <c r="EI222" i="26"/>
  <c r="EL221" i="26"/>
  <c r="EK221" i="26"/>
  <c r="EJ221" i="26"/>
  <c r="EI221" i="26"/>
  <c r="EL220" i="26"/>
  <c r="EK220" i="26"/>
  <c r="EJ220" i="26"/>
  <c r="EI220" i="26"/>
  <c r="EL219" i="26"/>
  <c r="EK219" i="26"/>
  <c r="EJ219" i="26"/>
  <c r="EI219" i="26"/>
  <c r="EL218" i="26"/>
  <c r="EK218" i="26"/>
  <c r="EJ218" i="26"/>
  <c r="EI218" i="26"/>
  <c r="EL217" i="26"/>
  <c r="EK217" i="26"/>
  <c r="EJ217" i="26"/>
  <c r="EI217" i="26"/>
  <c r="EL216" i="26"/>
  <c r="EK216" i="26"/>
  <c r="EJ216" i="26"/>
  <c r="EI216" i="26"/>
  <c r="EL215" i="26"/>
  <c r="EK215" i="26"/>
  <c r="EJ215" i="26"/>
  <c r="EI215" i="26"/>
  <c r="EL214" i="26"/>
  <c r="EK214" i="26"/>
  <c r="EJ214" i="26"/>
  <c r="EI214" i="26"/>
  <c r="EL213" i="26"/>
  <c r="EK213" i="26"/>
  <c r="EJ213" i="26"/>
  <c r="EI213" i="26"/>
  <c r="EL212" i="26"/>
  <c r="EK212" i="26"/>
  <c r="EJ212" i="26"/>
  <c r="EI212" i="26"/>
  <c r="EL211" i="26"/>
  <c r="EK211" i="26"/>
  <c r="EJ211" i="26"/>
  <c r="EI211" i="26"/>
  <c r="EL210" i="26"/>
  <c r="EK210" i="26"/>
  <c r="EJ210" i="26"/>
  <c r="EI210" i="26"/>
  <c r="EL209" i="26"/>
  <c r="EK209" i="26"/>
  <c r="EJ209" i="26"/>
  <c r="EI209" i="26"/>
  <c r="EL208" i="26"/>
  <c r="EK208" i="26"/>
  <c r="EJ208" i="26"/>
  <c r="EI208" i="26"/>
  <c r="EL207" i="26"/>
  <c r="EK207" i="26"/>
  <c r="EJ207" i="26"/>
  <c r="EI207" i="26"/>
  <c r="EL206" i="26"/>
  <c r="EK206" i="26"/>
  <c r="EJ206" i="26"/>
  <c r="EI206" i="26"/>
  <c r="EL205" i="26"/>
  <c r="EK205" i="26"/>
  <c r="EJ205" i="26"/>
  <c r="EI205" i="26"/>
  <c r="EL204" i="26"/>
  <c r="EK204" i="26"/>
  <c r="EJ204" i="26"/>
  <c r="EI204" i="26"/>
  <c r="EL203" i="26"/>
  <c r="EK203" i="26"/>
  <c r="EJ203" i="26"/>
  <c r="EI203" i="26"/>
  <c r="EL202" i="26"/>
  <c r="EK202" i="26"/>
  <c r="EJ202" i="26"/>
  <c r="EI202" i="26"/>
  <c r="EL201" i="26"/>
  <c r="EK201" i="26"/>
  <c r="EJ201" i="26"/>
  <c r="EI201" i="26"/>
  <c r="EL200" i="26"/>
  <c r="EK200" i="26"/>
  <c r="EJ200" i="26"/>
  <c r="EI200" i="26"/>
  <c r="EL199" i="26"/>
  <c r="EK199" i="26"/>
  <c r="EJ199" i="26"/>
  <c r="EI199" i="26"/>
  <c r="EL198" i="26"/>
  <c r="EK198" i="26"/>
  <c r="EJ198" i="26"/>
  <c r="EI198" i="26"/>
  <c r="EL197" i="26"/>
  <c r="EK197" i="26"/>
  <c r="EJ197" i="26"/>
  <c r="EI197" i="26"/>
  <c r="EL196" i="26"/>
  <c r="EK196" i="26"/>
  <c r="EJ196" i="26"/>
  <c r="EI196" i="26"/>
  <c r="EL195" i="26"/>
  <c r="EK195" i="26"/>
  <c r="EJ195" i="26"/>
  <c r="EI195" i="26"/>
  <c r="EL194" i="26"/>
  <c r="EK194" i="26"/>
  <c r="EJ194" i="26"/>
  <c r="EI194" i="26"/>
  <c r="EL193" i="26"/>
  <c r="EK193" i="26"/>
  <c r="EJ193" i="26"/>
  <c r="EI193" i="26"/>
  <c r="EL192" i="26"/>
  <c r="EK192" i="26"/>
  <c r="EJ192" i="26"/>
  <c r="EI192" i="26"/>
  <c r="EL191" i="26"/>
  <c r="EK191" i="26"/>
  <c r="EJ191" i="26"/>
  <c r="EI191" i="26"/>
  <c r="EL190" i="26"/>
  <c r="EK190" i="26"/>
  <c r="EJ190" i="26"/>
  <c r="EI190" i="26"/>
  <c r="EL189" i="26"/>
  <c r="EK189" i="26"/>
  <c r="EJ189" i="26"/>
  <c r="EI189" i="26"/>
  <c r="EL188" i="26"/>
  <c r="EK188" i="26"/>
  <c r="EJ188" i="26"/>
  <c r="EI188" i="26"/>
  <c r="EL187" i="26"/>
  <c r="EK187" i="26"/>
  <c r="EJ187" i="26"/>
  <c r="EI187" i="26"/>
  <c r="EL186" i="26"/>
  <c r="EK186" i="26"/>
  <c r="EJ186" i="26"/>
  <c r="EI186" i="26"/>
  <c r="EL185" i="26"/>
  <c r="EK185" i="26"/>
  <c r="EJ185" i="26"/>
  <c r="EI185" i="26"/>
  <c r="EL184" i="26"/>
  <c r="EK184" i="26"/>
  <c r="EJ184" i="26"/>
  <c r="EI184" i="26"/>
  <c r="EL183" i="26"/>
  <c r="EK183" i="26"/>
  <c r="EJ183" i="26"/>
  <c r="EI183" i="26"/>
  <c r="EL182" i="26"/>
  <c r="EK182" i="26"/>
  <c r="EJ182" i="26"/>
  <c r="EI182" i="26"/>
  <c r="EL181" i="26"/>
  <c r="EK181" i="26"/>
  <c r="EJ181" i="26"/>
  <c r="EI181" i="26"/>
  <c r="EL180" i="26"/>
  <c r="EK180" i="26"/>
  <c r="EJ180" i="26"/>
  <c r="EI180" i="26"/>
  <c r="EL179" i="26"/>
  <c r="EK179" i="26"/>
  <c r="EJ179" i="26"/>
  <c r="EI179" i="26"/>
  <c r="EL178" i="26"/>
  <c r="EK178" i="26"/>
  <c r="EJ178" i="26"/>
  <c r="EI178" i="26"/>
  <c r="EL177" i="26"/>
  <c r="EK177" i="26"/>
  <c r="EJ177" i="26"/>
  <c r="EI177" i="26"/>
  <c r="EL176" i="26"/>
  <c r="EK176" i="26"/>
  <c r="EJ176" i="26"/>
  <c r="EI176" i="26"/>
  <c r="EL175" i="26"/>
  <c r="EK175" i="26"/>
  <c r="EJ175" i="26"/>
  <c r="EI175" i="26"/>
  <c r="EL174" i="26"/>
  <c r="EK174" i="26"/>
  <c r="EJ174" i="26"/>
  <c r="EI174" i="26"/>
  <c r="EL173" i="26"/>
  <c r="EK173" i="26"/>
  <c r="EJ173" i="26"/>
  <c r="EI173" i="26"/>
  <c r="EL172" i="26"/>
  <c r="EK172" i="26"/>
  <c r="EJ172" i="26"/>
  <c r="EI172" i="26"/>
  <c r="EL171" i="26"/>
  <c r="EK171" i="26"/>
  <c r="EJ171" i="26"/>
  <c r="EI171" i="26"/>
  <c r="EL170" i="26"/>
  <c r="EK170" i="26"/>
  <c r="EJ170" i="26"/>
  <c r="EI170" i="26"/>
  <c r="EL169" i="26"/>
  <c r="EK169" i="26"/>
  <c r="EJ169" i="26"/>
  <c r="EI169" i="26"/>
  <c r="EL168" i="26"/>
  <c r="EK168" i="26"/>
  <c r="EJ168" i="26"/>
  <c r="EI168" i="26"/>
  <c r="EL167" i="26"/>
  <c r="EK167" i="26"/>
  <c r="EJ167" i="26"/>
  <c r="EI167" i="26"/>
  <c r="EL166" i="26"/>
  <c r="EK166" i="26"/>
  <c r="EJ166" i="26"/>
  <c r="EI166" i="26"/>
  <c r="EL165" i="26"/>
  <c r="EK165" i="26"/>
  <c r="EJ165" i="26"/>
  <c r="EI165" i="26"/>
  <c r="EL164" i="26"/>
  <c r="EK164" i="26"/>
  <c r="EJ164" i="26"/>
  <c r="EI164" i="26"/>
  <c r="EL163" i="26"/>
  <c r="EK163" i="26"/>
  <c r="EJ163" i="26"/>
  <c r="EI163" i="26"/>
  <c r="EL162" i="26"/>
  <c r="EK162" i="26"/>
  <c r="EJ162" i="26"/>
  <c r="EI162" i="26"/>
  <c r="EL161" i="26"/>
  <c r="EK161" i="26"/>
  <c r="EJ161" i="26"/>
  <c r="EI161" i="26"/>
  <c r="EL160" i="26"/>
  <c r="EK160" i="26"/>
  <c r="EJ160" i="26"/>
  <c r="EI160" i="26"/>
  <c r="EL159" i="26"/>
  <c r="EK159" i="26"/>
  <c r="EJ159" i="26"/>
  <c r="EI159" i="26"/>
  <c r="EL158" i="26"/>
  <c r="EK158" i="26"/>
  <c r="EJ158" i="26"/>
  <c r="EI158" i="26"/>
  <c r="EL157" i="26"/>
  <c r="EK157" i="26"/>
  <c r="EJ157" i="26"/>
  <c r="EI157" i="26"/>
  <c r="EL156" i="26"/>
  <c r="EK156" i="26"/>
  <c r="EJ156" i="26"/>
  <c r="EI156" i="26"/>
  <c r="EL155" i="26"/>
  <c r="EK155" i="26"/>
  <c r="EJ155" i="26"/>
  <c r="EI155" i="26"/>
  <c r="EL154" i="26"/>
  <c r="EK154" i="26"/>
  <c r="EJ154" i="26"/>
  <c r="EI154" i="26"/>
  <c r="EL153" i="26"/>
  <c r="EK153" i="26"/>
  <c r="EJ153" i="26"/>
  <c r="EI153" i="26"/>
  <c r="EL152" i="26"/>
  <c r="EK152" i="26"/>
  <c r="EJ152" i="26"/>
  <c r="EI152" i="26"/>
  <c r="EL151" i="26"/>
  <c r="EK151" i="26"/>
  <c r="EJ151" i="26"/>
  <c r="EI151" i="26"/>
  <c r="EL150" i="26"/>
  <c r="EK150" i="26"/>
  <c r="EJ150" i="26"/>
  <c r="EI150" i="26"/>
  <c r="EL149" i="26"/>
  <c r="EK149" i="26"/>
  <c r="EJ149" i="26"/>
  <c r="EI149" i="26"/>
  <c r="EL148" i="26"/>
  <c r="EK148" i="26"/>
  <c r="EJ148" i="26"/>
  <c r="EI148" i="26"/>
  <c r="EL147" i="26"/>
  <c r="EK147" i="26"/>
  <c r="EJ147" i="26"/>
  <c r="EI147" i="26"/>
  <c r="EL146" i="26"/>
  <c r="EK146" i="26"/>
  <c r="EJ146" i="26"/>
  <c r="EI146" i="26"/>
  <c r="EL145" i="26"/>
  <c r="EK145" i="26"/>
  <c r="EJ145" i="26"/>
  <c r="EI145" i="26"/>
  <c r="EL144" i="26"/>
  <c r="EK144" i="26"/>
  <c r="EJ144" i="26"/>
  <c r="EI144" i="26"/>
  <c r="EL143" i="26"/>
  <c r="EK143" i="26"/>
  <c r="EJ143" i="26"/>
  <c r="EI143" i="26"/>
  <c r="EL142" i="26"/>
  <c r="EK142" i="26"/>
  <c r="EJ142" i="26"/>
  <c r="EI142" i="26"/>
  <c r="EL141" i="26"/>
  <c r="EK141" i="26"/>
  <c r="EJ141" i="26"/>
  <c r="EI141" i="26"/>
  <c r="EL140" i="26"/>
  <c r="EK140" i="26"/>
  <c r="EJ140" i="26"/>
  <c r="EI140" i="26"/>
  <c r="EL139" i="26"/>
  <c r="EK139" i="26"/>
  <c r="EJ139" i="26"/>
  <c r="EI139" i="26"/>
  <c r="EL138" i="26"/>
  <c r="EK138" i="26"/>
  <c r="EJ138" i="26"/>
  <c r="EI138" i="26"/>
  <c r="EL137" i="26"/>
  <c r="EK137" i="26"/>
  <c r="EJ137" i="26"/>
  <c r="EI137" i="26"/>
  <c r="EL136" i="26"/>
  <c r="EK136" i="26"/>
  <c r="EJ136" i="26"/>
  <c r="EI136" i="26"/>
  <c r="EL135" i="26"/>
  <c r="EK135" i="26"/>
  <c r="EJ135" i="26"/>
  <c r="EI135" i="26"/>
  <c r="EL134" i="26"/>
  <c r="EK134" i="26"/>
  <c r="EJ134" i="26"/>
  <c r="EI134" i="26"/>
  <c r="EL133" i="26"/>
  <c r="EK133" i="26"/>
  <c r="EJ133" i="26"/>
  <c r="EI133" i="26"/>
  <c r="EL132" i="26"/>
  <c r="EK132" i="26"/>
  <c r="EJ132" i="26"/>
  <c r="EI132" i="26"/>
  <c r="EL131" i="26"/>
  <c r="EK131" i="26"/>
  <c r="EJ131" i="26"/>
  <c r="EI131" i="26"/>
  <c r="EL130" i="26"/>
  <c r="EK130" i="26"/>
  <c r="EJ130" i="26"/>
  <c r="EI130" i="26"/>
  <c r="EL129" i="26"/>
  <c r="EK129" i="26"/>
  <c r="EJ129" i="26"/>
  <c r="EI129" i="26"/>
  <c r="EL128" i="26"/>
  <c r="EK128" i="26"/>
  <c r="EJ128" i="26"/>
  <c r="EI128" i="26"/>
  <c r="EL127" i="26"/>
  <c r="EK127" i="26"/>
  <c r="EJ127" i="26"/>
  <c r="EI127" i="26"/>
  <c r="EL126" i="26"/>
  <c r="EK126" i="26"/>
  <c r="EJ126" i="26"/>
  <c r="EI126" i="26"/>
  <c r="EL125" i="26"/>
  <c r="EK125" i="26"/>
  <c r="EJ125" i="26"/>
  <c r="EI125" i="26"/>
  <c r="EL124" i="26"/>
  <c r="EK124" i="26"/>
  <c r="EJ124" i="26"/>
  <c r="EI124" i="26"/>
  <c r="EL123" i="26"/>
  <c r="EK123" i="26"/>
  <c r="EJ123" i="26"/>
  <c r="EI123" i="26"/>
  <c r="EL122" i="26"/>
  <c r="EK122" i="26"/>
  <c r="EJ122" i="26"/>
  <c r="EI122" i="26"/>
  <c r="EL121" i="26"/>
  <c r="EK121" i="26"/>
  <c r="EJ121" i="26"/>
  <c r="EI121" i="26"/>
  <c r="EL120" i="26"/>
  <c r="EK120" i="26"/>
  <c r="EJ120" i="26"/>
  <c r="EI120" i="26"/>
  <c r="EL119" i="26"/>
  <c r="EK119" i="26"/>
  <c r="EJ119" i="26"/>
  <c r="EI119" i="26"/>
  <c r="EL118" i="26"/>
  <c r="EK118" i="26"/>
  <c r="EJ118" i="26"/>
  <c r="EI118" i="26"/>
  <c r="EL117" i="26"/>
  <c r="EK117" i="26"/>
  <c r="EJ117" i="26"/>
  <c r="EI117" i="26"/>
  <c r="EL116" i="26"/>
  <c r="EK116" i="26"/>
  <c r="EJ116" i="26"/>
  <c r="EI116" i="26"/>
  <c r="EL115" i="26"/>
  <c r="EK115" i="26"/>
  <c r="EJ115" i="26"/>
  <c r="EI115" i="26"/>
  <c r="EL114" i="26"/>
  <c r="EK114" i="26"/>
  <c r="EJ114" i="26"/>
  <c r="EI114" i="26"/>
  <c r="EL113" i="26"/>
  <c r="EK113" i="26"/>
  <c r="EJ113" i="26"/>
  <c r="EI113" i="26"/>
  <c r="EL112" i="26"/>
  <c r="EK112" i="26"/>
  <c r="EJ112" i="26"/>
  <c r="EI112" i="26"/>
  <c r="EL111" i="26"/>
  <c r="EK111" i="26"/>
  <c r="EJ111" i="26"/>
  <c r="EI111" i="26"/>
  <c r="EL110" i="26"/>
  <c r="EK110" i="26"/>
  <c r="EJ110" i="26"/>
  <c r="EI110" i="26"/>
  <c r="EL109" i="26"/>
  <c r="EK109" i="26"/>
  <c r="EJ109" i="26"/>
  <c r="EI109" i="26"/>
  <c r="EL108" i="26"/>
  <c r="EK108" i="26"/>
  <c r="EJ108" i="26"/>
  <c r="EI108" i="26"/>
  <c r="EL107" i="26"/>
  <c r="EK107" i="26"/>
  <c r="EJ107" i="26"/>
  <c r="EI107" i="26"/>
  <c r="EL106" i="26"/>
  <c r="EK106" i="26"/>
  <c r="EJ106" i="26"/>
  <c r="EI106" i="26"/>
  <c r="EL105" i="26"/>
  <c r="EK105" i="26"/>
  <c r="EJ105" i="26"/>
  <c r="EI105" i="26"/>
  <c r="EL104" i="26"/>
  <c r="EK104" i="26"/>
  <c r="EJ104" i="26"/>
  <c r="EI104" i="26"/>
  <c r="EL103" i="26"/>
  <c r="EK103" i="26"/>
  <c r="EJ103" i="26"/>
  <c r="EI103" i="26"/>
  <c r="EL102" i="26"/>
  <c r="EK102" i="26"/>
  <c r="EJ102" i="26"/>
  <c r="EI102" i="26"/>
  <c r="EL101" i="26"/>
  <c r="EK101" i="26"/>
  <c r="EJ101" i="26"/>
  <c r="EI101" i="26"/>
  <c r="EL100" i="26"/>
  <c r="EK100" i="26"/>
  <c r="EJ100" i="26"/>
  <c r="EI100" i="26"/>
  <c r="EL99" i="26"/>
  <c r="EK99" i="26"/>
  <c r="EJ99" i="26"/>
  <c r="EI99" i="26"/>
  <c r="EL98" i="26"/>
  <c r="EK98" i="26"/>
  <c r="EJ98" i="26"/>
  <c r="EI98" i="26"/>
  <c r="EL97" i="26"/>
  <c r="EK97" i="26"/>
  <c r="EJ97" i="26"/>
  <c r="EI97" i="26"/>
  <c r="EL96" i="26"/>
  <c r="EK96" i="26"/>
  <c r="EJ96" i="26"/>
  <c r="EI96" i="26"/>
  <c r="EL95" i="26"/>
  <c r="EK95" i="26"/>
  <c r="EJ95" i="26"/>
  <c r="EI95" i="26"/>
  <c r="EL94" i="26"/>
  <c r="EK94" i="26"/>
  <c r="EJ94" i="26"/>
  <c r="EI94" i="26"/>
  <c r="EL93" i="26"/>
  <c r="EK93" i="26"/>
  <c r="EJ93" i="26"/>
  <c r="EI93" i="26"/>
  <c r="EL92" i="26"/>
  <c r="EK92" i="26"/>
  <c r="EJ92" i="26"/>
  <c r="EI92" i="26"/>
  <c r="EL91" i="26"/>
  <c r="EK91" i="26"/>
  <c r="EJ91" i="26"/>
  <c r="EI91" i="26"/>
  <c r="EL90" i="26"/>
  <c r="EK90" i="26"/>
  <c r="EJ90" i="26"/>
  <c r="EI90" i="26"/>
  <c r="EL89" i="26"/>
  <c r="EK89" i="26"/>
  <c r="EJ89" i="26"/>
  <c r="EI89" i="26"/>
  <c r="EL88" i="26"/>
  <c r="EK88" i="26"/>
  <c r="EJ88" i="26"/>
  <c r="EI88" i="26"/>
  <c r="EL87" i="26"/>
  <c r="EK87" i="26"/>
  <c r="EJ87" i="26"/>
  <c r="EI87" i="26"/>
  <c r="EL86" i="26"/>
  <c r="EK86" i="26"/>
  <c r="EJ86" i="26"/>
  <c r="EI86" i="26"/>
  <c r="EL85" i="26"/>
  <c r="EK85" i="26"/>
  <c r="EJ85" i="26"/>
  <c r="EI85" i="26"/>
  <c r="EL84" i="26"/>
  <c r="EK84" i="26"/>
  <c r="EJ84" i="26"/>
  <c r="EI84" i="26"/>
  <c r="EL83" i="26"/>
  <c r="EK83" i="26"/>
  <c r="EJ83" i="26"/>
  <c r="EI83" i="26"/>
  <c r="EL82" i="26"/>
  <c r="EK82" i="26"/>
  <c r="EJ82" i="26"/>
  <c r="EI82" i="26"/>
  <c r="EL81" i="26"/>
  <c r="EK81" i="26"/>
  <c r="EJ81" i="26"/>
  <c r="EI81" i="26"/>
  <c r="EL80" i="26"/>
  <c r="EK80" i="26"/>
  <c r="EJ80" i="26"/>
  <c r="EI80" i="26"/>
  <c r="EL79" i="26"/>
  <c r="EK79" i="26"/>
  <c r="EJ79" i="26"/>
  <c r="EI79" i="26"/>
  <c r="EL78" i="26"/>
  <c r="EK78" i="26"/>
  <c r="EJ78" i="26"/>
  <c r="EI78" i="26"/>
  <c r="EL77" i="26"/>
  <c r="EK77" i="26"/>
  <c r="EJ77" i="26"/>
  <c r="EI77" i="26"/>
  <c r="EL76" i="26"/>
  <c r="EK76" i="26"/>
  <c r="EJ76" i="26"/>
  <c r="EI76" i="26"/>
  <c r="EL75" i="26"/>
  <c r="EK75" i="26"/>
  <c r="EJ75" i="26"/>
  <c r="EI75" i="26"/>
  <c r="EL74" i="26"/>
  <c r="EK74" i="26"/>
  <c r="EJ74" i="26"/>
  <c r="EI74" i="26"/>
  <c r="EL73" i="26"/>
  <c r="EK73" i="26"/>
  <c r="EJ73" i="26"/>
  <c r="EI73" i="26"/>
  <c r="EL72" i="26"/>
  <c r="EK72" i="26"/>
  <c r="EJ72" i="26"/>
  <c r="EI72" i="26"/>
  <c r="EL71" i="26"/>
  <c r="EK71" i="26"/>
  <c r="EJ71" i="26"/>
  <c r="EI71" i="26"/>
  <c r="EL70" i="26"/>
  <c r="EK70" i="26"/>
  <c r="EJ70" i="26"/>
  <c r="EI70" i="26"/>
  <c r="EL69" i="26"/>
  <c r="EK69" i="26"/>
  <c r="EJ69" i="26"/>
  <c r="EI69" i="26"/>
  <c r="EL68" i="26"/>
  <c r="EK68" i="26"/>
  <c r="EJ68" i="26"/>
  <c r="EI68" i="26"/>
  <c r="EL67" i="26"/>
  <c r="EK67" i="26"/>
  <c r="EJ67" i="26"/>
  <c r="EI67" i="26"/>
  <c r="EL66" i="26"/>
  <c r="EK66" i="26"/>
  <c r="EJ66" i="26"/>
  <c r="EI66" i="26"/>
  <c r="EL65" i="26"/>
  <c r="EK65" i="26"/>
  <c r="EJ65" i="26"/>
  <c r="EI65" i="26"/>
  <c r="EL64" i="26"/>
  <c r="EK64" i="26"/>
  <c r="EJ64" i="26"/>
  <c r="EI64" i="26"/>
  <c r="EL63" i="26"/>
  <c r="EK63" i="26"/>
  <c r="EJ63" i="26"/>
  <c r="EI63" i="26"/>
  <c r="EL62" i="26"/>
  <c r="EK62" i="26"/>
  <c r="EJ62" i="26"/>
  <c r="EI62" i="26"/>
  <c r="EL61" i="26"/>
  <c r="EK61" i="26"/>
  <c r="EJ61" i="26"/>
  <c r="EI61" i="26"/>
  <c r="EL60" i="26"/>
  <c r="EK60" i="26"/>
  <c r="EJ60" i="26"/>
  <c r="EI60" i="26"/>
  <c r="EL59" i="26"/>
  <c r="EK59" i="26"/>
  <c r="EJ59" i="26"/>
  <c r="EI59" i="26"/>
  <c r="EL58" i="26"/>
  <c r="EK58" i="26"/>
  <c r="EJ58" i="26"/>
  <c r="EI58" i="26"/>
  <c r="EL57" i="26"/>
  <c r="EK57" i="26"/>
  <c r="EJ57" i="26"/>
  <c r="EI57" i="26"/>
  <c r="EL56" i="26"/>
  <c r="EK56" i="26"/>
  <c r="EJ56" i="26"/>
  <c r="EI56" i="26"/>
  <c r="EL55" i="26"/>
  <c r="EK55" i="26"/>
  <c r="EJ55" i="26"/>
  <c r="EI55" i="26"/>
  <c r="EL54" i="26"/>
  <c r="EK54" i="26"/>
  <c r="EJ54" i="26"/>
  <c r="EI54" i="26"/>
  <c r="EL53" i="26"/>
  <c r="EK53" i="26"/>
  <c r="EJ53" i="26"/>
  <c r="EI53" i="26"/>
  <c r="EL52" i="26"/>
  <c r="EK52" i="26"/>
  <c r="EJ52" i="26"/>
  <c r="EI52" i="26"/>
  <c r="EL51" i="26"/>
  <c r="EK51" i="26"/>
  <c r="EJ51" i="26"/>
  <c r="EI51" i="26"/>
  <c r="EL50" i="26"/>
  <c r="EK50" i="26"/>
  <c r="EJ50" i="26"/>
  <c r="EI50" i="26"/>
  <c r="EL49" i="26"/>
  <c r="EK49" i="26"/>
  <c r="EJ49" i="26"/>
  <c r="EI49" i="26"/>
  <c r="EL48" i="26"/>
  <c r="EK48" i="26"/>
  <c r="EJ48" i="26"/>
  <c r="EI48" i="26"/>
  <c r="EL47" i="26"/>
  <c r="EK47" i="26"/>
  <c r="EJ47" i="26"/>
  <c r="EI47" i="26"/>
  <c r="EL46" i="26"/>
  <c r="EK46" i="26"/>
  <c r="EJ46" i="26"/>
  <c r="EI46" i="26"/>
  <c r="EL45" i="26"/>
  <c r="EK45" i="26"/>
  <c r="EJ45" i="26"/>
  <c r="EI45" i="26"/>
  <c r="EL44" i="26"/>
  <c r="EK44" i="26"/>
  <c r="EJ44" i="26"/>
  <c r="EI44" i="26"/>
  <c r="EL43" i="26"/>
  <c r="EK43" i="26"/>
  <c r="EJ43" i="26"/>
  <c r="EI43" i="26"/>
  <c r="EL42" i="26"/>
  <c r="EK42" i="26"/>
  <c r="EJ42" i="26"/>
  <c r="EI42" i="26"/>
  <c r="EL41" i="26"/>
  <c r="EK41" i="26"/>
  <c r="EJ41" i="26"/>
  <c r="EI41" i="26"/>
  <c r="EL40" i="26"/>
  <c r="EK40" i="26"/>
  <c r="EJ40" i="26"/>
  <c r="EI40" i="26"/>
  <c r="EL39" i="26"/>
  <c r="EK39" i="26"/>
  <c r="EJ39" i="26"/>
  <c r="EI39" i="26"/>
  <c r="EL38" i="26"/>
  <c r="EK38" i="26"/>
  <c r="EJ38" i="26"/>
  <c r="EI38" i="26"/>
  <c r="EL37" i="26"/>
  <c r="EK37" i="26"/>
  <c r="EJ37" i="26"/>
  <c r="EI37" i="26"/>
  <c r="EL36" i="26"/>
  <c r="EK36" i="26"/>
  <c r="EJ36" i="26"/>
  <c r="EI36" i="26"/>
  <c r="EL35" i="26"/>
  <c r="EK35" i="26"/>
  <c r="EJ35" i="26"/>
  <c r="EI35" i="26"/>
  <c r="EL34" i="26"/>
  <c r="EK34" i="26"/>
  <c r="EJ34" i="26"/>
  <c r="EI34" i="26"/>
  <c r="EL33" i="26"/>
  <c r="EK33" i="26"/>
  <c r="EJ33" i="26"/>
  <c r="EI33" i="26"/>
  <c r="EL32" i="26"/>
  <c r="EK32" i="26"/>
  <c r="EJ32" i="26"/>
  <c r="EI32" i="26"/>
  <c r="EL31" i="26"/>
  <c r="EK31" i="26"/>
  <c r="EJ31" i="26"/>
  <c r="EI31" i="26"/>
  <c r="EL30" i="26"/>
  <c r="EK30" i="26"/>
  <c r="EJ30" i="26"/>
  <c r="EI30" i="26"/>
  <c r="EL29" i="26"/>
  <c r="EK29" i="26"/>
  <c r="EJ29" i="26"/>
  <c r="EI29" i="26"/>
  <c r="EL28" i="26"/>
  <c r="EK28" i="26"/>
  <c r="EJ28" i="26"/>
  <c r="EI28" i="26"/>
  <c r="EL27" i="26"/>
  <c r="EK27" i="26"/>
  <c r="EJ27" i="26"/>
  <c r="EI27" i="26"/>
  <c r="EL26" i="26"/>
  <c r="EK26" i="26"/>
  <c r="EJ26" i="26"/>
  <c r="EI26" i="26"/>
  <c r="EL25" i="26"/>
  <c r="EK25" i="26"/>
  <c r="EJ25" i="26"/>
  <c r="EI25" i="26"/>
  <c r="EL24" i="26"/>
  <c r="EK24" i="26"/>
  <c r="EJ24" i="26"/>
  <c r="EI24" i="26"/>
  <c r="EL23" i="26"/>
  <c r="EK23" i="26"/>
  <c r="EJ23" i="26"/>
  <c r="EI23" i="26"/>
  <c r="EL22" i="26"/>
  <c r="EK22" i="26"/>
  <c r="EJ22" i="26"/>
  <c r="EI22" i="26"/>
  <c r="EL21" i="26"/>
  <c r="EK21" i="26"/>
  <c r="EJ21" i="26"/>
  <c r="EI21" i="26"/>
  <c r="EL20" i="26"/>
  <c r="EK20" i="26"/>
  <c r="EJ20" i="26"/>
  <c r="EI20" i="26"/>
  <c r="EL19" i="26"/>
  <c r="EK19" i="26"/>
  <c r="EJ19" i="26"/>
  <c r="EI19" i="26"/>
  <c r="EL18" i="26"/>
  <c r="EK18" i="26"/>
  <c r="EJ18" i="26"/>
  <c r="EI18" i="26"/>
  <c r="EL17" i="26"/>
  <c r="EK17" i="26"/>
  <c r="EJ17" i="26"/>
  <c r="EI17" i="26"/>
  <c r="EL16" i="26"/>
  <c r="EK16" i="26"/>
  <c r="EJ16" i="26"/>
  <c r="EI16" i="26"/>
  <c r="EL15" i="26"/>
  <c r="EK15" i="26"/>
  <c r="EJ15" i="26"/>
  <c r="EI15" i="26"/>
  <c r="EL14" i="26"/>
  <c r="EK14" i="26"/>
  <c r="EJ14" i="26"/>
  <c r="EI14" i="26"/>
  <c r="EL13" i="26"/>
  <c r="EK13" i="26"/>
  <c r="EJ13" i="26"/>
  <c r="EI13" i="26"/>
  <c r="EL12" i="26"/>
  <c r="EK12" i="26"/>
  <c r="EJ12" i="26"/>
  <c r="EI12" i="26"/>
  <c r="EL11" i="26"/>
  <c r="EK11" i="26"/>
  <c r="EJ11" i="26"/>
  <c r="EI11" i="26"/>
  <c r="EL10" i="26"/>
  <c r="EK10" i="26"/>
  <c r="EJ10" i="26"/>
  <c r="EI10" i="26"/>
  <c r="EL9" i="26"/>
  <c r="EK9" i="26"/>
  <c r="EJ9" i="26"/>
  <c r="EI9" i="26"/>
  <c r="EL8" i="26"/>
  <c r="EK8" i="26"/>
  <c r="EJ8" i="26"/>
  <c r="EI8" i="26"/>
  <c r="EL7" i="26"/>
  <c r="EK7" i="26"/>
  <c r="EJ7" i="26"/>
  <c r="EI7" i="26"/>
  <c r="EL6" i="26"/>
  <c r="EK6" i="26"/>
  <c r="EJ6" i="26"/>
  <c r="EI6" i="26"/>
  <c r="EL5" i="26"/>
  <c r="EK5" i="26"/>
  <c r="EJ5" i="26"/>
  <c r="EI5" i="26"/>
  <c r="EL4" i="26"/>
  <c r="EK4" i="26"/>
  <c r="EJ4" i="26"/>
  <c r="EI4" i="26"/>
  <c r="EL3" i="26"/>
  <c r="EK3" i="26"/>
  <c r="EJ3" i="26"/>
  <c r="EI3" i="26"/>
  <c r="DC425" i="26"/>
  <c r="DC558" i="26"/>
  <c r="DC557" i="26"/>
  <c r="DC556" i="26"/>
  <c r="DC555" i="26"/>
  <c r="DC554" i="26"/>
  <c r="DC553" i="26"/>
  <c r="DC552" i="26"/>
  <c r="DC551" i="26"/>
  <c r="DC550" i="26"/>
  <c r="DC549" i="26"/>
  <c r="DC548" i="26"/>
  <c r="DC547" i="26"/>
  <c r="DC546" i="26"/>
  <c r="DC545" i="26"/>
  <c r="DC544" i="26"/>
  <c r="DC543" i="26"/>
  <c r="DC542" i="26"/>
  <c r="DC541" i="26"/>
  <c r="DC540" i="26"/>
  <c r="DC539" i="26"/>
  <c r="DC538" i="26"/>
  <c r="DC537" i="26"/>
  <c r="DC536" i="26"/>
  <c r="DC535" i="26"/>
  <c r="DC534" i="26"/>
  <c r="DC533" i="26"/>
  <c r="DC532" i="26"/>
  <c r="DC531" i="26"/>
  <c r="DC530" i="26"/>
  <c r="DC529" i="26"/>
  <c r="DC528" i="26"/>
  <c r="DC527" i="26"/>
  <c r="DC526" i="26"/>
  <c r="DC525" i="26"/>
  <c r="DC524" i="26"/>
  <c r="DC523" i="26"/>
  <c r="DC522" i="26"/>
  <c r="DC521" i="26"/>
  <c r="DC520" i="26"/>
  <c r="DC519" i="26"/>
  <c r="DC518" i="26"/>
  <c r="DC517" i="26"/>
  <c r="DC516" i="26"/>
  <c r="DC515" i="26"/>
  <c r="DC513" i="26"/>
  <c r="DC512" i="26"/>
  <c r="DC511" i="26"/>
  <c r="DC510" i="26"/>
  <c r="DC509" i="26"/>
  <c r="DC508" i="26"/>
  <c r="DC505" i="26"/>
  <c r="DC504" i="26"/>
  <c r="DC503" i="26"/>
  <c r="DC502" i="26"/>
  <c r="DC501" i="26"/>
  <c r="DC500" i="26"/>
  <c r="DC499" i="26"/>
  <c r="DC498" i="26"/>
  <c r="DC497" i="26"/>
  <c r="DC496" i="26"/>
  <c r="DC495" i="26"/>
  <c r="DC494" i="26"/>
  <c r="DC493" i="26"/>
  <c r="DC492" i="26"/>
  <c r="DC491" i="26"/>
  <c r="DC490" i="26"/>
  <c r="DC489" i="26"/>
  <c r="DC488" i="26"/>
  <c r="DC487" i="26"/>
  <c r="DC486" i="26"/>
  <c r="DC485" i="26"/>
  <c r="DC484" i="26"/>
  <c r="DC483" i="26"/>
  <c r="DC482" i="26"/>
  <c r="DC481" i="26"/>
  <c r="DC480" i="26"/>
  <c r="DC479" i="26"/>
  <c r="DC478" i="26"/>
  <c r="DC477" i="26"/>
  <c r="DC476" i="26"/>
  <c r="DC475" i="26"/>
  <c r="DC474" i="26"/>
  <c r="DC473" i="26"/>
  <c r="DC472" i="26"/>
  <c r="DC471" i="26"/>
  <c r="DC470" i="26"/>
  <c r="DC469" i="26"/>
  <c r="DC468" i="26"/>
  <c r="DC467" i="26"/>
  <c r="DC466" i="26"/>
  <c r="DC465" i="26"/>
  <c r="DC464" i="26"/>
  <c r="DC463" i="26"/>
  <c r="DC462" i="26"/>
  <c r="DC461" i="26"/>
  <c r="DC460" i="26"/>
  <c r="DC459" i="26"/>
  <c r="DC458" i="26"/>
  <c r="DC457" i="26"/>
  <c r="DC456" i="26"/>
  <c r="DC455" i="26"/>
  <c r="DC454" i="26"/>
  <c r="DC453" i="26"/>
  <c r="DC452" i="26"/>
  <c r="DC451" i="26"/>
  <c r="DC450" i="26"/>
  <c r="DC449" i="26"/>
  <c r="DC448" i="26"/>
  <c r="DC446" i="26"/>
  <c r="DC445" i="26"/>
  <c r="DC444" i="26"/>
  <c r="DC443" i="26"/>
  <c r="DC442" i="26"/>
  <c r="DC441" i="26"/>
  <c r="DC440" i="26"/>
  <c r="DC439" i="26"/>
  <c r="DC438" i="26"/>
  <c r="DC437" i="26"/>
  <c r="DC436" i="26"/>
  <c r="DC435" i="26"/>
  <c r="DC434" i="26"/>
  <c r="DC433" i="26"/>
  <c r="DC432" i="26"/>
  <c r="DC431" i="26"/>
  <c r="DC430" i="26"/>
  <c r="DC429" i="26"/>
  <c r="DC428" i="26"/>
  <c r="DC427" i="26"/>
  <c r="DC426" i="26"/>
  <c r="DC424" i="26"/>
  <c r="DC423" i="26"/>
  <c r="DC422" i="26"/>
  <c r="DC421" i="26"/>
  <c r="DC420" i="26"/>
  <c r="DC419" i="26"/>
  <c r="DC418" i="26"/>
  <c r="DC417" i="26"/>
  <c r="DC416" i="26"/>
  <c r="DC415" i="26"/>
  <c r="DC414" i="26"/>
  <c r="DC413" i="26"/>
  <c r="DC412" i="26"/>
  <c r="DC411" i="26"/>
  <c r="DC410" i="26"/>
  <c r="DC409" i="26"/>
  <c r="DC408" i="26"/>
  <c r="DC407" i="26"/>
  <c r="DC406" i="26"/>
  <c r="DC405" i="26"/>
  <c r="DC404" i="26"/>
  <c r="DC403" i="26"/>
  <c r="DC402" i="26"/>
  <c r="DC401" i="26"/>
  <c r="DC400" i="26"/>
  <c r="DC399" i="26"/>
  <c r="DC398" i="26"/>
  <c r="DC397" i="26"/>
  <c r="DC396" i="26"/>
  <c r="DC395" i="26"/>
  <c r="DC394" i="26"/>
  <c r="DC393" i="26"/>
  <c r="DC392" i="26"/>
  <c r="DC391" i="26"/>
  <c r="DC390" i="26"/>
  <c r="DC389" i="26"/>
  <c r="DC388" i="26"/>
  <c r="DC387" i="26"/>
  <c r="DC386" i="26"/>
  <c r="DC385" i="26"/>
  <c r="DC384" i="26"/>
  <c r="DC383" i="26"/>
  <c r="DC382" i="26"/>
  <c r="DC381" i="26"/>
  <c r="DC380" i="26"/>
  <c r="DC379" i="26"/>
  <c r="DC378" i="26"/>
  <c r="DC377" i="26"/>
  <c r="DC376" i="26"/>
  <c r="DC375" i="26"/>
  <c r="DC374" i="26"/>
  <c r="DC373" i="26"/>
  <c r="DC372" i="26"/>
  <c r="DC371" i="26"/>
  <c r="DC370" i="26"/>
  <c r="DC369" i="26"/>
  <c r="DC368" i="26"/>
  <c r="DC367" i="26"/>
  <c r="DC366" i="26"/>
  <c r="DC365" i="26"/>
  <c r="DC364" i="26"/>
  <c r="DC363" i="26"/>
  <c r="DC362" i="26"/>
  <c r="DC361" i="26"/>
  <c r="DC360" i="26"/>
  <c r="DC359" i="26"/>
  <c r="DC358" i="26"/>
  <c r="DC357" i="26"/>
  <c r="DC356" i="26"/>
  <c r="DC355" i="26"/>
  <c r="DC354" i="26"/>
  <c r="DC353" i="26"/>
  <c r="DC352" i="26"/>
  <c r="DC351" i="26"/>
  <c r="DC350" i="26"/>
  <c r="DC349" i="26"/>
  <c r="DC348" i="26"/>
  <c r="DC347" i="26"/>
  <c r="DC346" i="26"/>
  <c r="DC345" i="26"/>
  <c r="DC344" i="26"/>
  <c r="DC343" i="26"/>
  <c r="DC342" i="26"/>
  <c r="DC341" i="26"/>
  <c r="DC340" i="26"/>
  <c r="DC339" i="26"/>
  <c r="DC338" i="26"/>
  <c r="DC337" i="26"/>
  <c r="DC336" i="26"/>
  <c r="DC335" i="26"/>
  <c r="DC334" i="26"/>
  <c r="DC333" i="26"/>
  <c r="DC332" i="26"/>
  <c r="DC331" i="26"/>
  <c r="DC330" i="26"/>
  <c r="DC329" i="26"/>
  <c r="DC328" i="26"/>
  <c r="DC327" i="26"/>
  <c r="DC326" i="26"/>
  <c r="DC325" i="26"/>
  <c r="DC324" i="26"/>
  <c r="DC323" i="26"/>
  <c r="DC322" i="26"/>
  <c r="DC321" i="26"/>
  <c r="DC320" i="26"/>
  <c r="DC319" i="26"/>
  <c r="DC318" i="26"/>
  <c r="DC317" i="26"/>
  <c r="DC316" i="26"/>
  <c r="DC315" i="26"/>
  <c r="DC314" i="26"/>
  <c r="DC313" i="26"/>
  <c r="DC312" i="26"/>
  <c r="DC311" i="26"/>
  <c r="DC309" i="26"/>
  <c r="DC308" i="26"/>
  <c r="DC307" i="26"/>
  <c r="DC306" i="26"/>
  <c r="DC305" i="26"/>
  <c r="DC304" i="26"/>
  <c r="DC303" i="26"/>
  <c r="DC302" i="26"/>
  <c r="DC301" i="26"/>
  <c r="DC300" i="26"/>
  <c r="DC299" i="26"/>
  <c r="DC298" i="26"/>
  <c r="DC297" i="26"/>
  <c r="DC296" i="26"/>
  <c r="DC295" i="26"/>
  <c r="DC294" i="26"/>
  <c r="DC293" i="26"/>
  <c r="DC292" i="26"/>
  <c r="DC291" i="26"/>
  <c r="DC290" i="26"/>
  <c r="DC289" i="26"/>
  <c r="DC288" i="26"/>
  <c r="DC287" i="26"/>
  <c r="DC286" i="26"/>
  <c r="DC285" i="26"/>
  <c r="DC284" i="26"/>
  <c r="DC283" i="26"/>
  <c r="DC282" i="26"/>
  <c r="DC281" i="26"/>
  <c r="DC280" i="26"/>
  <c r="DC279" i="26"/>
  <c r="DC278" i="26"/>
  <c r="DC277" i="26"/>
  <c r="DC276" i="26"/>
  <c r="DC275" i="26"/>
  <c r="DC274" i="26"/>
  <c r="DC273" i="26"/>
  <c r="DC272" i="26"/>
  <c r="DC271" i="26"/>
  <c r="DC270" i="26"/>
  <c r="DC269" i="26"/>
  <c r="DC268" i="26"/>
  <c r="DC267" i="26"/>
  <c r="DC266" i="26"/>
  <c r="DC265" i="26"/>
  <c r="DC264" i="26"/>
  <c r="DC263" i="26"/>
  <c r="DC262" i="26"/>
  <c r="DC261" i="26"/>
  <c r="DC260" i="26"/>
  <c r="DC259" i="26"/>
  <c r="DC258" i="26"/>
  <c r="DC257" i="26"/>
  <c r="DC256" i="26"/>
  <c r="DC255" i="26"/>
  <c r="DC254" i="26"/>
  <c r="DC253" i="26"/>
  <c r="DC252" i="26"/>
  <c r="DC251" i="26"/>
  <c r="DC250" i="26"/>
  <c r="DC249" i="26"/>
  <c r="DC248" i="26"/>
  <c r="DC247" i="26"/>
  <c r="DC246" i="26"/>
  <c r="DC245" i="26"/>
  <c r="DC244" i="26"/>
  <c r="DC243" i="26"/>
  <c r="DC242" i="26"/>
  <c r="DC241" i="26"/>
  <c r="DC240" i="26"/>
  <c r="DC239" i="26"/>
  <c r="DC238" i="26"/>
  <c r="DC237" i="26"/>
  <c r="DC236" i="26"/>
  <c r="DC235" i="26"/>
  <c r="DC234" i="26"/>
  <c r="DC233" i="26"/>
  <c r="DC232" i="26"/>
  <c r="DC231" i="26"/>
  <c r="DC230" i="26"/>
  <c r="DC229" i="26"/>
  <c r="DC228" i="26"/>
  <c r="DC227" i="26"/>
  <c r="DC226" i="26"/>
  <c r="DC225" i="26"/>
  <c r="DC224" i="26"/>
  <c r="DC223" i="26"/>
  <c r="DC222" i="26"/>
  <c r="DC220" i="26"/>
  <c r="DC219" i="26"/>
  <c r="DC218" i="26"/>
  <c r="DC217" i="26"/>
  <c r="DC216" i="26"/>
  <c r="DC215" i="26"/>
  <c r="DC214" i="26"/>
  <c r="DC213" i="26"/>
  <c r="DC212" i="26"/>
  <c r="DC211" i="26"/>
  <c r="DC210" i="26"/>
  <c r="DC209" i="26"/>
  <c r="DC208" i="26"/>
  <c r="DC207" i="26"/>
  <c r="DC206" i="26"/>
  <c r="DC205" i="26"/>
  <c r="DC204" i="26"/>
  <c r="DC203" i="26"/>
  <c r="DC202" i="26"/>
  <c r="DC201" i="26"/>
  <c r="DC200" i="26"/>
  <c r="DC199" i="26"/>
  <c r="DC198" i="26"/>
  <c r="DC197" i="26"/>
  <c r="DC196" i="26"/>
  <c r="DC195" i="26"/>
  <c r="DC194" i="26"/>
  <c r="DC193" i="26"/>
  <c r="DC192" i="26"/>
  <c r="DC191" i="26"/>
  <c r="DC190" i="26"/>
  <c r="DC189" i="26"/>
  <c r="DC188" i="26"/>
  <c r="DC187" i="26"/>
  <c r="DC186" i="26"/>
  <c r="DC185" i="26"/>
  <c r="DC184" i="26"/>
  <c r="DC183" i="26"/>
  <c r="DC182" i="26"/>
  <c r="DC181" i="26"/>
  <c r="DC180" i="26"/>
  <c r="DC179" i="26"/>
  <c r="DC178" i="26"/>
  <c r="DC177" i="26"/>
  <c r="DC176" i="26"/>
  <c r="DC175" i="26"/>
  <c r="DC174" i="26"/>
  <c r="DC173" i="26"/>
  <c r="DC172" i="26"/>
  <c r="DC171" i="26"/>
  <c r="DC170" i="26"/>
  <c r="DC169" i="26"/>
  <c r="DC168" i="26"/>
  <c r="DC167" i="26"/>
  <c r="DC166" i="26"/>
  <c r="DC165" i="26"/>
  <c r="DC164" i="26"/>
  <c r="DC163" i="26"/>
  <c r="DC162" i="26"/>
  <c r="DC161" i="26"/>
  <c r="DC160" i="26"/>
  <c r="DC159" i="26"/>
  <c r="DC158" i="26"/>
  <c r="DC157" i="26"/>
  <c r="DC156" i="26"/>
  <c r="DC155" i="26"/>
  <c r="DC154" i="26"/>
  <c r="DC153" i="26"/>
  <c r="DC152" i="26"/>
  <c r="DC151" i="26"/>
  <c r="DC150" i="26"/>
  <c r="DC149" i="26"/>
  <c r="DC148" i="26"/>
  <c r="DC147" i="26"/>
  <c r="DC146" i="26"/>
  <c r="DC145" i="26"/>
  <c r="DC144" i="26"/>
  <c r="DC143" i="26"/>
  <c r="DC142" i="26"/>
  <c r="DC141" i="26"/>
  <c r="DC140" i="26"/>
  <c r="DC139" i="26"/>
  <c r="DC138" i="26"/>
  <c r="DC137" i="26"/>
  <c r="DC136" i="26"/>
  <c r="DC135" i="26"/>
  <c r="DC134" i="26"/>
  <c r="DC133" i="26"/>
  <c r="DC132" i="26"/>
  <c r="DC131" i="26"/>
  <c r="DC130" i="26"/>
  <c r="DC129" i="26"/>
  <c r="DC128" i="26"/>
  <c r="DC127" i="26"/>
  <c r="DC126" i="26"/>
  <c r="DC125" i="26"/>
  <c r="DC124" i="26"/>
  <c r="DC123" i="26"/>
  <c r="DC122" i="26"/>
  <c r="DC121" i="26"/>
  <c r="DC120" i="26"/>
  <c r="DC119" i="26"/>
  <c r="DC118" i="26"/>
  <c r="DC117" i="26"/>
  <c r="DC116" i="26"/>
  <c r="DC115" i="26"/>
  <c r="DC114" i="26"/>
  <c r="DC113" i="26"/>
  <c r="DC112" i="26"/>
  <c r="DC111" i="26"/>
  <c r="DC110" i="26"/>
  <c r="DC109" i="26"/>
  <c r="DC108" i="26"/>
  <c r="DC107" i="26"/>
  <c r="DC106" i="26"/>
  <c r="DC105" i="26"/>
  <c r="DC104" i="26"/>
  <c r="DC103" i="26"/>
  <c r="DC102" i="26"/>
  <c r="DC101" i="26"/>
  <c r="DC100" i="26"/>
  <c r="DC99" i="26"/>
  <c r="DC98" i="26"/>
  <c r="DC97" i="26"/>
  <c r="DC96" i="26"/>
  <c r="DC95" i="26"/>
  <c r="DC94" i="26"/>
  <c r="DC93" i="26"/>
  <c r="DC92" i="26"/>
  <c r="DC91" i="26"/>
  <c r="DC90" i="26"/>
  <c r="DC89" i="26"/>
  <c r="DC88" i="26"/>
  <c r="DC87" i="26"/>
  <c r="DC86" i="26"/>
  <c r="DC85" i="26"/>
  <c r="DC84" i="26"/>
  <c r="DC83" i="26"/>
  <c r="DC82" i="26"/>
  <c r="DC81" i="26"/>
  <c r="DC80" i="26"/>
  <c r="DC79" i="26"/>
  <c r="DC78" i="26"/>
  <c r="DC77" i="26"/>
  <c r="DC76" i="26"/>
  <c r="DC74" i="26"/>
  <c r="DC73" i="26"/>
  <c r="DC72" i="26"/>
  <c r="DC71" i="26"/>
  <c r="DC70" i="26"/>
  <c r="DC69" i="26"/>
  <c r="DC68" i="26"/>
  <c r="DC67" i="26"/>
  <c r="DC66" i="26"/>
  <c r="DC65" i="26"/>
  <c r="DC64" i="26"/>
  <c r="DC63" i="26"/>
  <c r="DC62" i="26"/>
  <c r="DC61" i="26"/>
  <c r="DC60" i="26"/>
  <c r="DC59" i="26"/>
  <c r="DC58" i="26"/>
  <c r="DC57" i="26"/>
  <c r="DC56" i="26"/>
  <c r="DC55" i="26"/>
  <c r="DC54" i="26"/>
  <c r="DC53" i="26"/>
  <c r="DC52" i="26"/>
  <c r="DC51" i="26"/>
  <c r="DC50" i="26"/>
  <c r="DC49" i="26"/>
  <c r="DC48" i="26"/>
  <c r="DC47" i="26"/>
  <c r="DC46" i="26"/>
  <c r="DC45" i="26"/>
  <c r="DC44" i="26"/>
  <c r="DC43" i="26"/>
  <c r="DC42" i="26"/>
  <c r="DC41" i="26"/>
  <c r="DC40" i="26"/>
  <c r="DC38" i="26"/>
  <c r="DC37" i="26"/>
  <c r="DC36" i="26"/>
  <c r="DC35" i="26"/>
  <c r="DC34" i="26"/>
  <c r="DC33" i="26"/>
  <c r="DC32" i="26"/>
  <c r="DC31" i="26"/>
  <c r="DC30" i="26"/>
  <c r="DC29" i="26"/>
  <c r="DC28" i="26"/>
  <c r="DC27" i="26"/>
  <c r="DC26" i="26"/>
  <c r="DC25" i="26"/>
  <c r="DC24" i="26"/>
  <c r="DC23" i="26"/>
  <c r="DC22" i="26"/>
  <c r="DC21" i="26"/>
  <c r="DC20" i="26"/>
  <c r="DC19" i="26"/>
  <c r="DC18" i="26"/>
  <c r="DC17" i="26"/>
  <c r="DC16" i="26"/>
  <c r="DC15" i="26"/>
  <c r="DC14" i="26"/>
  <c r="DC13" i="26"/>
  <c r="DC12" i="26"/>
  <c r="DC11" i="26"/>
  <c r="DC10" i="26"/>
  <c r="DC9" i="26"/>
  <c r="DC8" i="26"/>
  <c r="DC7" i="26"/>
  <c r="DC6" i="26"/>
  <c r="DC5" i="26"/>
  <c r="DC4" i="26"/>
  <c r="DC3" i="26"/>
  <c r="CY555" i="26"/>
  <c r="CY549" i="26"/>
  <c r="CY548" i="26"/>
  <c r="CY547" i="26"/>
  <c r="CY544" i="26"/>
  <c r="CY539" i="26"/>
  <c r="CY535" i="26"/>
  <c r="CY531" i="26"/>
  <c r="CY530" i="26"/>
  <c r="CY529" i="26"/>
  <c r="CY526" i="26"/>
  <c r="CY525" i="26"/>
  <c r="CY523" i="26"/>
  <c r="CY522" i="26"/>
  <c r="CY521" i="26"/>
  <c r="CY513" i="26"/>
  <c r="CY512" i="26"/>
  <c r="CY511" i="26"/>
  <c r="CY504" i="26"/>
  <c r="CY503" i="26"/>
  <c r="CY502" i="26"/>
  <c r="CY501" i="26"/>
  <c r="CY500" i="26"/>
  <c r="CY498" i="26"/>
  <c r="CY487" i="26"/>
  <c r="CY485" i="26"/>
  <c r="CY476" i="26"/>
  <c r="CY472" i="26"/>
  <c r="CY469" i="26"/>
  <c r="CY468" i="26"/>
  <c r="CY465" i="26"/>
  <c r="CY464" i="26"/>
  <c r="CY463" i="26"/>
  <c r="CY461" i="26"/>
  <c r="CY460" i="26"/>
  <c r="CY459" i="26"/>
  <c r="CY456" i="26"/>
  <c r="CY454" i="26"/>
  <c r="CY453" i="26"/>
  <c r="CY452" i="26"/>
  <c r="CY451" i="26"/>
  <c r="CY449" i="26"/>
  <c r="CY448" i="26"/>
  <c r="CY444" i="26"/>
  <c r="CY443" i="26"/>
  <c r="CY441" i="26"/>
  <c r="CY438" i="26"/>
  <c r="CY437" i="26"/>
  <c r="CY434" i="26"/>
  <c r="CY433" i="26"/>
  <c r="CY432" i="26"/>
  <c r="CY428" i="26"/>
  <c r="CY427" i="26"/>
  <c r="CY426" i="26"/>
  <c r="CY423" i="26"/>
  <c r="CY419" i="26"/>
  <c r="CY415" i="26"/>
  <c r="CY408" i="26"/>
  <c r="CY406" i="26"/>
  <c r="CY404" i="26"/>
  <c r="CY402" i="26"/>
  <c r="CY401" i="26"/>
  <c r="CY400" i="26"/>
  <c r="CY399" i="26"/>
  <c r="CY395" i="26"/>
  <c r="CY394" i="26"/>
  <c r="CY393" i="26"/>
  <c r="CY390" i="26"/>
  <c r="CY388" i="26"/>
  <c r="CY387" i="26"/>
  <c r="CY385" i="26"/>
  <c r="CY384" i="26"/>
  <c r="CY380" i="26"/>
  <c r="CY377" i="26"/>
  <c r="CY376" i="26"/>
  <c r="CY374" i="26"/>
  <c r="CY368" i="26"/>
  <c r="CY365" i="26"/>
  <c r="CY361" i="26"/>
  <c r="CY351" i="26"/>
  <c r="CY348" i="26"/>
  <c r="CY347" i="26"/>
  <c r="CY345" i="26"/>
  <c r="CY341" i="26"/>
  <c r="CY339" i="26"/>
  <c r="CY335" i="26"/>
  <c r="CY332" i="26"/>
  <c r="CY326" i="26"/>
  <c r="CY325" i="26"/>
  <c r="CY324" i="26"/>
  <c r="CY321" i="26"/>
  <c r="CY319" i="26"/>
  <c r="CY315" i="26"/>
  <c r="CY314" i="26"/>
  <c r="CY313" i="26"/>
  <c r="CY312" i="26"/>
  <c r="CY311" i="26"/>
  <c r="CY307" i="26"/>
  <c r="CY305" i="26"/>
  <c r="CY304" i="26"/>
  <c r="CY301" i="26"/>
  <c r="CY299" i="26"/>
  <c r="CY297" i="26"/>
  <c r="CY295" i="26"/>
  <c r="CY294" i="26"/>
  <c r="CY293" i="26"/>
  <c r="CY292" i="26"/>
  <c r="CY290" i="26"/>
  <c r="CY289" i="26"/>
  <c r="CY287" i="26"/>
  <c r="CY283" i="26"/>
  <c r="CY281" i="26"/>
  <c r="CY280" i="26"/>
  <c r="CY277" i="26"/>
  <c r="CY276" i="26"/>
  <c r="CY274" i="26"/>
  <c r="CY269" i="26"/>
  <c r="CY268" i="26"/>
  <c r="CY263" i="26"/>
  <c r="CY260" i="26"/>
  <c r="CY258" i="26"/>
  <c r="CY255" i="26"/>
  <c r="CY252" i="26"/>
  <c r="CY249" i="26"/>
  <c r="CY247" i="26"/>
  <c r="CY246" i="26"/>
  <c r="CY243" i="26"/>
  <c r="CY242" i="26"/>
  <c r="CY241" i="26"/>
  <c r="CY235" i="26"/>
  <c r="CY232" i="26"/>
  <c r="CY230" i="26"/>
  <c r="CY229" i="26"/>
  <c r="CY228" i="26"/>
  <c r="CY223" i="26"/>
  <c r="CY220" i="26"/>
  <c r="CY219" i="26"/>
  <c r="CY217" i="26"/>
  <c r="CY213" i="26"/>
  <c r="CY208" i="26"/>
  <c r="CY207" i="26"/>
  <c r="CY203" i="26"/>
  <c r="CY202" i="26"/>
  <c r="CY195" i="26"/>
  <c r="CY192" i="26"/>
  <c r="CY190" i="26"/>
  <c r="CY189" i="26"/>
  <c r="CY187" i="26"/>
  <c r="CY186" i="26"/>
  <c r="CY185" i="26"/>
  <c r="CY183" i="26"/>
  <c r="CY182" i="26"/>
  <c r="CY179" i="26"/>
  <c r="CY177" i="26"/>
  <c r="CY175" i="26"/>
  <c r="CY173" i="26"/>
  <c r="CY172" i="26"/>
  <c r="CY168" i="26"/>
  <c r="CY163" i="26"/>
  <c r="CY162" i="26"/>
  <c r="CY159" i="26"/>
  <c r="CY154" i="26"/>
  <c r="CY151" i="26"/>
  <c r="CY149" i="26"/>
  <c r="CY146" i="26"/>
  <c r="CY145" i="26"/>
  <c r="CY142" i="26"/>
  <c r="CY141" i="26"/>
  <c r="CY139" i="26"/>
  <c r="CY137" i="26"/>
  <c r="CY136" i="26"/>
  <c r="CY135" i="26"/>
  <c r="CY134" i="26"/>
  <c r="CY131" i="26"/>
  <c r="CY130" i="26"/>
  <c r="CY128" i="26"/>
  <c r="CY124" i="26"/>
  <c r="CY116" i="26"/>
  <c r="CY114" i="26"/>
  <c r="CY113" i="26"/>
  <c r="CY112" i="26"/>
  <c r="CY111" i="26"/>
  <c r="CY110" i="26"/>
  <c r="CY109" i="26"/>
  <c r="CY106" i="26"/>
  <c r="CY104" i="26"/>
  <c r="CY99" i="26"/>
  <c r="CY96" i="26"/>
  <c r="CY88" i="26"/>
  <c r="CY86" i="26"/>
  <c r="CY85" i="26"/>
  <c r="CY84" i="26"/>
  <c r="CY83" i="26"/>
  <c r="CY82" i="26"/>
  <c r="CY81" i="26"/>
  <c r="CY78" i="26"/>
  <c r="CY76" i="26"/>
  <c r="CY72" i="26"/>
  <c r="CY71" i="26"/>
  <c r="CY68" i="26"/>
  <c r="CY67" i="26"/>
  <c r="CY65" i="26"/>
  <c r="CY64" i="26"/>
  <c r="CY63" i="26"/>
  <c r="CY62" i="26"/>
  <c r="CY60" i="26"/>
  <c r="CY58" i="26"/>
  <c r="CY52" i="26"/>
  <c r="CY50" i="26"/>
  <c r="CY49" i="26"/>
  <c r="CY48" i="26"/>
  <c r="CY47" i="26"/>
  <c r="CY46" i="26"/>
  <c r="CY45" i="26"/>
  <c r="CY44" i="26"/>
  <c r="CY42" i="26"/>
  <c r="CY41" i="26"/>
  <c r="CY40" i="26"/>
  <c r="CY38" i="26"/>
  <c r="CY37" i="26"/>
  <c r="CY36" i="26"/>
  <c r="CY34" i="26"/>
  <c r="CY33" i="26"/>
  <c r="CY31" i="26"/>
  <c r="CY29" i="26"/>
  <c r="CY28" i="26"/>
  <c r="CY27" i="26"/>
  <c r="CY26" i="26"/>
  <c r="CY25" i="26"/>
  <c r="CY24" i="26"/>
  <c r="CY23" i="26"/>
  <c r="CY22" i="26"/>
  <c r="CY20" i="26"/>
  <c r="CY16" i="26"/>
  <c r="CY15" i="26"/>
  <c r="CY14" i="26"/>
  <c r="CY13" i="26"/>
  <c r="CY12" i="26"/>
  <c r="CY9" i="26"/>
  <c r="CY8" i="26"/>
  <c r="CY7" i="26"/>
  <c r="CY6" i="26"/>
  <c r="CY4" i="26"/>
  <c r="CS558" i="26"/>
  <c r="CS557" i="26"/>
  <c r="CS556" i="26"/>
  <c r="CS555" i="26"/>
  <c r="CS554" i="26"/>
  <c r="CS553" i="26"/>
  <c r="CS552" i="26"/>
  <c r="CS551" i="26"/>
  <c r="CS550" i="26"/>
  <c r="CS549" i="26"/>
  <c r="CS548" i="26"/>
  <c r="CS547" i="26"/>
  <c r="CS546" i="26"/>
  <c r="CS545" i="26"/>
  <c r="CS544" i="26"/>
  <c r="CS543" i="26"/>
  <c r="CS542" i="26"/>
  <c r="CS541" i="26"/>
  <c r="CS540" i="26"/>
  <c r="CS539" i="26"/>
  <c r="CS538" i="26"/>
  <c r="CS537" i="26"/>
  <c r="CS536" i="26"/>
  <c r="CS535" i="26"/>
  <c r="CS534" i="26"/>
  <c r="CS533" i="26"/>
  <c r="CS532" i="26"/>
  <c r="CS531" i="26"/>
  <c r="CS530" i="26"/>
  <c r="CS529" i="26"/>
  <c r="CS528" i="26"/>
  <c r="CS527" i="26"/>
  <c r="CS526" i="26"/>
  <c r="CS525" i="26"/>
  <c r="CS524" i="26"/>
  <c r="CS523" i="26"/>
  <c r="CS522" i="26"/>
  <c r="CS521" i="26"/>
  <c r="CS520" i="26"/>
  <c r="CS519" i="26"/>
  <c r="CS518" i="26"/>
  <c r="CS517" i="26"/>
  <c r="CS516" i="26"/>
  <c r="CS515" i="26"/>
  <c r="CS514" i="26"/>
  <c r="CS513" i="26"/>
  <c r="CS512" i="26"/>
  <c r="CS511" i="26"/>
  <c r="CS510" i="26"/>
  <c r="CS509" i="26"/>
  <c r="CS508" i="26"/>
  <c r="CS507" i="26"/>
  <c r="CS506" i="26"/>
  <c r="CS505" i="26"/>
  <c r="CS504" i="26"/>
  <c r="CS503" i="26"/>
  <c r="CS502" i="26"/>
  <c r="CS501" i="26"/>
  <c r="CS500" i="26"/>
  <c r="CS499" i="26"/>
  <c r="CS498" i="26"/>
  <c r="CS497" i="26"/>
  <c r="CS496" i="26"/>
  <c r="CS495" i="26"/>
  <c r="CS494" i="26"/>
  <c r="CS493" i="26"/>
  <c r="CS492" i="26"/>
  <c r="CS491" i="26"/>
  <c r="CS490" i="26"/>
  <c r="CS489" i="26"/>
  <c r="CS488" i="26"/>
  <c r="CS487" i="26"/>
  <c r="CS486" i="26"/>
  <c r="CS485" i="26"/>
  <c r="CS484" i="26"/>
  <c r="CS483" i="26"/>
  <c r="CS482" i="26"/>
  <c r="CS481" i="26"/>
  <c r="CS480" i="26"/>
  <c r="CS479" i="26"/>
  <c r="CS478" i="26"/>
  <c r="CS477" i="26"/>
  <c r="CS476" i="26"/>
  <c r="CS475" i="26"/>
  <c r="CS474" i="26"/>
  <c r="CS473" i="26"/>
  <c r="CS472" i="26"/>
  <c r="CS471" i="26"/>
  <c r="CS470" i="26"/>
  <c r="CS469" i="26"/>
  <c r="CS468" i="26"/>
  <c r="CS467" i="26"/>
  <c r="CS466" i="26"/>
  <c r="CS465" i="26"/>
  <c r="CS464" i="26"/>
  <c r="CS463" i="26"/>
  <c r="CS462" i="26"/>
  <c r="CS461" i="26"/>
  <c r="CS460" i="26"/>
  <c r="CS459" i="26"/>
  <c r="CS458" i="26"/>
  <c r="CS457" i="26"/>
  <c r="CS456" i="26"/>
  <c r="CS455" i="26"/>
  <c r="CS454" i="26"/>
  <c r="CS453" i="26"/>
  <c r="CS452" i="26"/>
  <c r="CS451" i="26"/>
  <c r="CS450" i="26"/>
  <c r="CS449" i="26"/>
  <c r="CS448" i="26"/>
  <c r="CS447" i="26"/>
  <c r="CS446" i="26"/>
  <c r="CS445" i="26"/>
  <c r="CS444" i="26"/>
  <c r="CS443" i="26"/>
  <c r="CS442" i="26"/>
  <c r="CS441" i="26"/>
  <c r="CS440" i="26"/>
  <c r="CS439" i="26"/>
  <c r="CS438" i="26"/>
  <c r="CS437" i="26"/>
  <c r="CS436" i="26"/>
  <c r="CS435" i="26"/>
  <c r="CS434" i="26"/>
  <c r="CS433" i="26"/>
  <c r="CS432" i="26"/>
  <c r="CS431" i="26"/>
  <c r="CS430" i="26"/>
  <c r="CS429" i="26"/>
  <c r="CS428" i="26"/>
  <c r="CS427" i="26"/>
  <c r="CS426" i="26"/>
  <c r="CS425" i="26"/>
  <c r="CS424" i="26"/>
  <c r="CS423" i="26"/>
  <c r="CS422" i="26"/>
  <c r="CS421" i="26"/>
  <c r="CS420" i="26"/>
  <c r="CS419" i="26"/>
  <c r="CS418" i="26"/>
  <c r="CS417" i="26"/>
  <c r="CS416" i="26"/>
  <c r="CS415" i="26"/>
  <c r="CS414" i="26"/>
  <c r="CS413" i="26"/>
  <c r="CS412" i="26"/>
  <c r="CS411" i="26"/>
  <c r="CS410" i="26"/>
  <c r="CS409" i="26"/>
  <c r="CS408" i="26"/>
  <c r="CS407" i="26"/>
  <c r="CS406" i="26"/>
  <c r="CS405" i="26"/>
  <c r="CS404" i="26"/>
  <c r="CS403" i="26"/>
  <c r="CS402" i="26"/>
  <c r="CS401" i="26"/>
  <c r="CS400" i="26"/>
  <c r="CS399" i="26"/>
  <c r="CS398" i="26"/>
  <c r="CS397" i="26"/>
  <c r="CS396" i="26"/>
  <c r="CS395" i="26"/>
  <c r="CS394" i="26"/>
  <c r="CS393" i="26"/>
  <c r="CS392" i="26"/>
  <c r="CS391" i="26"/>
  <c r="CS390" i="26"/>
  <c r="CS389" i="26"/>
  <c r="CS388" i="26"/>
  <c r="CS387" i="26"/>
  <c r="CS386" i="26"/>
  <c r="CS385" i="26"/>
  <c r="CS384" i="26"/>
  <c r="CS383" i="26"/>
  <c r="CS382" i="26"/>
  <c r="CS381" i="26"/>
  <c r="CS380" i="26"/>
  <c r="CS379" i="26"/>
  <c r="CS378" i="26"/>
  <c r="CS377" i="26"/>
  <c r="CS376" i="26"/>
  <c r="CS375" i="26"/>
  <c r="CS374" i="26"/>
  <c r="CS373" i="26"/>
  <c r="CS372" i="26"/>
  <c r="CS371" i="26"/>
  <c r="CS370" i="26"/>
  <c r="CS369" i="26"/>
  <c r="CS368" i="26"/>
  <c r="CS367" i="26"/>
  <c r="CS366" i="26"/>
  <c r="CS365" i="26"/>
  <c r="CS364" i="26"/>
  <c r="CS363" i="26"/>
  <c r="CS362" i="26"/>
  <c r="CS361" i="26"/>
  <c r="CS360" i="26"/>
  <c r="CS359" i="26"/>
  <c r="CS358" i="26"/>
  <c r="CS357" i="26"/>
  <c r="CS356" i="26"/>
  <c r="CS355" i="26"/>
  <c r="CS354" i="26"/>
  <c r="CS353" i="26"/>
  <c r="CS352" i="26"/>
  <c r="CS351" i="26"/>
  <c r="CS350" i="26"/>
  <c r="CS349" i="26"/>
  <c r="CS348" i="26"/>
  <c r="CS347" i="26"/>
  <c r="CS346" i="26"/>
  <c r="CS345" i="26"/>
  <c r="CS344" i="26"/>
  <c r="CS343" i="26"/>
  <c r="CS342" i="26"/>
  <c r="CS341" i="26"/>
  <c r="CS340" i="26"/>
  <c r="CS339" i="26"/>
  <c r="CS338" i="26"/>
  <c r="CS337" i="26"/>
  <c r="CS336" i="26"/>
  <c r="CS335" i="26"/>
  <c r="CS334" i="26"/>
  <c r="CS333" i="26"/>
  <c r="CS332" i="26"/>
  <c r="CS331" i="26"/>
  <c r="CS330" i="26"/>
  <c r="CS329" i="26"/>
  <c r="CS328" i="26"/>
  <c r="CS327" i="26"/>
  <c r="CS326" i="26"/>
  <c r="CS325" i="26"/>
  <c r="CS324" i="26"/>
  <c r="CS323" i="26"/>
  <c r="CS322" i="26"/>
  <c r="CS321" i="26"/>
  <c r="CS320" i="26"/>
  <c r="CS319" i="26"/>
  <c r="CS318" i="26"/>
  <c r="CS317" i="26"/>
  <c r="CS316" i="26"/>
  <c r="CS315" i="26"/>
  <c r="CS314" i="26"/>
  <c r="CS313" i="26"/>
  <c r="CS312" i="26"/>
  <c r="CS311" i="26"/>
  <c r="CS310" i="26"/>
  <c r="CS309" i="26"/>
  <c r="CS308" i="26"/>
  <c r="CS307" i="26"/>
  <c r="CS306" i="26"/>
  <c r="CS305" i="26"/>
  <c r="CS304" i="26"/>
  <c r="CS303" i="26"/>
  <c r="CS302" i="26"/>
  <c r="CS301" i="26"/>
  <c r="CS300" i="26"/>
  <c r="CS299" i="26"/>
  <c r="CS298" i="26"/>
  <c r="CS297" i="26"/>
  <c r="CS296" i="26"/>
  <c r="CS295" i="26"/>
  <c r="CS294" i="26"/>
  <c r="CS293" i="26"/>
  <c r="CS292" i="26"/>
  <c r="CS291" i="26"/>
  <c r="CS290" i="26"/>
  <c r="CS289" i="26"/>
  <c r="CS288" i="26"/>
  <c r="CS287" i="26"/>
  <c r="CS286" i="26"/>
  <c r="CS285" i="26"/>
  <c r="CS284" i="26"/>
  <c r="CS283" i="26"/>
  <c r="CS282" i="26"/>
  <c r="CS281" i="26"/>
  <c r="CS280" i="26"/>
  <c r="CS279" i="26"/>
  <c r="CS278" i="26"/>
  <c r="CS277" i="26"/>
  <c r="CS276" i="26"/>
  <c r="CS275" i="26"/>
  <c r="CS274" i="26"/>
  <c r="CS273" i="26"/>
  <c r="CS272" i="26"/>
  <c r="CS271" i="26"/>
  <c r="CS270" i="26"/>
  <c r="CS269" i="26"/>
  <c r="CS268" i="26"/>
  <c r="CS267" i="26"/>
  <c r="CS266" i="26"/>
  <c r="CS265" i="26"/>
  <c r="CS264" i="26"/>
  <c r="CS263" i="26"/>
  <c r="CS262" i="26"/>
  <c r="CS261" i="26"/>
  <c r="CS260" i="26"/>
  <c r="CS259" i="26"/>
  <c r="CS258" i="26"/>
  <c r="CS257" i="26"/>
  <c r="CS256" i="26"/>
  <c r="CS255" i="26"/>
  <c r="CS254" i="26"/>
  <c r="CS253" i="26"/>
  <c r="CS252" i="26"/>
  <c r="CS251" i="26"/>
  <c r="CS250" i="26"/>
  <c r="CS249" i="26"/>
  <c r="CS248" i="26"/>
  <c r="CS247" i="26"/>
  <c r="CS246" i="26"/>
  <c r="CS245" i="26"/>
  <c r="CS244" i="26"/>
  <c r="CS243" i="26"/>
  <c r="CS242" i="26"/>
  <c r="CS241" i="26"/>
  <c r="CS240" i="26"/>
  <c r="CS239" i="26"/>
  <c r="CS238" i="26"/>
  <c r="CS237" i="26"/>
  <c r="CS236" i="26"/>
  <c r="CS235" i="26"/>
  <c r="CS234" i="26"/>
  <c r="CS233" i="26"/>
  <c r="CS232" i="26"/>
  <c r="CS231" i="26"/>
  <c r="CS230" i="26"/>
  <c r="CS229" i="26"/>
  <c r="CS228" i="26"/>
  <c r="CS227" i="26"/>
  <c r="CS226" i="26"/>
  <c r="CS225" i="26"/>
  <c r="CS224" i="26"/>
  <c r="CS223" i="26"/>
  <c r="CS222" i="26"/>
  <c r="CS221" i="26"/>
  <c r="CS220" i="26"/>
  <c r="CS219" i="26"/>
  <c r="CS218" i="26"/>
  <c r="CS217" i="26"/>
  <c r="CS216" i="26"/>
  <c r="CS215" i="26"/>
  <c r="CS214" i="26"/>
  <c r="CS213" i="26"/>
  <c r="CS212" i="26"/>
  <c r="CS211" i="26"/>
  <c r="CS210" i="26"/>
  <c r="CS209" i="26"/>
  <c r="CS208" i="26"/>
  <c r="CS207" i="26"/>
  <c r="CS206" i="26"/>
  <c r="CS205" i="26"/>
  <c r="CS204" i="26"/>
  <c r="CS203" i="26"/>
  <c r="CS202" i="26"/>
  <c r="CS201" i="26"/>
  <c r="CS200" i="26"/>
  <c r="CS199" i="26"/>
  <c r="CS198" i="26"/>
  <c r="CS197" i="26"/>
  <c r="CS196" i="26"/>
  <c r="CS195" i="26"/>
  <c r="CS194" i="26"/>
  <c r="CS193" i="26"/>
  <c r="CS192" i="26"/>
  <c r="CS191" i="26"/>
  <c r="CS190" i="26"/>
  <c r="CS189" i="26"/>
  <c r="CS188" i="26"/>
  <c r="CS187" i="26"/>
  <c r="CS186" i="26"/>
  <c r="CS185" i="26"/>
  <c r="CS184" i="26"/>
  <c r="CS183" i="26"/>
  <c r="CS182" i="26"/>
  <c r="CS181" i="26"/>
  <c r="CS180" i="26"/>
  <c r="CS179" i="26"/>
  <c r="CS178" i="26"/>
  <c r="CS177" i="26"/>
  <c r="CS176" i="26"/>
  <c r="CS175" i="26"/>
  <c r="CS174" i="26"/>
  <c r="CS173" i="26"/>
  <c r="CS172" i="26"/>
  <c r="CS171" i="26"/>
  <c r="CS170" i="26"/>
  <c r="CS169" i="26"/>
  <c r="CS168" i="26"/>
  <c r="CS167" i="26"/>
  <c r="CS166" i="26"/>
  <c r="CS165" i="26"/>
  <c r="CS164" i="26"/>
  <c r="CS163" i="26"/>
  <c r="CS162" i="26"/>
  <c r="CS161" i="26"/>
  <c r="CS160" i="26"/>
  <c r="CS159" i="26"/>
  <c r="CS158" i="26"/>
  <c r="CS157" i="26"/>
  <c r="CS156" i="26"/>
  <c r="CS155" i="26"/>
  <c r="CS154" i="26"/>
  <c r="CS153" i="26"/>
  <c r="CS152" i="26"/>
  <c r="CS151" i="26"/>
  <c r="CS150" i="26"/>
  <c r="CS149" i="26"/>
  <c r="CS148" i="26"/>
  <c r="CS147" i="26"/>
  <c r="CS146" i="26"/>
  <c r="CS145" i="26"/>
  <c r="CS144" i="26"/>
  <c r="CS143" i="26"/>
  <c r="CS142" i="26"/>
  <c r="CS141" i="26"/>
  <c r="CS140" i="26"/>
  <c r="CS139" i="26"/>
  <c r="CS138" i="26"/>
  <c r="CS137" i="26"/>
  <c r="CS136" i="26"/>
  <c r="CS135" i="26"/>
  <c r="CS134" i="26"/>
  <c r="CS133" i="26"/>
  <c r="CS132" i="26"/>
  <c r="CS131" i="26"/>
  <c r="CS130" i="26"/>
  <c r="CS129" i="26"/>
  <c r="CS128" i="26"/>
  <c r="CS127" i="26"/>
  <c r="CS126" i="26"/>
  <c r="CS125" i="26"/>
  <c r="CS124" i="26"/>
  <c r="CS123" i="26"/>
  <c r="CS122" i="26"/>
  <c r="CS121" i="26"/>
  <c r="CS120" i="26"/>
  <c r="CS119" i="26"/>
  <c r="CS118" i="26"/>
  <c r="CS117" i="26"/>
  <c r="CS116" i="26"/>
  <c r="CS115" i="26"/>
  <c r="CS114" i="26"/>
  <c r="CS113" i="26"/>
  <c r="CS112" i="26"/>
  <c r="CS111" i="26"/>
  <c r="CS110" i="26"/>
  <c r="CS109" i="26"/>
  <c r="CS108" i="26"/>
  <c r="CS107" i="26"/>
  <c r="CS106" i="26"/>
  <c r="CS105" i="26"/>
  <c r="CS104" i="26"/>
  <c r="CS103" i="26"/>
  <c r="CS102" i="26"/>
  <c r="CS101" i="26"/>
  <c r="CS100" i="26"/>
  <c r="CS99" i="26"/>
  <c r="CS98" i="26"/>
  <c r="CS97" i="26"/>
  <c r="CS96" i="26"/>
  <c r="CS95" i="26"/>
  <c r="CS94" i="26"/>
  <c r="CS93" i="26"/>
  <c r="CS92" i="26"/>
  <c r="CS91" i="26"/>
  <c r="CS90" i="26"/>
  <c r="CS89" i="26"/>
  <c r="CS88" i="26"/>
  <c r="CS87" i="26"/>
  <c r="CS86" i="26"/>
  <c r="CS85" i="26"/>
  <c r="CS84" i="26"/>
  <c r="CS83" i="26"/>
  <c r="CS82" i="26"/>
  <c r="CS81" i="26"/>
  <c r="CS80" i="26"/>
  <c r="CS79" i="26"/>
  <c r="CS78" i="26"/>
  <c r="CS77" i="26"/>
  <c r="CS76" i="26"/>
  <c r="CS75" i="26"/>
  <c r="CS74" i="26"/>
  <c r="CS73" i="26"/>
  <c r="CS72" i="26"/>
  <c r="CS71" i="26"/>
  <c r="CS70" i="26"/>
  <c r="CS69" i="26"/>
  <c r="CS68" i="26"/>
  <c r="CS67" i="26"/>
  <c r="CS66" i="26"/>
  <c r="CS65" i="26"/>
  <c r="CS64" i="26"/>
  <c r="CS63" i="26"/>
  <c r="CS62" i="26"/>
  <c r="CS61" i="26"/>
  <c r="CS60" i="26"/>
  <c r="CS59" i="26"/>
  <c r="CS58" i="26"/>
  <c r="CS57" i="26"/>
  <c r="CS56" i="26"/>
  <c r="CS55" i="26"/>
  <c r="CS54" i="26"/>
  <c r="CS53" i="26"/>
  <c r="CS52" i="26"/>
  <c r="CS51" i="26"/>
  <c r="CS50" i="26"/>
  <c r="CS49" i="26"/>
  <c r="CS48" i="26"/>
  <c r="CS47" i="26"/>
  <c r="CS46" i="26"/>
  <c r="CS45" i="26"/>
  <c r="CS44" i="26"/>
  <c r="CS43" i="26"/>
  <c r="CS42" i="26"/>
  <c r="CS41" i="26"/>
  <c r="CS40" i="26"/>
  <c r="CS39" i="26"/>
  <c r="CS38" i="26"/>
  <c r="CS37" i="26"/>
  <c r="CS36" i="26"/>
  <c r="CS35" i="26"/>
  <c r="CS34" i="26"/>
  <c r="CS33" i="26"/>
  <c r="CS32" i="26"/>
  <c r="CS31" i="26"/>
  <c r="CS30" i="26"/>
  <c r="CS29" i="26"/>
  <c r="CS28" i="26"/>
  <c r="CS27" i="26"/>
  <c r="CS26" i="26"/>
  <c r="CS25" i="26"/>
  <c r="CS24" i="26"/>
  <c r="CS23" i="26"/>
  <c r="CS22" i="26"/>
  <c r="CS21" i="26"/>
  <c r="CS20" i="26"/>
  <c r="CS19" i="26"/>
  <c r="CS18" i="26"/>
  <c r="CS17" i="26"/>
  <c r="CS16" i="26"/>
  <c r="CS15" i="26"/>
  <c r="CS14" i="26"/>
  <c r="CS13" i="26"/>
  <c r="CS12" i="26"/>
  <c r="CS11" i="26"/>
  <c r="CS10" i="26"/>
  <c r="CS9" i="26"/>
  <c r="CS8" i="26"/>
  <c r="CS7" i="26"/>
  <c r="CS6" i="26"/>
  <c r="CS5" i="26"/>
  <c r="CS4" i="26"/>
  <c r="CS3" i="26"/>
  <c r="CQ558" i="26"/>
  <c r="CQ557" i="26"/>
  <c r="CQ556" i="26"/>
  <c r="CQ555" i="26"/>
  <c r="CQ554" i="26"/>
  <c r="CQ553" i="26"/>
  <c r="CQ552" i="26"/>
  <c r="CQ551" i="26"/>
  <c r="CQ550" i="26"/>
  <c r="CQ549" i="26"/>
  <c r="CQ548" i="26"/>
  <c r="CQ547" i="26"/>
  <c r="CQ546" i="26"/>
  <c r="CQ545" i="26"/>
  <c r="CQ544" i="26"/>
  <c r="CQ543" i="26"/>
  <c r="CQ542" i="26"/>
  <c r="CQ541" i="26"/>
  <c r="CQ540" i="26"/>
  <c r="CQ539" i="26"/>
  <c r="CQ538" i="26"/>
  <c r="CQ537" i="26"/>
  <c r="CQ536" i="26"/>
  <c r="CQ535" i="26"/>
  <c r="CQ534" i="26"/>
  <c r="CQ533" i="26"/>
  <c r="CQ532" i="26"/>
  <c r="CQ531" i="26"/>
  <c r="CQ530" i="26"/>
  <c r="CQ529" i="26"/>
  <c r="CQ528" i="26"/>
  <c r="CQ527" i="26"/>
  <c r="CQ526" i="26"/>
  <c r="CQ525" i="26"/>
  <c r="CQ524" i="26"/>
  <c r="CQ523" i="26"/>
  <c r="CQ522" i="26"/>
  <c r="CQ521" i="26"/>
  <c r="CQ520" i="26"/>
  <c r="CQ519" i="26"/>
  <c r="CQ518" i="26"/>
  <c r="CQ517" i="26"/>
  <c r="CQ516" i="26"/>
  <c r="CQ515" i="26"/>
  <c r="CQ514" i="26"/>
  <c r="CQ513" i="26"/>
  <c r="CQ512" i="26"/>
  <c r="CQ511" i="26"/>
  <c r="CQ510" i="26"/>
  <c r="CQ509" i="26"/>
  <c r="CQ508" i="26"/>
  <c r="CQ507" i="26"/>
  <c r="CQ506" i="26"/>
  <c r="CQ505" i="26"/>
  <c r="CQ504" i="26"/>
  <c r="CQ503" i="26"/>
  <c r="CQ502" i="26"/>
  <c r="CQ501" i="26"/>
  <c r="CQ500" i="26"/>
  <c r="CQ499" i="26"/>
  <c r="CQ498" i="26"/>
  <c r="CQ497" i="26"/>
  <c r="CQ496" i="26"/>
  <c r="CQ495" i="26"/>
  <c r="CQ494" i="26"/>
  <c r="CQ493" i="26"/>
  <c r="CQ492" i="26"/>
  <c r="CQ491" i="26"/>
  <c r="CQ490" i="26"/>
  <c r="CQ489" i="26"/>
  <c r="CQ488" i="26"/>
  <c r="CQ487" i="26"/>
  <c r="CQ486" i="26"/>
  <c r="CQ485" i="26"/>
  <c r="CQ484" i="26"/>
  <c r="CQ483" i="26"/>
  <c r="CQ482" i="26"/>
  <c r="CQ481" i="26"/>
  <c r="CQ480" i="26"/>
  <c r="CQ479" i="26"/>
  <c r="CQ478" i="26"/>
  <c r="CQ477" i="26"/>
  <c r="CQ476" i="26"/>
  <c r="CQ475" i="26"/>
  <c r="CQ474" i="26"/>
  <c r="CQ473" i="26"/>
  <c r="CQ472" i="26"/>
  <c r="CQ471" i="26"/>
  <c r="CQ470" i="26"/>
  <c r="CQ469" i="26"/>
  <c r="CQ468" i="26"/>
  <c r="CQ467" i="26"/>
  <c r="CQ466" i="26"/>
  <c r="CQ465" i="26"/>
  <c r="CQ464" i="26"/>
  <c r="CQ463" i="26"/>
  <c r="CQ462" i="26"/>
  <c r="CQ461" i="26"/>
  <c r="CQ460" i="26"/>
  <c r="CQ459" i="26"/>
  <c r="CQ458" i="26"/>
  <c r="CQ457" i="26"/>
  <c r="CQ456" i="26"/>
  <c r="CQ455" i="26"/>
  <c r="CQ454" i="26"/>
  <c r="CQ453" i="26"/>
  <c r="CQ452" i="26"/>
  <c r="CQ451" i="26"/>
  <c r="CQ450" i="26"/>
  <c r="CQ449" i="26"/>
  <c r="CQ448" i="26"/>
  <c r="CQ447" i="26"/>
  <c r="CQ446" i="26"/>
  <c r="CQ445" i="26"/>
  <c r="CQ444" i="26"/>
  <c r="CQ443" i="26"/>
  <c r="CQ442" i="26"/>
  <c r="CQ441" i="26"/>
  <c r="CQ440" i="26"/>
  <c r="CQ439" i="26"/>
  <c r="CQ438" i="26"/>
  <c r="CQ437" i="26"/>
  <c r="CQ436" i="26"/>
  <c r="CQ435" i="26"/>
  <c r="CQ434" i="26"/>
  <c r="CQ433" i="26"/>
  <c r="CQ432" i="26"/>
  <c r="CQ431" i="26"/>
  <c r="CQ430" i="26"/>
  <c r="CQ429" i="26"/>
  <c r="CQ428" i="26"/>
  <c r="CQ427" i="26"/>
  <c r="CQ426" i="26"/>
  <c r="CQ425" i="26"/>
  <c r="CQ424" i="26"/>
  <c r="CQ423" i="26"/>
  <c r="CQ422" i="26"/>
  <c r="CQ421" i="26"/>
  <c r="CQ420" i="26"/>
  <c r="CQ419" i="26"/>
  <c r="CQ418" i="26"/>
  <c r="CQ417" i="26"/>
  <c r="CQ416" i="26"/>
  <c r="CQ415" i="26"/>
  <c r="CQ414" i="26"/>
  <c r="CQ413" i="26"/>
  <c r="CQ412" i="26"/>
  <c r="CQ411" i="26"/>
  <c r="CQ410" i="26"/>
  <c r="CQ409" i="26"/>
  <c r="CQ408" i="26"/>
  <c r="CQ407" i="26"/>
  <c r="CQ406" i="26"/>
  <c r="CQ405" i="26"/>
  <c r="CQ404" i="26"/>
  <c r="CQ403" i="26"/>
  <c r="CQ402" i="26"/>
  <c r="CQ401" i="26"/>
  <c r="CQ400" i="26"/>
  <c r="CQ399" i="26"/>
  <c r="CQ398" i="26"/>
  <c r="CQ397" i="26"/>
  <c r="CQ396" i="26"/>
  <c r="CQ395" i="26"/>
  <c r="CQ394" i="26"/>
  <c r="CQ393" i="26"/>
  <c r="CQ392" i="26"/>
  <c r="CQ391" i="26"/>
  <c r="CQ390" i="26"/>
  <c r="CQ389" i="26"/>
  <c r="CQ388" i="26"/>
  <c r="CQ387" i="26"/>
  <c r="CQ386" i="26"/>
  <c r="CQ385" i="26"/>
  <c r="CQ384" i="26"/>
  <c r="CQ383" i="26"/>
  <c r="CQ382" i="26"/>
  <c r="CQ381" i="26"/>
  <c r="CQ380" i="26"/>
  <c r="CQ379" i="26"/>
  <c r="CQ378" i="26"/>
  <c r="CQ377" i="26"/>
  <c r="CQ376" i="26"/>
  <c r="CQ375" i="26"/>
  <c r="CQ374" i="26"/>
  <c r="CQ373" i="26"/>
  <c r="CQ372" i="26"/>
  <c r="CQ371" i="26"/>
  <c r="CQ370" i="26"/>
  <c r="CQ369" i="26"/>
  <c r="CQ368" i="26"/>
  <c r="CQ367" i="26"/>
  <c r="CQ366" i="26"/>
  <c r="CQ365" i="26"/>
  <c r="CQ364" i="26"/>
  <c r="CQ363" i="26"/>
  <c r="CQ362" i="26"/>
  <c r="CQ361" i="26"/>
  <c r="CQ360" i="26"/>
  <c r="CQ359" i="26"/>
  <c r="CQ358" i="26"/>
  <c r="CQ357" i="26"/>
  <c r="CQ356" i="26"/>
  <c r="CQ355" i="26"/>
  <c r="CQ354" i="26"/>
  <c r="CQ353" i="26"/>
  <c r="CQ352" i="26"/>
  <c r="CQ351" i="26"/>
  <c r="CQ350" i="26"/>
  <c r="CQ349" i="26"/>
  <c r="CQ348" i="26"/>
  <c r="CQ347" i="26"/>
  <c r="CQ346" i="26"/>
  <c r="CQ345" i="26"/>
  <c r="CQ344" i="26"/>
  <c r="CQ343" i="26"/>
  <c r="CQ342" i="26"/>
  <c r="CQ341" i="26"/>
  <c r="CQ340" i="26"/>
  <c r="CQ339" i="26"/>
  <c r="CQ338" i="26"/>
  <c r="CQ337" i="26"/>
  <c r="CQ336" i="26"/>
  <c r="CQ335" i="26"/>
  <c r="CQ334" i="26"/>
  <c r="CQ333" i="26"/>
  <c r="CQ332" i="26"/>
  <c r="CQ331" i="26"/>
  <c r="CQ330" i="26"/>
  <c r="CQ329" i="26"/>
  <c r="CQ328" i="26"/>
  <c r="CQ327" i="26"/>
  <c r="CQ326" i="26"/>
  <c r="CQ325" i="26"/>
  <c r="CQ324" i="26"/>
  <c r="CQ323" i="26"/>
  <c r="CQ322" i="26"/>
  <c r="CQ321" i="26"/>
  <c r="CQ320" i="26"/>
  <c r="CQ319" i="26"/>
  <c r="CQ318" i="26"/>
  <c r="CQ317" i="26"/>
  <c r="CQ316" i="26"/>
  <c r="CQ315" i="26"/>
  <c r="CQ314" i="26"/>
  <c r="CQ313" i="26"/>
  <c r="CQ312" i="26"/>
  <c r="CQ311" i="26"/>
  <c r="CQ310" i="26"/>
  <c r="CQ309" i="26"/>
  <c r="CQ308" i="26"/>
  <c r="CQ307" i="26"/>
  <c r="CQ306" i="26"/>
  <c r="CQ305" i="26"/>
  <c r="CQ304" i="26"/>
  <c r="CQ303" i="26"/>
  <c r="CQ302" i="26"/>
  <c r="CQ301" i="26"/>
  <c r="CQ300" i="26"/>
  <c r="CQ299" i="26"/>
  <c r="CQ298" i="26"/>
  <c r="CQ297" i="26"/>
  <c r="CQ296" i="26"/>
  <c r="CQ295" i="26"/>
  <c r="CQ294" i="26"/>
  <c r="CQ293" i="26"/>
  <c r="CQ292" i="26"/>
  <c r="CQ291" i="26"/>
  <c r="CQ290" i="26"/>
  <c r="CQ289" i="26"/>
  <c r="CQ288" i="26"/>
  <c r="CQ287" i="26"/>
  <c r="CQ286" i="26"/>
  <c r="CQ285" i="26"/>
  <c r="CQ284" i="26"/>
  <c r="CQ283" i="26"/>
  <c r="CQ282" i="26"/>
  <c r="CQ281" i="26"/>
  <c r="CQ280" i="26"/>
  <c r="CQ279" i="26"/>
  <c r="CQ278" i="26"/>
  <c r="CQ277" i="26"/>
  <c r="CQ276" i="26"/>
  <c r="CQ275" i="26"/>
  <c r="CQ274" i="26"/>
  <c r="CQ273" i="26"/>
  <c r="CQ272" i="26"/>
  <c r="CQ271" i="26"/>
  <c r="CQ270" i="26"/>
  <c r="CQ269" i="26"/>
  <c r="CQ268" i="26"/>
  <c r="CQ267" i="26"/>
  <c r="CQ266" i="26"/>
  <c r="CQ265" i="26"/>
  <c r="CQ264" i="26"/>
  <c r="CQ263" i="26"/>
  <c r="CQ262" i="26"/>
  <c r="CQ261" i="26"/>
  <c r="CQ260" i="26"/>
  <c r="CQ259" i="26"/>
  <c r="CQ258" i="26"/>
  <c r="CQ257" i="26"/>
  <c r="CQ256" i="26"/>
  <c r="CQ255" i="26"/>
  <c r="CQ254" i="26"/>
  <c r="CQ253" i="26"/>
  <c r="CQ252" i="26"/>
  <c r="CQ251" i="26"/>
  <c r="CQ250" i="26"/>
  <c r="CQ249" i="26"/>
  <c r="CQ248" i="26"/>
  <c r="CQ247" i="26"/>
  <c r="CQ246" i="26"/>
  <c r="CQ245" i="26"/>
  <c r="CQ244" i="26"/>
  <c r="CQ243" i="26"/>
  <c r="CQ242" i="26"/>
  <c r="CQ241" i="26"/>
  <c r="CQ240" i="26"/>
  <c r="CQ239" i="26"/>
  <c r="CQ238" i="26"/>
  <c r="CQ237" i="26"/>
  <c r="CQ236" i="26"/>
  <c r="CQ235" i="26"/>
  <c r="CQ234" i="26"/>
  <c r="CQ233" i="26"/>
  <c r="CQ232" i="26"/>
  <c r="CQ231" i="26"/>
  <c r="CQ230" i="26"/>
  <c r="CQ229" i="26"/>
  <c r="CQ228" i="26"/>
  <c r="CQ227" i="26"/>
  <c r="CQ226" i="26"/>
  <c r="CQ225" i="26"/>
  <c r="CQ224" i="26"/>
  <c r="CQ223" i="26"/>
  <c r="CQ222" i="26"/>
  <c r="CQ221" i="26"/>
  <c r="CQ220" i="26"/>
  <c r="CQ219" i="26"/>
  <c r="CQ218" i="26"/>
  <c r="CQ217" i="26"/>
  <c r="CQ216" i="26"/>
  <c r="CQ215" i="26"/>
  <c r="CQ214" i="26"/>
  <c r="CQ213" i="26"/>
  <c r="CQ212" i="26"/>
  <c r="CQ211" i="26"/>
  <c r="CQ210" i="26"/>
  <c r="CQ209" i="26"/>
  <c r="CQ208" i="26"/>
  <c r="CQ207" i="26"/>
  <c r="CQ206" i="26"/>
  <c r="CQ205" i="26"/>
  <c r="CQ204" i="26"/>
  <c r="CQ203" i="26"/>
  <c r="CQ202" i="26"/>
  <c r="CQ201" i="26"/>
  <c r="CQ200" i="26"/>
  <c r="CQ199" i="26"/>
  <c r="CQ198" i="26"/>
  <c r="CQ197" i="26"/>
  <c r="CQ196" i="26"/>
  <c r="CQ195" i="26"/>
  <c r="CQ194" i="26"/>
  <c r="CQ193" i="26"/>
  <c r="CQ192" i="26"/>
  <c r="CQ191" i="26"/>
  <c r="CQ190" i="26"/>
  <c r="CQ189" i="26"/>
  <c r="CQ188" i="26"/>
  <c r="CQ187" i="26"/>
  <c r="CQ186" i="26"/>
  <c r="CQ185" i="26"/>
  <c r="CQ184" i="26"/>
  <c r="CQ183" i="26"/>
  <c r="CQ182" i="26"/>
  <c r="CQ181" i="26"/>
  <c r="CQ180" i="26"/>
  <c r="CQ179" i="26"/>
  <c r="CQ178" i="26"/>
  <c r="CQ177" i="26"/>
  <c r="CQ176" i="26"/>
  <c r="CQ175" i="26"/>
  <c r="CQ174" i="26"/>
  <c r="CQ173" i="26"/>
  <c r="CQ172" i="26"/>
  <c r="CQ171" i="26"/>
  <c r="CQ170" i="26"/>
  <c r="CQ169" i="26"/>
  <c r="CQ168" i="26"/>
  <c r="CQ167" i="26"/>
  <c r="CQ166" i="26"/>
  <c r="CQ165" i="26"/>
  <c r="CQ164" i="26"/>
  <c r="CQ163" i="26"/>
  <c r="CQ162" i="26"/>
  <c r="CQ161" i="26"/>
  <c r="CQ160" i="26"/>
  <c r="CQ159" i="26"/>
  <c r="CQ158" i="26"/>
  <c r="CQ157" i="26"/>
  <c r="CQ156" i="26"/>
  <c r="CQ155" i="26"/>
  <c r="CQ154" i="26"/>
  <c r="CQ153" i="26"/>
  <c r="CQ152" i="26"/>
  <c r="CQ151" i="26"/>
  <c r="CQ150" i="26"/>
  <c r="CQ149" i="26"/>
  <c r="CQ148" i="26"/>
  <c r="CQ147" i="26"/>
  <c r="CQ146" i="26"/>
  <c r="CQ145" i="26"/>
  <c r="CQ144" i="26"/>
  <c r="CQ143" i="26"/>
  <c r="CQ142" i="26"/>
  <c r="CQ141" i="26"/>
  <c r="CQ140" i="26"/>
  <c r="CQ139" i="26"/>
  <c r="CQ138" i="26"/>
  <c r="CQ137" i="26"/>
  <c r="CQ136" i="26"/>
  <c r="CQ135" i="26"/>
  <c r="CQ134" i="26"/>
  <c r="CQ133" i="26"/>
  <c r="CQ132" i="26"/>
  <c r="CQ131" i="26"/>
  <c r="CQ130" i="26"/>
  <c r="CQ129" i="26"/>
  <c r="CQ128" i="26"/>
  <c r="CQ127" i="26"/>
  <c r="CQ126" i="26"/>
  <c r="CQ125" i="26"/>
  <c r="CQ124" i="26"/>
  <c r="CQ123" i="26"/>
  <c r="CQ122" i="26"/>
  <c r="CQ121" i="26"/>
  <c r="CQ120" i="26"/>
  <c r="CQ119" i="26"/>
  <c r="CQ118" i="26"/>
  <c r="CQ117" i="26"/>
  <c r="CQ116" i="26"/>
  <c r="CQ115" i="26"/>
  <c r="CQ114" i="26"/>
  <c r="CQ113" i="26"/>
  <c r="CQ112" i="26"/>
  <c r="CQ111" i="26"/>
  <c r="CQ110" i="26"/>
  <c r="CQ109" i="26"/>
  <c r="CQ108" i="26"/>
  <c r="CQ107" i="26"/>
  <c r="CQ106" i="26"/>
  <c r="CQ105" i="26"/>
  <c r="CQ104" i="26"/>
  <c r="CQ103" i="26"/>
  <c r="CQ102" i="26"/>
  <c r="CQ101" i="26"/>
  <c r="CQ100" i="26"/>
  <c r="CQ99" i="26"/>
  <c r="CQ98" i="26"/>
  <c r="CQ97" i="26"/>
  <c r="CQ96" i="26"/>
  <c r="CQ95" i="26"/>
  <c r="CQ94" i="26"/>
  <c r="CQ93" i="26"/>
  <c r="CQ92" i="26"/>
  <c r="CQ91" i="26"/>
  <c r="CQ90" i="26"/>
  <c r="CQ89" i="26"/>
  <c r="CQ88" i="26"/>
  <c r="CQ87" i="26"/>
  <c r="CQ86" i="26"/>
  <c r="CQ85" i="26"/>
  <c r="CQ84" i="26"/>
  <c r="CQ83" i="26"/>
  <c r="CQ82" i="26"/>
  <c r="CQ81" i="26"/>
  <c r="CQ80" i="26"/>
  <c r="CQ79" i="26"/>
  <c r="CQ78" i="26"/>
  <c r="CQ77" i="26"/>
  <c r="CQ76" i="26"/>
  <c r="CQ75" i="26"/>
  <c r="CQ74" i="26"/>
  <c r="CQ73" i="26"/>
  <c r="CQ72" i="26"/>
  <c r="CQ71" i="26"/>
  <c r="CQ70" i="26"/>
  <c r="CQ69" i="26"/>
  <c r="CQ68" i="26"/>
  <c r="CQ67" i="26"/>
  <c r="CQ66" i="26"/>
  <c r="CQ65" i="26"/>
  <c r="CQ64" i="26"/>
  <c r="CQ63" i="26"/>
  <c r="CQ62" i="26"/>
  <c r="CQ61" i="26"/>
  <c r="CQ60" i="26"/>
  <c r="CQ59" i="26"/>
  <c r="CQ58" i="26"/>
  <c r="CQ57" i="26"/>
  <c r="CQ56" i="26"/>
  <c r="CQ55" i="26"/>
  <c r="CQ54" i="26"/>
  <c r="CQ53" i="26"/>
  <c r="CQ52" i="26"/>
  <c r="CQ51" i="26"/>
  <c r="CQ50" i="26"/>
  <c r="CQ49" i="26"/>
  <c r="CQ48" i="26"/>
  <c r="CQ47" i="26"/>
  <c r="CQ46" i="26"/>
  <c r="CQ45" i="26"/>
  <c r="CQ44" i="26"/>
  <c r="CQ43" i="26"/>
  <c r="CQ42" i="26"/>
  <c r="CQ41" i="26"/>
  <c r="CQ40" i="26"/>
  <c r="CQ39" i="26"/>
  <c r="CQ38" i="26"/>
  <c r="CQ37" i="26"/>
  <c r="CQ36" i="26"/>
  <c r="CQ35" i="26"/>
  <c r="CQ34" i="26"/>
  <c r="CQ33" i="26"/>
  <c r="CQ32" i="26"/>
  <c r="CQ31" i="26"/>
  <c r="CQ30" i="26"/>
  <c r="CQ29" i="26"/>
  <c r="CQ28" i="26"/>
  <c r="CQ27" i="26"/>
  <c r="CQ26" i="26"/>
  <c r="CQ25" i="26"/>
  <c r="CQ24" i="26"/>
  <c r="CQ23" i="26"/>
  <c r="CQ22" i="26"/>
  <c r="CQ21" i="26"/>
  <c r="CQ20" i="26"/>
  <c r="CQ19" i="26"/>
  <c r="CQ18" i="26"/>
  <c r="CQ17" i="26"/>
  <c r="CQ16" i="26"/>
  <c r="CQ15" i="26"/>
  <c r="CQ14" i="26"/>
  <c r="CQ13" i="26"/>
  <c r="CQ12" i="26"/>
  <c r="CQ11" i="26"/>
  <c r="CQ10" i="26"/>
  <c r="CQ9" i="26"/>
  <c r="CQ8" i="26"/>
  <c r="CQ7" i="26"/>
  <c r="CQ6" i="26"/>
  <c r="CQ5" i="26"/>
  <c r="CQ4" i="26"/>
  <c r="CQ3" i="26"/>
  <c r="CH558" i="26"/>
  <c r="CH557" i="26"/>
  <c r="CH556" i="26"/>
  <c r="CH555" i="26"/>
  <c r="CH554" i="26"/>
  <c r="CH553" i="26"/>
  <c r="CH552" i="26"/>
  <c r="CH551" i="26"/>
  <c r="CH550" i="26"/>
  <c r="CH549" i="26"/>
  <c r="CH548" i="26"/>
  <c r="CH547" i="26"/>
  <c r="CH546" i="26"/>
  <c r="CH545" i="26"/>
  <c r="CH544" i="26"/>
  <c r="CH543" i="26"/>
  <c r="CH542" i="26"/>
  <c r="CH541" i="26"/>
  <c r="CH540" i="26"/>
  <c r="CH539" i="26"/>
  <c r="CH538" i="26"/>
  <c r="CH537" i="26"/>
  <c r="CH536" i="26"/>
  <c r="CH535" i="26"/>
  <c r="CH534" i="26"/>
  <c r="CH533" i="26"/>
  <c r="CH532" i="26"/>
  <c r="CH531" i="26"/>
  <c r="CH530" i="26"/>
  <c r="CH529" i="26"/>
  <c r="CH528" i="26"/>
  <c r="CH527" i="26"/>
  <c r="CH526" i="26"/>
  <c r="CH525" i="26"/>
  <c r="CH524" i="26"/>
  <c r="CH523" i="26"/>
  <c r="CH522" i="26"/>
  <c r="CH521" i="26"/>
  <c r="CH520" i="26"/>
  <c r="CH519" i="26"/>
  <c r="CH518" i="26"/>
  <c r="CH517" i="26"/>
  <c r="CH516" i="26"/>
  <c r="CH515" i="26"/>
  <c r="CH514" i="26"/>
  <c r="CH513" i="26"/>
  <c r="CH512" i="26"/>
  <c r="CH511" i="26"/>
  <c r="CH510" i="26"/>
  <c r="CH509" i="26"/>
  <c r="CH508" i="26"/>
  <c r="CH507" i="26"/>
  <c r="CH506" i="26"/>
  <c r="CH505" i="26"/>
  <c r="CH504" i="26"/>
  <c r="CH503" i="26"/>
  <c r="CH502" i="26"/>
  <c r="CH501" i="26"/>
  <c r="CH500" i="26"/>
  <c r="CH499" i="26"/>
  <c r="CH498" i="26"/>
  <c r="CH497" i="26"/>
  <c r="CH496" i="26"/>
  <c r="CH495" i="26"/>
  <c r="CH494" i="26"/>
  <c r="CH493" i="26"/>
  <c r="CH492" i="26"/>
  <c r="CH491" i="26"/>
  <c r="CH490" i="26"/>
  <c r="CH489" i="26"/>
  <c r="CH488" i="26"/>
  <c r="CH487" i="26"/>
  <c r="CH486" i="26"/>
  <c r="CH485" i="26"/>
  <c r="CH484" i="26"/>
  <c r="CH483" i="26"/>
  <c r="CH482" i="26"/>
  <c r="CH481" i="26"/>
  <c r="CH480" i="26"/>
  <c r="CH479" i="26"/>
  <c r="CH478" i="26"/>
  <c r="CH477" i="26"/>
  <c r="CH476" i="26"/>
  <c r="CH475" i="26"/>
  <c r="CH474" i="26"/>
  <c r="CH473" i="26"/>
  <c r="CH472" i="26"/>
  <c r="CH471" i="26"/>
  <c r="CH470" i="26"/>
  <c r="CH469" i="26"/>
  <c r="CH468" i="26"/>
  <c r="CH467" i="26"/>
  <c r="CH466" i="26"/>
  <c r="CH465" i="26"/>
  <c r="CH464" i="26"/>
  <c r="CH463" i="26"/>
  <c r="CH462" i="26"/>
  <c r="CH461" i="26"/>
  <c r="CH460" i="26"/>
  <c r="CH459" i="26"/>
  <c r="CH458" i="26"/>
  <c r="CH457" i="26"/>
  <c r="CH456" i="26"/>
  <c r="CH455" i="26"/>
  <c r="CH454" i="26"/>
  <c r="CH453" i="26"/>
  <c r="CH452" i="26"/>
  <c r="CH451" i="26"/>
  <c r="CH450" i="26"/>
  <c r="CH449" i="26"/>
  <c r="CH448" i="26"/>
  <c r="CH447" i="26"/>
  <c r="CH446" i="26"/>
  <c r="CH445" i="26"/>
  <c r="CH444" i="26"/>
  <c r="CH443" i="26"/>
  <c r="CH442" i="26"/>
  <c r="CH441" i="26"/>
  <c r="CH440" i="26"/>
  <c r="CH439" i="26"/>
  <c r="CH438" i="26"/>
  <c r="CH437" i="26"/>
  <c r="CH436" i="26"/>
  <c r="CH435" i="26"/>
  <c r="CH434" i="26"/>
  <c r="CH433" i="26"/>
  <c r="CH432" i="26"/>
  <c r="CH431" i="26"/>
  <c r="CH430" i="26"/>
  <c r="CH429" i="26"/>
  <c r="CH428" i="26"/>
  <c r="CH427" i="26"/>
  <c r="CH426" i="26"/>
  <c r="CH425" i="26"/>
  <c r="CH424" i="26"/>
  <c r="CH423" i="26"/>
  <c r="CH422" i="26"/>
  <c r="CH421" i="26"/>
  <c r="CH420" i="26"/>
  <c r="CH419" i="26"/>
  <c r="CH418" i="26"/>
  <c r="CH417" i="26"/>
  <c r="CH416" i="26"/>
  <c r="CH415" i="26"/>
  <c r="CH414" i="26"/>
  <c r="CH413" i="26"/>
  <c r="CH412" i="26"/>
  <c r="CH411" i="26"/>
  <c r="CH410" i="26"/>
  <c r="CH409" i="26"/>
  <c r="CH408" i="26"/>
  <c r="CH407" i="26"/>
  <c r="CH406" i="26"/>
  <c r="CH405" i="26"/>
  <c r="CH404" i="26"/>
  <c r="CH403" i="26"/>
  <c r="CH402" i="26"/>
  <c r="CH401" i="26"/>
  <c r="CH400" i="26"/>
  <c r="CH399" i="26"/>
  <c r="CH398" i="26"/>
  <c r="CH397" i="26"/>
  <c r="CH396" i="26"/>
  <c r="CH395" i="26"/>
  <c r="CH394" i="26"/>
  <c r="CH393" i="26"/>
  <c r="CH392" i="26"/>
  <c r="CH391" i="26"/>
  <c r="CH390" i="26"/>
  <c r="CH389" i="26"/>
  <c r="CH388" i="26"/>
  <c r="CH387" i="26"/>
  <c r="CH386" i="26"/>
  <c r="CH385" i="26"/>
  <c r="CH384" i="26"/>
  <c r="CH383" i="26"/>
  <c r="CH382" i="26"/>
  <c r="CH381" i="26"/>
  <c r="CH380" i="26"/>
  <c r="CH379" i="26"/>
  <c r="CH378" i="26"/>
  <c r="CH377" i="26"/>
  <c r="CH376" i="26"/>
  <c r="CH375" i="26"/>
  <c r="CH374" i="26"/>
  <c r="CH373" i="26"/>
  <c r="CH372" i="26"/>
  <c r="CH371" i="26"/>
  <c r="CH370" i="26"/>
  <c r="CH369" i="26"/>
  <c r="CH368" i="26"/>
  <c r="CH367" i="26"/>
  <c r="CH366" i="26"/>
  <c r="CH365" i="26"/>
  <c r="CH364" i="26"/>
  <c r="CH363" i="26"/>
  <c r="CH362" i="26"/>
  <c r="CH361" i="26"/>
  <c r="CH360" i="26"/>
  <c r="CH359" i="26"/>
  <c r="CH358" i="26"/>
  <c r="CH357" i="26"/>
  <c r="CH356" i="26"/>
  <c r="CH355" i="26"/>
  <c r="CH354" i="26"/>
  <c r="CH353" i="26"/>
  <c r="CH352" i="26"/>
  <c r="CH351" i="26"/>
  <c r="CH350" i="26"/>
  <c r="CH349" i="26"/>
  <c r="CH348" i="26"/>
  <c r="CH347" i="26"/>
  <c r="CH346" i="26"/>
  <c r="CH345" i="26"/>
  <c r="CH344" i="26"/>
  <c r="CH343" i="26"/>
  <c r="CH342" i="26"/>
  <c r="CH341" i="26"/>
  <c r="CH340" i="26"/>
  <c r="CH339" i="26"/>
  <c r="CH338" i="26"/>
  <c r="CH337" i="26"/>
  <c r="CH336" i="26"/>
  <c r="CH335" i="26"/>
  <c r="CH334" i="26"/>
  <c r="CH333" i="26"/>
  <c r="CH332" i="26"/>
  <c r="CH331" i="26"/>
  <c r="CH330" i="26"/>
  <c r="CH329" i="26"/>
  <c r="CH328" i="26"/>
  <c r="CH327" i="26"/>
  <c r="CH326" i="26"/>
  <c r="CH325" i="26"/>
  <c r="CH324" i="26"/>
  <c r="CH323" i="26"/>
  <c r="CH322" i="26"/>
  <c r="CH321" i="26"/>
  <c r="CH320" i="26"/>
  <c r="CH319" i="26"/>
  <c r="CH318" i="26"/>
  <c r="CH317" i="26"/>
  <c r="CH316" i="26"/>
  <c r="CH315" i="26"/>
  <c r="CH314" i="26"/>
  <c r="CH313" i="26"/>
  <c r="CH312" i="26"/>
  <c r="CH311" i="26"/>
  <c r="CH310" i="26"/>
  <c r="CH309" i="26"/>
  <c r="CH308" i="26"/>
  <c r="CH307" i="26"/>
  <c r="CH306" i="26"/>
  <c r="CH305" i="26"/>
  <c r="CH304" i="26"/>
  <c r="CH303" i="26"/>
  <c r="CH302" i="26"/>
  <c r="CH301" i="26"/>
  <c r="CH300" i="26"/>
  <c r="CH299" i="26"/>
  <c r="CH298" i="26"/>
  <c r="CH297" i="26"/>
  <c r="CH296" i="26"/>
  <c r="CH295" i="26"/>
  <c r="CH294" i="26"/>
  <c r="CH293" i="26"/>
  <c r="CH292" i="26"/>
  <c r="CH291" i="26"/>
  <c r="CH290" i="26"/>
  <c r="CH289" i="26"/>
  <c r="CH288" i="26"/>
  <c r="CH287" i="26"/>
  <c r="CH286" i="26"/>
  <c r="CH285" i="26"/>
  <c r="CH284" i="26"/>
  <c r="CH283" i="26"/>
  <c r="CH282" i="26"/>
  <c r="CH281" i="26"/>
  <c r="CH280" i="26"/>
  <c r="CH279" i="26"/>
  <c r="CH278" i="26"/>
  <c r="CH277" i="26"/>
  <c r="CH276" i="26"/>
  <c r="CH275" i="26"/>
  <c r="CH274" i="26"/>
  <c r="CH273" i="26"/>
  <c r="CH272" i="26"/>
  <c r="CH271" i="26"/>
  <c r="CH270" i="26"/>
  <c r="CH269" i="26"/>
  <c r="CH268" i="26"/>
  <c r="CH267" i="26"/>
  <c r="CH266" i="26"/>
  <c r="CH265" i="26"/>
  <c r="CH264" i="26"/>
  <c r="CH263" i="26"/>
  <c r="CH262" i="26"/>
  <c r="CH261" i="26"/>
  <c r="CH260" i="26"/>
  <c r="CH259" i="26"/>
  <c r="CH258" i="26"/>
  <c r="CH257" i="26"/>
  <c r="CH256" i="26"/>
  <c r="CH255" i="26"/>
  <c r="CH254" i="26"/>
  <c r="CH253" i="26"/>
  <c r="CH252" i="26"/>
  <c r="CH251" i="26"/>
  <c r="CH250" i="26"/>
  <c r="CH249" i="26"/>
  <c r="CH248" i="26"/>
  <c r="CH247" i="26"/>
  <c r="CH246" i="26"/>
  <c r="CH245" i="26"/>
  <c r="CH244" i="26"/>
  <c r="CH243" i="26"/>
  <c r="CH242" i="26"/>
  <c r="CH241" i="26"/>
  <c r="CH240" i="26"/>
  <c r="CH239" i="26"/>
  <c r="CH238" i="26"/>
  <c r="CH237" i="26"/>
  <c r="CH236" i="26"/>
  <c r="CH235" i="26"/>
  <c r="CH234" i="26"/>
  <c r="CH233" i="26"/>
  <c r="CH232" i="26"/>
  <c r="CH231" i="26"/>
  <c r="CH230" i="26"/>
  <c r="CH229" i="26"/>
  <c r="CH228" i="26"/>
  <c r="CH227" i="26"/>
  <c r="CH226" i="26"/>
  <c r="CH225" i="26"/>
  <c r="CH224" i="26"/>
  <c r="CH223" i="26"/>
  <c r="CH222" i="26"/>
  <c r="CH221" i="26"/>
  <c r="CH220" i="26"/>
  <c r="CH219" i="26"/>
  <c r="CH218" i="26"/>
  <c r="CH217" i="26"/>
  <c r="CH216" i="26"/>
  <c r="CH215" i="26"/>
  <c r="CH214" i="26"/>
  <c r="CH213" i="26"/>
  <c r="CH212" i="26"/>
  <c r="CH211" i="26"/>
  <c r="CH210" i="26"/>
  <c r="CH209" i="26"/>
  <c r="CH208" i="26"/>
  <c r="CH207" i="26"/>
  <c r="CH206" i="26"/>
  <c r="CH205" i="26"/>
  <c r="CH204" i="26"/>
  <c r="CH203" i="26"/>
  <c r="CH202" i="26"/>
  <c r="CH201" i="26"/>
  <c r="CH200" i="26"/>
  <c r="CH199" i="26"/>
  <c r="CH198" i="26"/>
  <c r="CH197" i="26"/>
  <c r="CH196" i="26"/>
  <c r="CH195" i="26"/>
  <c r="CH194" i="26"/>
  <c r="CH193" i="26"/>
  <c r="CH192" i="26"/>
  <c r="CH191" i="26"/>
  <c r="CH190" i="26"/>
  <c r="CH189" i="26"/>
  <c r="CH188" i="26"/>
  <c r="CH187" i="26"/>
  <c r="CH186" i="26"/>
  <c r="CH185" i="26"/>
  <c r="CH184" i="26"/>
  <c r="CH183" i="26"/>
  <c r="CH182" i="26"/>
  <c r="CH181" i="26"/>
  <c r="CH180" i="26"/>
  <c r="CH179" i="26"/>
  <c r="CH178" i="26"/>
  <c r="CH177" i="26"/>
  <c r="CH176" i="26"/>
  <c r="CH175" i="26"/>
  <c r="CH174" i="26"/>
  <c r="CH173" i="26"/>
  <c r="CH172" i="26"/>
  <c r="CH171" i="26"/>
  <c r="CH170" i="26"/>
  <c r="CH169" i="26"/>
  <c r="CH168" i="26"/>
  <c r="CH167" i="26"/>
  <c r="CH166" i="26"/>
  <c r="CH165" i="26"/>
  <c r="CH164" i="26"/>
  <c r="CH163" i="26"/>
  <c r="CH162" i="26"/>
  <c r="CH161" i="26"/>
  <c r="CH160" i="26"/>
  <c r="CH159" i="26"/>
  <c r="CH158" i="26"/>
  <c r="CH157" i="26"/>
  <c r="CH156" i="26"/>
  <c r="CH155" i="26"/>
  <c r="CH154" i="26"/>
  <c r="CH153" i="26"/>
  <c r="CH152" i="26"/>
  <c r="CH151" i="26"/>
  <c r="CH150" i="26"/>
  <c r="CH149" i="26"/>
  <c r="CH148" i="26"/>
  <c r="CH147" i="26"/>
  <c r="CH146" i="26"/>
  <c r="CH145" i="26"/>
  <c r="CH144" i="26"/>
  <c r="CH143" i="26"/>
  <c r="CH142" i="26"/>
  <c r="CH141" i="26"/>
  <c r="CH140" i="26"/>
  <c r="CH139" i="26"/>
  <c r="CH138" i="26"/>
  <c r="CH137" i="26"/>
  <c r="CH136" i="26"/>
  <c r="CH135" i="26"/>
  <c r="CH134" i="26"/>
  <c r="CH133" i="26"/>
  <c r="CH132" i="26"/>
  <c r="CH131" i="26"/>
  <c r="CH130" i="26"/>
  <c r="CH129" i="26"/>
  <c r="CH128" i="26"/>
  <c r="CH127" i="26"/>
  <c r="CH126" i="26"/>
  <c r="CH125" i="26"/>
  <c r="CH124" i="26"/>
  <c r="CH123" i="26"/>
  <c r="CH122" i="26"/>
  <c r="CH121" i="26"/>
  <c r="CH120" i="26"/>
  <c r="CH119" i="26"/>
  <c r="CH118" i="26"/>
  <c r="CH117" i="26"/>
  <c r="CH116" i="26"/>
  <c r="CH115" i="26"/>
  <c r="CH114" i="26"/>
  <c r="CH113" i="26"/>
  <c r="CH112" i="26"/>
  <c r="CH111" i="26"/>
  <c r="CH110" i="26"/>
  <c r="CH109" i="26"/>
  <c r="CH108" i="26"/>
  <c r="CH107" i="26"/>
  <c r="CH106" i="26"/>
  <c r="CH105" i="26"/>
  <c r="CH104" i="26"/>
  <c r="CH103" i="26"/>
  <c r="CH102" i="26"/>
  <c r="CH101" i="26"/>
  <c r="CH100" i="26"/>
  <c r="CH99" i="26"/>
  <c r="CH98" i="26"/>
  <c r="CH97" i="26"/>
  <c r="CH96" i="26"/>
  <c r="CH95" i="26"/>
  <c r="CH94" i="26"/>
  <c r="CH93" i="26"/>
  <c r="CH92" i="26"/>
  <c r="CH91" i="26"/>
  <c r="CH90" i="26"/>
  <c r="CH89" i="26"/>
  <c r="CH88" i="26"/>
  <c r="CH87" i="26"/>
  <c r="CH86" i="26"/>
  <c r="CH85" i="26"/>
  <c r="CH84" i="26"/>
  <c r="CH83" i="26"/>
  <c r="CH82" i="26"/>
  <c r="CH81" i="26"/>
  <c r="CH80" i="26"/>
  <c r="CH79" i="26"/>
  <c r="CH78" i="26"/>
  <c r="CH77" i="26"/>
  <c r="CH76" i="26"/>
  <c r="CH75" i="26"/>
  <c r="CH74" i="26"/>
  <c r="CH73" i="26"/>
  <c r="CH72" i="26"/>
  <c r="CH71" i="26"/>
  <c r="CH70" i="26"/>
  <c r="CH69" i="26"/>
  <c r="CH68" i="26"/>
  <c r="CH67" i="26"/>
  <c r="CH66" i="26"/>
  <c r="CH65" i="26"/>
  <c r="CH64" i="26"/>
  <c r="CH63" i="26"/>
  <c r="CH62" i="26"/>
  <c r="CH61" i="26"/>
  <c r="CH60" i="26"/>
  <c r="CH59" i="26"/>
  <c r="CH58" i="26"/>
  <c r="CH57" i="26"/>
  <c r="CH56" i="26"/>
  <c r="CH55" i="26"/>
  <c r="CH54" i="26"/>
  <c r="CH53" i="26"/>
  <c r="CH52" i="26"/>
  <c r="CH51" i="26"/>
  <c r="CH50" i="26"/>
  <c r="CH49" i="26"/>
  <c r="CH48" i="26"/>
  <c r="CH47" i="26"/>
  <c r="CH46" i="26"/>
  <c r="CH45" i="26"/>
  <c r="CH44" i="26"/>
  <c r="CH43" i="26"/>
  <c r="CH42" i="26"/>
  <c r="CH41" i="26"/>
  <c r="CH40" i="26"/>
  <c r="CH39" i="26"/>
  <c r="CH38" i="26"/>
  <c r="CH37" i="26"/>
  <c r="CH36" i="26"/>
  <c r="CH35" i="26"/>
  <c r="CH34" i="26"/>
  <c r="CH33" i="26"/>
  <c r="CH32" i="26"/>
  <c r="CH31" i="26"/>
  <c r="CH30" i="26"/>
  <c r="CH29" i="26"/>
  <c r="CH28" i="26"/>
  <c r="CH27" i="26"/>
  <c r="CH26" i="26"/>
  <c r="CH25" i="26"/>
  <c r="CH24" i="26"/>
  <c r="CH23" i="26"/>
  <c r="CH22" i="26"/>
  <c r="CH21" i="26"/>
  <c r="CH20" i="26"/>
  <c r="CH19" i="26"/>
  <c r="CH18" i="26"/>
  <c r="CH17" i="26"/>
  <c r="CH16" i="26"/>
  <c r="CH15" i="26"/>
  <c r="CH14" i="26"/>
  <c r="CH13" i="26"/>
  <c r="CH12" i="26"/>
  <c r="CH11" i="26"/>
  <c r="CH10" i="26"/>
  <c r="CH9" i="26"/>
  <c r="CH8" i="26"/>
  <c r="CH7" i="26"/>
  <c r="CH6" i="26"/>
  <c r="CH5" i="26"/>
  <c r="CH4" i="26"/>
  <c r="CH3" i="26"/>
  <c r="CE495" i="26"/>
  <c r="DX557" i="26"/>
  <c r="CF557" i="26" s="1"/>
  <c r="DX556" i="26"/>
  <c r="CF556" i="26" s="1"/>
  <c r="DX555" i="26"/>
  <c r="CF555" i="26" s="1"/>
  <c r="DX554" i="26"/>
  <c r="CF554" i="26" s="1"/>
  <c r="DX553" i="26"/>
  <c r="CF553" i="26" s="1"/>
  <c r="DX552" i="26"/>
  <c r="CF552" i="26" s="1"/>
  <c r="DX551" i="26"/>
  <c r="CF551" i="26" s="1"/>
  <c r="DX550" i="26"/>
  <c r="CF550" i="26" s="1"/>
  <c r="DX549" i="26"/>
  <c r="CF549" i="26" s="1"/>
  <c r="DX548" i="26"/>
  <c r="CF548" i="26" s="1"/>
  <c r="DX547" i="26"/>
  <c r="CF547" i="26" s="1"/>
  <c r="DX546" i="26"/>
  <c r="CF546" i="26" s="1"/>
  <c r="DX545" i="26"/>
  <c r="CF545" i="26" s="1"/>
  <c r="DX544" i="26"/>
  <c r="CF544" i="26" s="1"/>
  <c r="DX543" i="26"/>
  <c r="CF543" i="26" s="1"/>
  <c r="DX542" i="26"/>
  <c r="CF542" i="26" s="1"/>
  <c r="DX541" i="26"/>
  <c r="CF541" i="26" s="1"/>
  <c r="DX540" i="26"/>
  <c r="CF540" i="26" s="1"/>
  <c r="DX538" i="26"/>
  <c r="CF538" i="26" s="1"/>
  <c r="DX537" i="26"/>
  <c r="CF537" i="26" s="1"/>
  <c r="DX536" i="26"/>
  <c r="CF536" i="26" s="1"/>
  <c r="DX535" i="26"/>
  <c r="CF535" i="26" s="1"/>
  <c r="DX534" i="26"/>
  <c r="CF534" i="26" s="1"/>
  <c r="DX533" i="26"/>
  <c r="CF533" i="26" s="1"/>
  <c r="DX532" i="26"/>
  <c r="CF532" i="26" s="1"/>
  <c r="DX531" i="26"/>
  <c r="CF531" i="26" s="1"/>
  <c r="DX530" i="26"/>
  <c r="CF530" i="26" s="1"/>
  <c r="DX529" i="26"/>
  <c r="CF529" i="26" s="1"/>
  <c r="DX528" i="26"/>
  <c r="CF528" i="26" s="1"/>
  <c r="DX526" i="26"/>
  <c r="CF526" i="26" s="1"/>
  <c r="DX524" i="26"/>
  <c r="CF524" i="26" s="1"/>
  <c r="DX523" i="26"/>
  <c r="CF523" i="26" s="1"/>
  <c r="DX522" i="26"/>
  <c r="CF522" i="26" s="1"/>
  <c r="DX521" i="26"/>
  <c r="CF521" i="26" s="1"/>
  <c r="DX520" i="26"/>
  <c r="CF520" i="26" s="1"/>
  <c r="DX519" i="26"/>
  <c r="CF519" i="26" s="1"/>
  <c r="DX518" i="26"/>
  <c r="CF518" i="26" s="1"/>
  <c r="DX517" i="26"/>
  <c r="CF517" i="26" s="1"/>
  <c r="DX516" i="26"/>
  <c r="CF516" i="26" s="1"/>
  <c r="DX515" i="26"/>
  <c r="CF515" i="26" s="1"/>
  <c r="DX514" i="26"/>
  <c r="CF514" i="26" s="1"/>
  <c r="DX513" i="26"/>
  <c r="CF513" i="26" s="1"/>
  <c r="DX512" i="26"/>
  <c r="CF512" i="26" s="1"/>
  <c r="DX511" i="26"/>
  <c r="CF511" i="26" s="1"/>
  <c r="DX510" i="26"/>
  <c r="CF510" i="26" s="1"/>
  <c r="DX509" i="26"/>
  <c r="CF509" i="26" s="1"/>
  <c r="DX508" i="26"/>
  <c r="CF508" i="26" s="1"/>
  <c r="DX507" i="26"/>
  <c r="CF507" i="26" s="1"/>
  <c r="DX506" i="26"/>
  <c r="CF506" i="26" s="1"/>
  <c r="DX505" i="26"/>
  <c r="CF505" i="26" s="1"/>
  <c r="DX504" i="26"/>
  <c r="CF504" i="26" s="1"/>
  <c r="DX503" i="26"/>
  <c r="CF503" i="26" s="1"/>
  <c r="DX502" i="26"/>
  <c r="CF502" i="26" s="1"/>
  <c r="DX501" i="26"/>
  <c r="CF501" i="26" s="1"/>
  <c r="DX499" i="26"/>
  <c r="CF499" i="26" s="1"/>
  <c r="DX498" i="26"/>
  <c r="CF498" i="26" s="1"/>
  <c r="DX497" i="26"/>
  <c r="CF497" i="26" s="1"/>
  <c r="DX496" i="26"/>
  <c r="CF496" i="26" s="1"/>
  <c r="DX495" i="26"/>
  <c r="CF495" i="26" s="1"/>
  <c r="DX494" i="26"/>
  <c r="CF494" i="26" s="1"/>
  <c r="DX493" i="26"/>
  <c r="CF493" i="26" s="1"/>
  <c r="DX492" i="26"/>
  <c r="CF492" i="26" s="1"/>
  <c r="DX491" i="26"/>
  <c r="CF491" i="26" s="1"/>
  <c r="DX490" i="26"/>
  <c r="CF490" i="26" s="1"/>
  <c r="DX489" i="26"/>
  <c r="CF489" i="26" s="1"/>
  <c r="DX488" i="26"/>
  <c r="CF488" i="26" s="1"/>
  <c r="DX487" i="26"/>
  <c r="CF487" i="26" s="1"/>
  <c r="DX486" i="26"/>
  <c r="CF486" i="26" s="1"/>
  <c r="DX485" i="26"/>
  <c r="CF485" i="26" s="1"/>
  <c r="DX484" i="26"/>
  <c r="CF484" i="26" s="1"/>
  <c r="DX483" i="26"/>
  <c r="CF483" i="26" s="1"/>
  <c r="DX482" i="26"/>
  <c r="CF482" i="26" s="1"/>
  <c r="DX481" i="26"/>
  <c r="CF481" i="26" s="1"/>
  <c r="DX480" i="26"/>
  <c r="CF480" i="26" s="1"/>
  <c r="DX479" i="26"/>
  <c r="CF479" i="26" s="1"/>
  <c r="DX478" i="26"/>
  <c r="CF478" i="26" s="1"/>
  <c r="DX477" i="26"/>
  <c r="CF477" i="26" s="1"/>
  <c r="DX476" i="26"/>
  <c r="CF476" i="26" s="1"/>
  <c r="DX475" i="26"/>
  <c r="CF475" i="26" s="1"/>
  <c r="DX474" i="26"/>
  <c r="CF474" i="26" s="1"/>
  <c r="DX473" i="26"/>
  <c r="CF473" i="26" s="1"/>
  <c r="DX472" i="26"/>
  <c r="CF472" i="26" s="1"/>
  <c r="DX471" i="26"/>
  <c r="CF471" i="26" s="1"/>
  <c r="DX470" i="26"/>
  <c r="CF470" i="26" s="1"/>
  <c r="DX468" i="26"/>
  <c r="CF468" i="26" s="1"/>
  <c r="DX467" i="26"/>
  <c r="CF467" i="26" s="1"/>
  <c r="DX466" i="26"/>
  <c r="CF466" i="26" s="1"/>
  <c r="DX465" i="26"/>
  <c r="CF465" i="26" s="1"/>
  <c r="DX464" i="26"/>
  <c r="CF464" i="26" s="1"/>
  <c r="DX463" i="26"/>
  <c r="CF463" i="26" s="1"/>
  <c r="DX462" i="26"/>
  <c r="CF462" i="26" s="1"/>
  <c r="DX461" i="26"/>
  <c r="CF461" i="26" s="1"/>
  <c r="DX460" i="26"/>
  <c r="CF460" i="26" s="1"/>
  <c r="DX459" i="26"/>
  <c r="CF459" i="26" s="1"/>
  <c r="DX457" i="26"/>
  <c r="CF457" i="26" s="1"/>
  <c r="DX456" i="26"/>
  <c r="CF456" i="26" s="1"/>
  <c r="DX455" i="26"/>
  <c r="CF455" i="26" s="1"/>
  <c r="DX451" i="26"/>
  <c r="CF451" i="26" s="1"/>
  <c r="DX450" i="26"/>
  <c r="CF450" i="26" s="1"/>
  <c r="DX449" i="26"/>
  <c r="CF449" i="26" s="1"/>
  <c r="DX448" i="26"/>
  <c r="CF448" i="26" s="1"/>
  <c r="DX447" i="26"/>
  <c r="CF447" i="26" s="1"/>
  <c r="DX446" i="26"/>
  <c r="CF446" i="26" s="1"/>
  <c r="DX445" i="26"/>
  <c r="CF445" i="26" s="1"/>
  <c r="DX444" i="26"/>
  <c r="CF444" i="26" s="1"/>
  <c r="DX443" i="26"/>
  <c r="CF443" i="26" s="1"/>
  <c r="DX442" i="26"/>
  <c r="CF442" i="26" s="1"/>
  <c r="DX441" i="26"/>
  <c r="CF441" i="26" s="1"/>
  <c r="DX440" i="26"/>
  <c r="CF440" i="26" s="1"/>
  <c r="DX439" i="26"/>
  <c r="CF439" i="26" s="1"/>
  <c r="DX438" i="26"/>
  <c r="CF438" i="26" s="1"/>
  <c r="DX437" i="26"/>
  <c r="CF437" i="26" s="1"/>
  <c r="DX436" i="26"/>
  <c r="CF436" i="26" s="1"/>
  <c r="DX435" i="26"/>
  <c r="CF435" i="26" s="1"/>
  <c r="DX433" i="26"/>
  <c r="CF433" i="26" s="1"/>
  <c r="DX432" i="26"/>
  <c r="CF432" i="26" s="1"/>
  <c r="DX431" i="26"/>
  <c r="CF431" i="26" s="1"/>
  <c r="DX430" i="26"/>
  <c r="CF430" i="26" s="1"/>
  <c r="DX429" i="26"/>
  <c r="CF429" i="26" s="1"/>
  <c r="DX427" i="26"/>
  <c r="CF427" i="26" s="1"/>
  <c r="DX426" i="26"/>
  <c r="CF426" i="26" s="1"/>
  <c r="DX425" i="26"/>
  <c r="CF425" i="26" s="1"/>
  <c r="DX424" i="26"/>
  <c r="CF424" i="26" s="1"/>
  <c r="DX423" i="26"/>
  <c r="CF423" i="26" s="1"/>
  <c r="DX422" i="26"/>
  <c r="CF422" i="26" s="1"/>
  <c r="DX420" i="26"/>
  <c r="CF420" i="26" s="1"/>
  <c r="DX419" i="26"/>
  <c r="CF419" i="26" s="1"/>
  <c r="DX418" i="26"/>
  <c r="CF418" i="26" s="1"/>
  <c r="DX417" i="26"/>
  <c r="CF417" i="26" s="1"/>
  <c r="DX416" i="26"/>
  <c r="CF416" i="26" s="1"/>
  <c r="DX415" i="26"/>
  <c r="CF415" i="26" s="1"/>
  <c r="DX414" i="26"/>
  <c r="CF414" i="26" s="1"/>
  <c r="DX413" i="26"/>
  <c r="CF413" i="26" s="1"/>
  <c r="DX412" i="26"/>
  <c r="CF412" i="26" s="1"/>
  <c r="DX411" i="26"/>
  <c r="CF411" i="26" s="1"/>
  <c r="DX410" i="26"/>
  <c r="CF410" i="26" s="1"/>
  <c r="DX409" i="26"/>
  <c r="CF409" i="26" s="1"/>
  <c r="DX408" i="26"/>
  <c r="CF408" i="26" s="1"/>
  <c r="DX406" i="26"/>
  <c r="CF406" i="26" s="1"/>
  <c r="DX404" i="26"/>
  <c r="CF404" i="26" s="1"/>
  <c r="DX403" i="26"/>
  <c r="CF403" i="26" s="1"/>
  <c r="DX402" i="26"/>
  <c r="CF402" i="26" s="1"/>
  <c r="DX401" i="26"/>
  <c r="CF401" i="26" s="1"/>
  <c r="DX399" i="26"/>
  <c r="CF399" i="26" s="1"/>
  <c r="DX398" i="26"/>
  <c r="CF398" i="26" s="1"/>
  <c r="DX397" i="26"/>
  <c r="CF397" i="26" s="1"/>
  <c r="DX396" i="26"/>
  <c r="CF396" i="26" s="1"/>
  <c r="DX395" i="26"/>
  <c r="CF395" i="26" s="1"/>
  <c r="DX394" i="26"/>
  <c r="CF394" i="26" s="1"/>
  <c r="DX393" i="26"/>
  <c r="CF393" i="26" s="1"/>
  <c r="DX392" i="26"/>
  <c r="CF392" i="26" s="1"/>
  <c r="DX391" i="26"/>
  <c r="CF391" i="26" s="1"/>
  <c r="DX390" i="26"/>
  <c r="CF390" i="26" s="1"/>
  <c r="DX389" i="26"/>
  <c r="CF389" i="26" s="1"/>
  <c r="DX387" i="26"/>
  <c r="CF387" i="26" s="1"/>
  <c r="DX385" i="26"/>
  <c r="CF385" i="26" s="1"/>
  <c r="DX384" i="26"/>
  <c r="CF384" i="26" s="1"/>
  <c r="DX382" i="26"/>
  <c r="CF382" i="26" s="1"/>
  <c r="DX381" i="26"/>
  <c r="CF381" i="26" s="1"/>
  <c r="DX380" i="26"/>
  <c r="CF380" i="26" s="1"/>
  <c r="DX379" i="26"/>
  <c r="CF379" i="26" s="1"/>
  <c r="DX378" i="26"/>
  <c r="CF378" i="26" s="1"/>
  <c r="DX377" i="26"/>
  <c r="CF377" i="26" s="1"/>
  <c r="DX376" i="26"/>
  <c r="CF376" i="26" s="1"/>
  <c r="DX375" i="26"/>
  <c r="CF375" i="26" s="1"/>
  <c r="DX374" i="26"/>
  <c r="CF374" i="26" s="1"/>
  <c r="DX373" i="26"/>
  <c r="CF373" i="26" s="1"/>
  <c r="DX372" i="26"/>
  <c r="CF372" i="26" s="1"/>
  <c r="DX371" i="26"/>
  <c r="CF371" i="26" s="1"/>
  <c r="DX370" i="26"/>
  <c r="CF370" i="26" s="1"/>
  <c r="DX367" i="26"/>
  <c r="CF367" i="26" s="1"/>
  <c r="DX366" i="26"/>
  <c r="CF366" i="26" s="1"/>
  <c r="DX365" i="26"/>
  <c r="CF365" i="26" s="1"/>
  <c r="DX364" i="26"/>
  <c r="CF364" i="26" s="1"/>
  <c r="DX363" i="26"/>
  <c r="CF363" i="26" s="1"/>
  <c r="DX362" i="26"/>
  <c r="CF362" i="26" s="1"/>
  <c r="DX361" i="26"/>
  <c r="CF361" i="26" s="1"/>
  <c r="DX360" i="26"/>
  <c r="CF360" i="26" s="1"/>
  <c r="DX359" i="26"/>
  <c r="CF359" i="26" s="1"/>
  <c r="DX358" i="26"/>
  <c r="CF358" i="26" s="1"/>
  <c r="DX357" i="26"/>
  <c r="CF357" i="26" s="1"/>
  <c r="DX356" i="26"/>
  <c r="CF356" i="26" s="1"/>
  <c r="DX355" i="26"/>
  <c r="CF355" i="26" s="1"/>
  <c r="DX354" i="26"/>
  <c r="CF354" i="26" s="1"/>
  <c r="DX353" i="26"/>
  <c r="CF353" i="26" s="1"/>
  <c r="DX351" i="26"/>
  <c r="CF351" i="26" s="1"/>
  <c r="DX350" i="26"/>
  <c r="CF350" i="26" s="1"/>
  <c r="DX348" i="26"/>
  <c r="CF348" i="26" s="1"/>
  <c r="DX346" i="26"/>
  <c r="CF346" i="26" s="1"/>
  <c r="DX344" i="26"/>
  <c r="CF344" i="26" s="1"/>
  <c r="DX343" i="26"/>
  <c r="CF343" i="26" s="1"/>
  <c r="DX342" i="26"/>
  <c r="CF342" i="26" s="1"/>
  <c r="DX341" i="26"/>
  <c r="CF341" i="26" s="1"/>
  <c r="DX340" i="26"/>
  <c r="CF340" i="26" s="1"/>
  <c r="DX339" i="26"/>
  <c r="CF339" i="26" s="1"/>
  <c r="DX338" i="26"/>
  <c r="CF338" i="26" s="1"/>
  <c r="DX337" i="26"/>
  <c r="CF337" i="26" s="1"/>
  <c r="DX336" i="26"/>
  <c r="CF336" i="26" s="1"/>
  <c r="DX334" i="26"/>
  <c r="CF334" i="26" s="1"/>
  <c r="DX333" i="26"/>
  <c r="CF333" i="26" s="1"/>
  <c r="DX331" i="26"/>
  <c r="CF331" i="26" s="1"/>
  <c r="DX330" i="26"/>
  <c r="CF330" i="26" s="1"/>
  <c r="DX329" i="26"/>
  <c r="CF329" i="26" s="1"/>
  <c r="DX328" i="26"/>
  <c r="CF328" i="26" s="1"/>
  <c r="DX327" i="26"/>
  <c r="CF327" i="26" s="1"/>
  <c r="DX326" i="26"/>
  <c r="CF326" i="26" s="1"/>
  <c r="DX325" i="26"/>
  <c r="CF325" i="26" s="1"/>
  <c r="DX324" i="26"/>
  <c r="CF324" i="26" s="1"/>
  <c r="DX323" i="26"/>
  <c r="CF323" i="26" s="1"/>
  <c r="DX322" i="26"/>
  <c r="CF322" i="26" s="1"/>
  <c r="DX321" i="26"/>
  <c r="CF321" i="26" s="1"/>
  <c r="DX320" i="26"/>
  <c r="CF320" i="26" s="1"/>
  <c r="DX319" i="26"/>
  <c r="CF319" i="26" s="1"/>
  <c r="DX318" i="26"/>
  <c r="CF318" i="26" s="1"/>
  <c r="DX317" i="26"/>
  <c r="CF317" i="26" s="1"/>
  <c r="DX316" i="26"/>
  <c r="CF316" i="26" s="1"/>
  <c r="DX315" i="26"/>
  <c r="CF315" i="26" s="1"/>
  <c r="DX314" i="26"/>
  <c r="CF314" i="26" s="1"/>
  <c r="DX312" i="26"/>
  <c r="CF312" i="26" s="1"/>
  <c r="DX310" i="26"/>
  <c r="CF310" i="26" s="1"/>
  <c r="DX309" i="26"/>
  <c r="CF309" i="26" s="1"/>
  <c r="DX307" i="26"/>
  <c r="CF307" i="26" s="1"/>
  <c r="DX306" i="26"/>
  <c r="CF306" i="26" s="1"/>
  <c r="DX305" i="26"/>
  <c r="CF305" i="26" s="1"/>
  <c r="DX304" i="26"/>
  <c r="CF304" i="26" s="1"/>
  <c r="DX303" i="26"/>
  <c r="CF303" i="26" s="1"/>
  <c r="DX302" i="26"/>
  <c r="CF302" i="26" s="1"/>
  <c r="DX301" i="26"/>
  <c r="CF301" i="26" s="1"/>
  <c r="DX299" i="26"/>
  <c r="CF299" i="26" s="1"/>
  <c r="DX298" i="26"/>
  <c r="CF298" i="26" s="1"/>
  <c r="DX297" i="26"/>
  <c r="CF297" i="26" s="1"/>
  <c r="DX296" i="26"/>
  <c r="CF296" i="26" s="1"/>
  <c r="DX295" i="26"/>
  <c r="CF295" i="26" s="1"/>
  <c r="DX293" i="26"/>
  <c r="CF293" i="26" s="1"/>
  <c r="DX292" i="26"/>
  <c r="CF292" i="26" s="1"/>
  <c r="DX291" i="26"/>
  <c r="CF291" i="26" s="1"/>
  <c r="DX290" i="26"/>
  <c r="CF290" i="26" s="1"/>
  <c r="DX289" i="26"/>
  <c r="CF289" i="26" s="1"/>
  <c r="DX288" i="26"/>
  <c r="CF288" i="26" s="1"/>
  <c r="DX287" i="26"/>
  <c r="CF287" i="26" s="1"/>
  <c r="DX286" i="26"/>
  <c r="CF286" i="26" s="1"/>
  <c r="DX285" i="26"/>
  <c r="CF285" i="26" s="1"/>
  <c r="DX284" i="26"/>
  <c r="CF284" i="26" s="1"/>
  <c r="DX283" i="26"/>
  <c r="CF283" i="26" s="1"/>
  <c r="DX282" i="26"/>
  <c r="CF282" i="26" s="1"/>
  <c r="DX281" i="26"/>
  <c r="CF281" i="26" s="1"/>
  <c r="DX280" i="26"/>
  <c r="CF280" i="26" s="1"/>
  <c r="DX279" i="26"/>
  <c r="CF279" i="26" s="1"/>
  <c r="DX278" i="26"/>
  <c r="CF278" i="26" s="1"/>
  <c r="DX277" i="26"/>
  <c r="CF277" i="26" s="1"/>
  <c r="DX275" i="26"/>
  <c r="CF275" i="26" s="1"/>
  <c r="DX272" i="26"/>
  <c r="CF272" i="26" s="1"/>
  <c r="DX271" i="26"/>
  <c r="CF271" i="26" s="1"/>
  <c r="DX270" i="26"/>
  <c r="CF270" i="26" s="1"/>
  <c r="DX269" i="26"/>
  <c r="CF269" i="26" s="1"/>
  <c r="DX268" i="26"/>
  <c r="CF268" i="26" s="1"/>
  <c r="DX267" i="26"/>
  <c r="CF267" i="26" s="1"/>
  <c r="DX266" i="26"/>
  <c r="CF266" i="26" s="1"/>
  <c r="DX265" i="26"/>
  <c r="CF265" i="26" s="1"/>
  <c r="DX264" i="26"/>
  <c r="CF264" i="26" s="1"/>
  <c r="DX263" i="26"/>
  <c r="CF263" i="26" s="1"/>
  <c r="DX262" i="26"/>
  <c r="CF262" i="26" s="1"/>
  <c r="DX261" i="26"/>
  <c r="CF261" i="26" s="1"/>
  <c r="DX260" i="26"/>
  <c r="CF260" i="26" s="1"/>
  <c r="DX259" i="26"/>
  <c r="CF259" i="26" s="1"/>
  <c r="DX258" i="26"/>
  <c r="CF258" i="26" s="1"/>
  <c r="DX257" i="26"/>
  <c r="CF257" i="26" s="1"/>
  <c r="DX256" i="26"/>
  <c r="CF256" i="26" s="1"/>
  <c r="DX254" i="26"/>
  <c r="CF254" i="26" s="1"/>
  <c r="DX253" i="26"/>
  <c r="CF253" i="26" s="1"/>
  <c r="DX252" i="26"/>
  <c r="CF252" i="26" s="1"/>
  <c r="DX251" i="26"/>
  <c r="CF251" i="26" s="1"/>
  <c r="DX250" i="26"/>
  <c r="CF250" i="26" s="1"/>
  <c r="DX249" i="26"/>
  <c r="CF249" i="26" s="1"/>
  <c r="DX248" i="26"/>
  <c r="CF248" i="26" s="1"/>
  <c r="DX247" i="26"/>
  <c r="CF247" i="26" s="1"/>
  <c r="DX246" i="26"/>
  <c r="CF246" i="26" s="1"/>
  <c r="DX245" i="26"/>
  <c r="CF245" i="26" s="1"/>
  <c r="DX244" i="26"/>
  <c r="CF244" i="26" s="1"/>
  <c r="DX243" i="26"/>
  <c r="CF243" i="26" s="1"/>
  <c r="DX240" i="26"/>
  <c r="CF240" i="26" s="1"/>
  <c r="DX239" i="26"/>
  <c r="CF239" i="26" s="1"/>
  <c r="DX238" i="26"/>
  <c r="CF238" i="26" s="1"/>
  <c r="DX237" i="26"/>
  <c r="CF237" i="26" s="1"/>
  <c r="DX236" i="26"/>
  <c r="CF236" i="26" s="1"/>
  <c r="DX235" i="26"/>
  <c r="CF235" i="26" s="1"/>
  <c r="DX234" i="26"/>
  <c r="CF234" i="26" s="1"/>
  <c r="DX233" i="26"/>
  <c r="CF233" i="26" s="1"/>
  <c r="DX232" i="26"/>
  <c r="CF232" i="26" s="1"/>
  <c r="DX231" i="26"/>
  <c r="CF231" i="26" s="1"/>
  <c r="DX230" i="26"/>
  <c r="CF230" i="26" s="1"/>
  <c r="DX227" i="26"/>
  <c r="CF227" i="26" s="1"/>
  <c r="DX226" i="26"/>
  <c r="CF226" i="26" s="1"/>
  <c r="DX225" i="26"/>
  <c r="CF225" i="26" s="1"/>
  <c r="DX224" i="26"/>
  <c r="CF224" i="26" s="1"/>
  <c r="DX223" i="26"/>
  <c r="CF223" i="26" s="1"/>
  <c r="DX222" i="26"/>
  <c r="CF222" i="26" s="1"/>
  <c r="DX221" i="26"/>
  <c r="CF221" i="26" s="1"/>
  <c r="DX220" i="26"/>
  <c r="CF220" i="26" s="1"/>
  <c r="DX219" i="26"/>
  <c r="CF219" i="26" s="1"/>
  <c r="DX218" i="26"/>
  <c r="CF218" i="26" s="1"/>
  <c r="DX217" i="26"/>
  <c r="CF217" i="26" s="1"/>
  <c r="DX216" i="26"/>
  <c r="CF216" i="26" s="1"/>
  <c r="DX215" i="26"/>
  <c r="CF215" i="26" s="1"/>
  <c r="DX214" i="26"/>
  <c r="CF214" i="26" s="1"/>
  <c r="DX213" i="26"/>
  <c r="CF213" i="26" s="1"/>
  <c r="DX212" i="26"/>
  <c r="CF212" i="26" s="1"/>
  <c r="DX211" i="26"/>
  <c r="CF211" i="26" s="1"/>
  <c r="DX210" i="26"/>
  <c r="CF210" i="26" s="1"/>
  <c r="DX209" i="26"/>
  <c r="CF209" i="26" s="1"/>
  <c r="DX208" i="26"/>
  <c r="CF208" i="26" s="1"/>
  <c r="DX207" i="26"/>
  <c r="CF207" i="26" s="1"/>
  <c r="DX206" i="26"/>
  <c r="CF206" i="26" s="1"/>
  <c r="DX205" i="26"/>
  <c r="CF205" i="26" s="1"/>
  <c r="DX204" i="26"/>
  <c r="CF204" i="26" s="1"/>
  <c r="DX202" i="26"/>
  <c r="CF202" i="26" s="1"/>
  <c r="DX201" i="26"/>
  <c r="CF201" i="26" s="1"/>
  <c r="DX200" i="26"/>
  <c r="CF200" i="26" s="1"/>
  <c r="DX199" i="26"/>
  <c r="CF199" i="26" s="1"/>
  <c r="DX198" i="26"/>
  <c r="CF198" i="26" s="1"/>
  <c r="DX197" i="26"/>
  <c r="CF197" i="26" s="1"/>
  <c r="DX196" i="26"/>
  <c r="CF196" i="26" s="1"/>
  <c r="DX195" i="26"/>
  <c r="CF195" i="26" s="1"/>
  <c r="DX194" i="26"/>
  <c r="CF194" i="26" s="1"/>
  <c r="DX191" i="26"/>
  <c r="CF191" i="26" s="1"/>
  <c r="DX190" i="26"/>
  <c r="CF190" i="26" s="1"/>
  <c r="DX188" i="26"/>
  <c r="CF188" i="26" s="1"/>
  <c r="DX187" i="26"/>
  <c r="CF187" i="26" s="1"/>
  <c r="DX186" i="26"/>
  <c r="CF186" i="26" s="1"/>
  <c r="DX185" i="26"/>
  <c r="CF185" i="26" s="1"/>
  <c r="DX184" i="26"/>
  <c r="CF184" i="26" s="1"/>
  <c r="DX183" i="26"/>
  <c r="CF183" i="26" s="1"/>
  <c r="DX182" i="26"/>
  <c r="CF182" i="26" s="1"/>
  <c r="DX181" i="26"/>
  <c r="CF181" i="26" s="1"/>
  <c r="DX180" i="26"/>
  <c r="CF180" i="26" s="1"/>
  <c r="DX178" i="26"/>
  <c r="CF178" i="26" s="1"/>
  <c r="DX176" i="26"/>
  <c r="CF176" i="26" s="1"/>
  <c r="DX175" i="26"/>
  <c r="CF175" i="26" s="1"/>
  <c r="DX173" i="26"/>
  <c r="CF173" i="26" s="1"/>
  <c r="DX171" i="26"/>
  <c r="CF171" i="26" s="1"/>
  <c r="DX170" i="26"/>
  <c r="CF170" i="26" s="1"/>
  <c r="DX169" i="26"/>
  <c r="CF169" i="26" s="1"/>
  <c r="DX168" i="26"/>
  <c r="CF168" i="26" s="1"/>
  <c r="DX167" i="26"/>
  <c r="CF167" i="26" s="1"/>
  <c r="DX166" i="26"/>
  <c r="CF166" i="26" s="1"/>
  <c r="DX165" i="26"/>
  <c r="CF165" i="26" s="1"/>
  <c r="DX164" i="26"/>
  <c r="CF164" i="26" s="1"/>
  <c r="DX163" i="26"/>
  <c r="CF163" i="26" s="1"/>
  <c r="DX162" i="26"/>
  <c r="CF162" i="26" s="1"/>
  <c r="DX161" i="26"/>
  <c r="CF161" i="26" s="1"/>
  <c r="DX160" i="26"/>
  <c r="CF160" i="26" s="1"/>
  <c r="DX158" i="26"/>
  <c r="CF158" i="26" s="1"/>
  <c r="DX157" i="26"/>
  <c r="CF157" i="26" s="1"/>
  <c r="DX156" i="26"/>
  <c r="CF156" i="26" s="1"/>
  <c r="DX155" i="26"/>
  <c r="CF155" i="26" s="1"/>
  <c r="DX154" i="26"/>
  <c r="CF154" i="26" s="1"/>
  <c r="DX153" i="26"/>
  <c r="CF153" i="26" s="1"/>
  <c r="DX152" i="26"/>
  <c r="CF152" i="26" s="1"/>
  <c r="DX150" i="26"/>
  <c r="CF150" i="26" s="1"/>
  <c r="DX149" i="26"/>
  <c r="CF149" i="26" s="1"/>
  <c r="DX147" i="26"/>
  <c r="CF147" i="26" s="1"/>
  <c r="DX146" i="26"/>
  <c r="CF146" i="26" s="1"/>
  <c r="DX145" i="26"/>
  <c r="CF145" i="26" s="1"/>
  <c r="DX144" i="26"/>
  <c r="CF144" i="26" s="1"/>
  <c r="DX143" i="26"/>
  <c r="CF143" i="26" s="1"/>
  <c r="DX142" i="26"/>
  <c r="CF142" i="26" s="1"/>
  <c r="DX141" i="26"/>
  <c r="CF141" i="26" s="1"/>
  <c r="DX140" i="26"/>
  <c r="CF140" i="26" s="1"/>
  <c r="DX139" i="26"/>
  <c r="CF139" i="26" s="1"/>
  <c r="DX138" i="26"/>
  <c r="CF138" i="26" s="1"/>
  <c r="DX136" i="26"/>
  <c r="CF136" i="26" s="1"/>
  <c r="DX134" i="26"/>
  <c r="CF134" i="26" s="1"/>
  <c r="DX133" i="26"/>
  <c r="CF133" i="26" s="1"/>
  <c r="DX132" i="26"/>
  <c r="CF132" i="26" s="1"/>
  <c r="DX131" i="26"/>
  <c r="CF131" i="26" s="1"/>
  <c r="DX130" i="26"/>
  <c r="CF130" i="26" s="1"/>
  <c r="DX129" i="26"/>
  <c r="CF129" i="26" s="1"/>
  <c r="DX127" i="26"/>
  <c r="CF127" i="26" s="1"/>
  <c r="DX126" i="26"/>
  <c r="CF126" i="26" s="1"/>
  <c r="DX125" i="26"/>
  <c r="CF125" i="26" s="1"/>
  <c r="DX124" i="26"/>
  <c r="CF124" i="26" s="1"/>
  <c r="DX123" i="26"/>
  <c r="CF123" i="26" s="1"/>
  <c r="DX122" i="26"/>
  <c r="CF122" i="26" s="1"/>
  <c r="DX120" i="26"/>
  <c r="CF120" i="26" s="1"/>
  <c r="DX119" i="26"/>
  <c r="CF119" i="26" s="1"/>
  <c r="DX118" i="26"/>
  <c r="CF118" i="26" s="1"/>
  <c r="DX116" i="26"/>
  <c r="CF116" i="26" s="1"/>
  <c r="DX115" i="26"/>
  <c r="CF115" i="26" s="1"/>
  <c r="DX113" i="26"/>
  <c r="CF113" i="26" s="1"/>
  <c r="DX112" i="26"/>
  <c r="CF112" i="26" s="1"/>
  <c r="DX111" i="26"/>
  <c r="CF111" i="26" s="1"/>
  <c r="DX109" i="26"/>
  <c r="CF109" i="26" s="1"/>
  <c r="DX108" i="26"/>
  <c r="CF108" i="26" s="1"/>
  <c r="DX107" i="26"/>
  <c r="CF107" i="26" s="1"/>
  <c r="DX106" i="26"/>
  <c r="CF106" i="26" s="1"/>
  <c r="DX105" i="26"/>
  <c r="CF105" i="26" s="1"/>
  <c r="DX104" i="26"/>
  <c r="CF104" i="26" s="1"/>
  <c r="DX103" i="26"/>
  <c r="CF103" i="26" s="1"/>
  <c r="DX102" i="26"/>
  <c r="CF102" i="26" s="1"/>
  <c r="DX101" i="26"/>
  <c r="CF101" i="26" s="1"/>
  <c r="DX100" i="26"/>
  <c r="CF100" i="26" s="1"/>
  <c r="DX99" i="26"/>
  <c r="CF99" i="26" s="1"/>
  <c r="DX98" i="26"/>
  <c r="CF98" i="26" s="1"/>
  <c r="DX97" i="26"/>
  <c r="CF97" i="26" s="1"/>
  <c r="DX96" i="26"/>
  <c r="CF96" i="26" s="1"/>
  <c r="DX95" i="26"/>
  <c r="CF95" i="26" s="1"/>
  <c r="DX94" i="26"/>
  <c r="CF94" i="26" s="1"/>
  <c r="DX93" i="26"/>
  <c r="CF93" i="26" s="1"/>
  <c r="DX92" i="26"/>
  <c r="CF92" i="26" s="1"/>
  <c r="DX91" i="26"/>
  <c r="CF91" i="26" s="1"/>
  <c r="DX90" i="26"/>
  <c r="CF90" i="26" s="1"/>
  <c r="DX89" i="26"/>
  <c r="CF89" i="26" s="1"/>
  <c r="DX88" i="26"/>
  <c r="CF88" i="26" s="1"/>
  <c r="DX87" i="26"/>
  <c r="CF87" i="26" s="1"/>
  <c r="DX86" i="26"/>
  <c r="CF86" i="26" s="1"/>
  <c r="DX85" i="26"/>
  <c r="CF85" i="26" s="1"/>
  <c r="DX84" i="26"/>
  <c r="CF84" i="26" s="1"/>
  <c r="DX83" i="26"/>
  <c r="CF83" i="26" s="1"/>
  <c r="DX82" i="26"/>
  <c r="CF82" i="26" s="1"/>
  <c r="DX80" i="26"/>
  <c r="CF80" i="26" s="1"/>
  <c r="DX79" i="26"/>
  <c r="CF79" i="26" s="1"/>
  <c r="DX78" i="26"/>
  <c r="CF78" i="26" s="1"/>
  <c r="DX77" i="26"/>
  <c r="CF77" i="26" s="1"/>
  <c r="DX76" i="26"/>
  <c r="CF76" i="26" s="1"/>
  <c r="DX75" i="26"/>
  <c r="CF75" i="26" s="1"/>
  <c r="DX74" i="26"/>
  <c r="CF74" i="26" s="1"/>
  <c r="DX73" i="26"/>
  <c r="CF73" i="26" s="1"/>
  <c r="DX71" i="26"/>
  <c r="CF71" i="26" s="1"/>
  <c r="DX70" i="26"/>
  <c r="CF70" i="26" s="1"/>
  <c r="DX69" i="26"/>
  <c r="CF69" i="26" s="1"/>
  <c r="DX68" i="26"/>
  <c r="CF68" i="26" s="1"/>
  <c r="DX67" i="26"/>
  <c r="CF67" i="26" s="1"/>
  <c r="DX66" i="26"/>
  <c r="CF66" i="26" s="1"/>
  <c r="DX65" i="26"/>
  <c r="CF65" i="26" s="1"/>
  <c r="DX61" i="26"/>
  <c r="CF61" i="26" s="1"/>
  <c r="DX60" i="26"/>
  <c r="CF60" i="26" s="1"/>
  <c r="DX59" i="26"/>
  <c r="CF59" i="26" s="1"/>
  <c r="DX58" i="26"/>
  <c r="CF58" i="26" s="1"/>
  <c r="DX57" i="26"/>
  <c r="CF57" i="26" s="1"/>
  <c r="DX56" i="26"/>
  <c r="CF56" i="26" s="1"/>
  <c r="DX55" i="26"/>
  <c r="CF55" i="26" s="1"/>
  <c r="DX54" i="26"/>
  <c r="CF54" i="26" s="1"/>
  <c r="DX53" i="26"/>
  <c r="CF53" i="26" s="1"/>
  <c r="DX51" i="26"/>
  <c r="CF51" i="26" s="1"/>
  <c r="DX50" i="26"/>
  <c r="CF50" i="26" s="1"/>
  <c r="DX49" i="26"/>
  <c r="CF49" i="26" s="1"/>
  <c r="DX48" i="26"/>
  <c r="CF48" i="26" s="1"/>
  <c r="DX47" i="26"/>
  <c r="CF47" i="26" s="1"/>
  <c r="DX46" i="26"/>
  <c r="CF46" i="26" s="1"/>
  <c r="DX45" i="26"/>
  <c r="CF45" i="26" s="1"/>
  <c r="DX44" i="26"/>
  <c r="CF44" i="26" s="1"/>
  <c r="DX43" i="26"/>
  <c r="CF43" i="26" s="1"/>
  <c r="DX42" i="26"/>
  <c r="CF42" i="26" s="1"/>
  <c r="DX41" i="26"/>
  <c r="CF41" i="26" s="1"/>
  <c r="DX40" i="26"/>
  <c r="CF40" i="26" s="1"/>
  <c r="DX39" i="26"/>
  <c r="CF39" i="26" s="1"/>
  <c r="DX38" i="26"/>
  <c r="CF38" i="26" s="1"/>
  <c r="DX36" i="26"/>
  <c r="CF36" i="26" s="1"/>
  <c r="DX34" i="26"/>
  <c r="CF34" i="26" s="1"/>
  <c r="DX33" i="26"/>
  <c r="CF33" i="26" s="1"/>
  <c r="DX32" i="26"/>
  <c r="CF32" i="26" s="1"/>
  <c r="DX31" i="26"/>
  <c r="CF31" i="26" s="1"/>
  <c r="DX30" i="26"/>
  <c r="CF30" i="26" s="1"/>
  <c r="DX29" i="26"/>
  <c r="CF29" i="26" s="1"/>
  <c r="DX27" i="26"/>
  <c r="CF27" i="26" s="1"/>
  <c r="DX26" i="26"/>
  <c r="CF26" i="26" s="1"/>
  <c r="DX24" i="26"/>
  <c r="CF24" i="26" s="1"/>
  <c r="DX23" i="26"/>
  <c r="CF23" i="26" s="1"/>
  <c r="DX22" i="26"/>
  <c r="CF22" i="26" s="1"/>
  <c r="DX21" i="26"/>
  <c r="CF21" i="26" s="1"/>
  <c r="DX19" i="26"/>
  <c r="CF19" i="26" s="1"/>
  <c r="DX18" i="26"/>
  <c r="CF18" i="26" s="1"/>
  <c r="DX17" i="26"/>
  <c r="CF17" i="26" s="1"/>
  <c r="DX15" i="26"/>
  <c r="CF15" i="26" s="1"/>
  <c r="DX12" i="26"/>
  <c r="CF12" i="26" s="1"/>
  <c r="DX11" i="26"/>
  <c r="CF11" i="26" s="1"/>
  <c r="DX10" i="26"/>
  <c r="CF10" i="26" s="1"/>
  <c r="DX9" i="26"/>
  <c r="CF9" i="26" s="1"/>
  <c r="DX7" i="26"/>
  <c r="CF7" i="26" s="1"/>
  <c r="DX6" i="26"/>
  <c r="CF6" i="26" s="1"/>
  <c r="DX5" i="26"/>
  <c r="CF5" i="26" s="1"/>
  <c r="DX3" i="26"/>
  <c r="CF3" i="26" s="1"/>
  <c r="DW558" i="26"/>
  <c r="DX558" i="26" s="1"/>
  <c r="CF558" i="26" s="1"/>
  <c r="DW539" i="26"/>
  <c r="DX539" i="26" s="1"/>
  <c r="CF539" i="26" s="1"/>
  <c r="DW527" i="26"/>
  <c r="DX527" i="26" s="1"/>
  <c r="CF527" i="26" s="1"/>
  <c r="DW525" i="26"/>
  <c r="DX525" i="26" s="1"/>
  <c r="CF525" i="26" s="1"/>
  <c r="DW500" i="26"/>
  <c r="DX500" i="26" s="1"/>
  <c r="CF500" i="26" s="1"/>
  <c r="DW469" i="26"/>
  <c r="DX469" i="26" s="1"/>
  <c r="CF469" i="26" s="1"/>
  <c r="DW458" i="26"/>
  <c r="DX458" i="26" s="1"/>
  <c r="CF458" i="26" s="1"/>
  <c r="DW454" i="26"/>
  <c r="DX454" i="26" s="1"/>
  <c r="CF454" i="26" s="1"/>
  <c r="DW453" i="26"/>
  <c r="DX453" i="26" s="1"/>
  <c r="CF453" i="26" s="1"/>
  <c r="DW452" i="26"/>
  <c r="DX452" i="26" s="1"/>
  <c r="CF452" i="26" s="1"/>
  <c r="DW434" i="26"/>
  <c r="DX434" i="26" s="1"/>
  <c r="CF434" i="26" s="1"/>
  <c r="DW428" i="26"/>
  <c r="DX428" i="26" s="1"/>
  <c r="CF428" i="26" s="1"/>
  <c r="DW421" i="26"/>
  <c r="DX421" i="26" s="1"/>
  <c r="CF421" i="26" s="1"/>
  <c r="DW407" i="26"/>
  <c r="DX407" i="26" s="1"/>
  <c r="CF407" i="26" s="1"/>
  <c r="DW405" i="26"/>
  <c r="DX405" i="26" s="1"/>
  <c r="CF405" i="26" s="1"/>
  <c r="DW400" i="26"/>
  <c r="DX400" i="26" s="1"/>
  <c r="CF400" i="26" s="1"/>
  <c r="DW388" i="26"/>
  <c r="DX388" i="26" s="1"/>
  <c r="CF388" i="26" s="1"/>
  <c r="DW386" i="26"/>
  <c r="DX386" i="26" s="1"/>
  <c r="CF386" i="26" s="1"/>
  <c r="DW383" i="26"/>
  <c r="DX383" i="26" s="1"/>
  <c r="CF383" i="26" s="1"/>
  <c r="DW369" i="26"/>
  <c r="DX369" i="26" s="1"/>
  <c r="CF369" i="26" s="1"/>
  <c r="DW368" i="26"/>
  <c r="DX368" i="26" s="1"/>
  <c r="CF368" i="26" s="1"/>
  <c r="DW352" i="26"/>
  <c r="DX352" i="26" s="1"/>
  <c r="CF352" i="26" s="1"/>
  <c r="DW349" i="26"/>
  <c r="DX349" i="26" s="1"/>
  <c r="CF349" i="26" s="1"/>
  <c r="DW347" i="26"/>
  <c r="DX347" i="26" s="1"/>
  <c r="CF347" i="26" s="1"/>
  <c r="DW345" i="26"/>
  <c r="DX345" i="26" s="1"/>
  <c r="CF345" i="26" s="1"/>
  <c r="DW335" i="26"/>
  <c r="DX335" i="26" s="1"/>
  <c r="CF335" i="26" s="1"/>
  <c r="DW332" i="26"/>
  <c r="DX332" i="26" s="1"/>
  <c r="CF332" i="26" s="1"/>
  <c r="DW313" i="26"/>
  <c r="DX313" i="26" s="1"/>
  <c r="CF313" i="26" s="1"/>
  <c r="DW311" i="26"/>
  <c r="DX311" i="26" s="1"/>
  <c r="CF311" i="26" s="1"/>
  <c r="DW308" i="26"/>
  <c r="DX308" i="26" s="1"/>
  <c r="CF308" i="26" s="1"/>
  <c r="DW300" i="26"/>
  <c r="DX300" i="26" s="1"/>
  <c r="CF300" i="26" s="1"/>
  <c r="DW294" i="26"/>
  <c r="DX294" i="26" s="1"/>
  <c r="CF294" i="26" s="1"/>
  <c r="DW276" i="26"/>
  <c r="DX276" i="26" s="1"/>
  <c r="CF276" i="26" s="1"/>
  <c r="DW274" i="26"/>
  <c r="DX274" i="26" s="1"/>
  <c r="CF274" i="26" s="1"/>
  <c r="DW273" i="26"/>
  <c r="DX273" i="26" s="1"/>
  <c r="CF273" i="26" s="1"/>
  <c r="DW255" i="26"/>
  <c r="DX255" i="26" s="1"/>
  <c r="CF255" i="26" s="1"/>
  <c r="DW242" i="26"/>
  <c r="DX242" i="26" s="1"/>
  <c r="CF242" i="26" s="1"/>
  <c r="DW241" i="26"/>
  <c r="DX241" i="26" s="1"/>
  <c r="CF241" i="26" s="1"/>
  <c r="DW229" i="26"/>
  <c r="DX229" i="26" s="1"/>
  <c r="CF229" i="26" s="1"/>
  <c r="DW228" i="26"/>
  <c r="DX228" i="26" s="1"/>
  <c r="CF228" i="26" s="1"/>
  <c r="DW203" i="26"/>
  <c r="DX203" i="26" s="1"/>
  <c r="CF203" i="26" s="1"/>
  <c r="DW193" i="26"/>
  <c r="DX193" i="26" s="1"/>
  <c r="CF193" i="26" s="1"/>
  <c r="DW192" i="26"/>
  <c r="DX192" i="26" s="1"/>
  <c r="CF192" i="26" s="1"/>
  <c r="DW189" i="26"/>
  <c r="DX189" i="26" s="1"/>
  <c r="CF189" i="26" s="1"/>
  <c r="DW179" i="26"/>
  <c r="DX179" i="26" s="1"/>
  <c r="CF179" i="26" s="1"/>
  <c r="DW177" i="26"/>
  <c r="DX177" i="26" s="1"/>
  <c r="CF177" i="26" s="1"/>
  <c r="DW174" i="26"/>
  <c r="DX174" i="26" s="1"/>
  <c r="CF174" i="26" s="1"/>
  <c r="DW172" i="26"/>
  <c r="DX172" i="26" s="1"/>
  <c r="CF172" i="26" s="1"/>
  <c r="DW159" i="26"/>
  <c r="DX159" i="26" s="1"/>
  <c r="CF159" i="26" s="1"/>
  <c r="DW151" i="26"/>
  <c r="DX151" i="26" s="1"/>
  <c r="CF151" i="26" s="1"/>
  <c r="DW148" i="26"/>
  <c r="DX148" i="26" s="1"/>
  <c r="CF148" i="26" s="1"/>
  <c r="DW137" i="26"/>
  <c r="DX137" i="26" s="1"/>
  <c r="CF137" i="26" s="1"/>
  <c r="DW135" i="26"/>
  <c r="DX135" i="26" s="1"/>
  <c r="CF135" i="26" s="1"/>
  <c r="DW128" i="26"/>
  <c r="DX128" i="26" s="1"/>
  <c r="CF128" i="26" s="1"/>
  <c r="DW121" i="26"/>
  <c r="DX121" i="26" s="1"/>
  <c r="CF121" i="26" s="1"/>
  <c r="DW117" i="26"/>
  <c r="DX117" i="26" s="1"/>
  <c r="CF117" i="26" s="1"/>
  <c r="DW114" i="26"/>
  <c r="DX114" i="26" s="1"/>
  <c r="CF114" i="26" s="1"/>
  <c r="DW110" i="26"/>
  <c r="DX110" i="26" s="1"/>
  <c r="CF110" i="26" s="1"/>
  <c r="DW81" i="26"/>
  <c r="DX81" i="26" s="1"/>
  <c r="CF81" i="26" s="1"/>
  <c r="DW72" i="26"/>
  <c r="DX72" i="26" s="1"/>
  <c r="CF72" i="26" s="1"/>
  <c r="DW64" i="26"/>
  <c r="DX64" i="26" s="1"/>
  <c r="CF64" i="26" s="1"/>
  <c r="DW63" i="26"/>
  <c r="DX63" i="26" s="1"/>
  <c r="CF63" i="26" s="1"/>
  <c r="DW62" i="26"/>
  <c r="DX62" i="26" s="1"/>
  <c r="CF62" i="26" s="1"/>
  <c r="DW52" i="26"/>
  <c r="DX52" i="26" s="1"/>
  <c r="CF52" i="26" s="1"/>
  <c r="DW37" i="26"/>
  <c r="DX37" i="26" s="1"/>
  <c r="CF37" i="26" s="1"/>
  <c r="DW35" i="26"/>
  <c r="DX35" i="26" s="1"/>
  <c r="CF35" i="26" s="1"/>
  <c r="DW28" i="26"/>
  <c r="DX28" i="26" s="1"/>
  <c r="CF28" i="26" s="1"/>
  <c r="DW25" i="26"/>
  <c r="DX25" i="26" s="1"/>
  <c r="CF25" i="26" s="1"/>
  <c r="DW20" i="26"/>
  <c r="DX20" i="26" s="1"/>
  <c r="CF20" i="26" s="1"/>
  <c r="DW16" i="26"/>
  <c r="DX16" i="26" s="1"/>
  <c r="CF16" i="26" s="1"/>
  <c r="DW14" i="26"/>
  <c r="DX14" i="26" s="1"/>
  <c r="CF14" i="26" s="1"/>
  <c r="DW13" i="26"/>
  <c r="DX13" i="26" s="1"/>
  <c r="CF13" i="26" s="1"/>
  <c r="DW8" i="26"/>
  <c r="DX8" i="26" s="1"/>
  <c r="CF8" i="26" s="1"/>
  <c r="DW4" i="26"/>
  <c r="DX4" i="26" s="1"/>
  <c r="CF4" i="26" s="1"/>
  <c r="CG558" i="26"/>
  <c r="CG557" i="26"/>
  <c r="CG556" i="26"/>
  <c r="CG555" i="26"/>
  <c r="CG554" i="26"/>
  <c r="CG553" i="26"/>
  <c r="CG552" i="26"/>
  <c r="CG551" i="26"/>
  <c r="CG550" i="26"/>
  <c r="CG549" i="26"/>
  <c r="CG548" i="26"/>
  <c r="CG547" i="26"/>
  <c r="CG546" i="26"/>
  <c r="CG545" i="26"/>
  <c r="CG544" i="26"/>
  <c r="CG543" i="26"/>
  <c r="CG542" i="26"/>
  <c r="CG541" i="26"/>
  <c r="CG540" i="26"/>
  <c r="CG539" i="26"/>
  <c r="CG538" i="26"/>
  <c r="CG537" i="26"/>
  <c r="CG536" i="26"/>
  <c r="CG535" i="26"/>
  <c r="CG534" i="26"/>
  <c r="CG533" i="26"/>
  <c r="CG532" i="26"/>
  <c r="CG531" i="26"/>
  <c r="CG530" i="26"/>
  <c r="CG529" i="26"/>
  <c r="CG528" i="26"/>
  <c r="CG527" i="26"/>
  <c r="CG526" i="26"/>
  <c r="CG525" i="26"/>
  <c r="CG524" i="26"/>
  <c r="CG523" i="26"/>
  <c r="CG522" i="26"/>
  <c r="CG521" i="26"/>
  <c r="CG520" i="26"/>
  <c r="CG519" i="26"/>
  <c r="CG518" i="26"/>
  <c r="CG517" i="26"/>
  <c r="CG516" i="26"/>
  <c r="CG515" i="26"/>
  <c r="CG514" i="26"/>
  <c r="CG513" i="26"/>
  <c r="CG512" i="26"/>
  <c r="CG511" i="26"/>
  <c r="CG510" i="26"/>
  <c r="CG509" i="26"/>
  <c r="CG508" i="26"/>
  <c r="CG507" i="26"/>
  <c r="CG506" i="26"/>
  <c r="CG505" i="26"/>
  <c r="CG504" i="26"/>
  <c r="CG503" i="26"/>
  <c r="CG502" i="26"/>
  <c r="CG501" i="26"/>
  <c r="CG500" i="26"/>
  <c r="CG499" i="26"/>
  <c r="CG498" i="26"/>
  <c r="CG497" i="26"/>
  <c r="CG496" i="26"/>
  <c r="CG495" i="26"/>
  <c r="CG494" i="26"/>
  <c r="CG493" i="26"/>
  <c r="CG492" i="26"/>
  <c r="CG491" i="26"/>
  <c r="CG490" i="26"/>
  <c r="CG489" i="26"/>
  <c r="CG488" i="26"/>
  <c r="CG487" i="26"/>
  <c r="CG486" i="26"/>
  <c r="CG485" i="26"/>
  <c r="CG484" i="26"/>
  <c r="CG483" i="26"/>
  <c r="CG482" i="26"/>
  <c r="CG481" i="26"/>
  <c r="CG480" i="26"/>
  <c r="CG479" i="26"/>
  <c r="CG478" i="26"/>
  <c r="CG477" i="26"/>
  <c r="CG476" i="26"/>
  <c r="CG475" i="26"/>
  <c r="CG474" i="26"/>
  <c r="CG473" i="26"/>
  <c r="CG472" i="26"/>
  <c r="CG471" i="26"/>
  <c r="CG470" i="26"/>
  <c r="CG469" i="26"/>
  <c r="CG468" i="26"/>
  <c r="CG467" i="26"/>
  <c r="CG466" i="26"/>
  <c r="CG465" i="26"/>
  <c r="CG464" i="26"/>
  <c r="CG463" i="26"/>
  <c r="CG462" i="26"/>
  <c r="CG461" i="26"/>
  <c r="CG460" i="26"/>
  <c r="CG459" i="26"/>
  <c r="CG458" i="26"/>
  <c r="CG457" i="26"/>
  <c r="CG456" i="26"/>
  <c r="CG455" i="26"/>
  <c r="CG454" i="26"/>
  <c r="CG453" i="26"/>
  <c r="CG452" i="26"/>
  <c r="CG451" i="26"/>
  <c r="CG450" i="26"/>
  <c r="CG449" i="26"/>
  <c r="CG448" i="26"/>
  <c r="CG447" i="26"/>
  <c r="CG446" i="26"/>
  <c r="CG445" i="26"/>
  <c r="CG444" i="26"/>
  <c r="CG443" i="26"/>
  <c r="CG442" i="26"/>
  <c r="CG441" i="26"/>
  <c r="CG440" i="26"/>
  <c r="CG439" i="26"/>
  <c r="CG438" i="26"/>
  <c r="CG437" i="26"/>
  <c r="CG436" i="26"/>
  <c r="CG435" i="26"/>
  <c r="CG434" i="26"/>
  <c r="CG433" i="26"/>
  <c r="CG432" i="26"/>
  <c r="CG431" i="26"/>
  <c r="CG430" i="26"/>
  <c r="CG429" i="26"/>
  <c r="CG428" i="26"/>
  <c r="CG427" i="26"/>
  <c r="CG426" i="26"/>
  <c r="CG425" i="26"/>
  <c r="CG424" i="26"/>
  <c r="CG423" i="26"/>
  <c r="CG422" i="26"/>
  <c r="CG421" i="26"/>
  <c r="CG420" i="26"/>
  <c r="CG419" i="26"/>
  <c r="CG418" i="26"/>
  <c r="CG417" i="26"/>
  <c r="CG416" i="26"/>
  <c r="CG415" i="26"/>
  <c r="CG414" i="26"/>
  <c r="CG413" i="26"/>
  <c r="CG412" i="26"/>
  <c r="CG411" i="26"/>
  <c r="CG410" i="26"/>
  <c r="CG409" i="26"/>
  <c r="CG408" i="26"/>
  <c r="CG407" i="26"/>
  <c r="CG406" i="26"/>
  <c r="CG405" i="26"/>
  <c r="CG404" i="26"/>
  <c r="CG403" i="26"/>
  <c r="CG402" i="26"/>
  <c r="CG401" i="26"/>
  <c r="CG400" i="26"/>
  <c r="CG399" i="26"/>
  <c r="CG398" i="26"/>
  <c r="CG397" i="26"/>
  <c r="CG396" i="26"/>
  <c r="CG395" i="26"/>
  <c r="CG394" i="26"/>
  <c r="CG393" i="26"/>
  <c r="CG392" i="26"/>
  <c r="CG391" i="26"/>
  <c r="CG390" i="26"/>
  <c r="CG389" i="26"/>
  <c r="CG388" i="26"/>
  <c r="CG387" i="26"/>
  <c r="CG386" i="26"/>
  <c r="CG385" i="26"/>
  <c r="CG384" i="26"/>
  <c r="CG383" i="26"/>
  <c r="CG382" i="26"/>
  <c r="CG381" i="26"/>
  <c r="CG380" i="26"/>
  <c r="CG379" i="26"/>
  <c r="CG378" i="26"/>
  <c r="CG377" i="26"/>
  <c r="CG376" i="26"/>
  <c r="CG375" i="26"/>
  <c r="CG374" i="26"/>
  <c r="CG373" i="26"/>
  <c r="CG372" i="26"/>
  <c r="CG371" i="26"/>
  <c r="CG370" i="26"/>
  <c r="CG369" i="26"/>
  <c r="CG368" i="26"/>
  <c r="CG367" i="26"/>
  <c r="CG366" i="26"/>
  <c r="CG365" i="26"/>
  <c r="CG364" i="26"/>
  <c r="CG363" i="26"/>
  <c r="CG362" i="26"/>
  <c r="CG361" i="26"/>
  <c r="CG360" i="26"/>
  <c r="CG359" i="26"/>
  <c r="CG358" i="26"/>
  <c r="CG357" i="26"/>
  <c r="CG356" i="26"/>
  <c r="CG355" i="26"/>
  <c r="CG354" i="26"/>
  <c r="CG353" i="26"/>
  <c r="CG352" i="26"/>
  <c r="CG351" i="26"/>
  <c r="CG350" i="26"/>
  <c r="CG349" i="26"/>
  <c r="CG348" i="26"/>
  <c r="CG347" i="26"/>
  <c r="CG346" i="26"/>
  <c r="CG345" i="26"/>
  <c r="CG344" i="26"/>
  <c r="CG343" i="26"/>
  <c r="CG342" i="26"/>
  <c r="CG341" i="26"/>
  <c r="CG340" i="26"/>
  <c r="CG339" i="26"/>
  <c r="CG338" i="26"/>
  <c r="CG337" i="26"/>
  <c r="CG336" i="26"/>
  <c r="CG335" i="26"/>
  <c r="CG334" i="26"/>
  <c r="CG333" i="26"/>
  <c r="CG332" i="26"/>
  <c r="CG331" i="26"/>
  <c r="CG330" i="26"/>
  <c r="CG329" i="26"/>
  <c r="CG328" i="26"/>
  <c r="CG327" i="26"/>
  <c r="CG326" i="26"/>
  <c r="CG325" i="26"/>
  <c r="CG324" i="26"/>
  <c r="CG323" i="26"/>
  <c r="CG322" i="26"/>
  <c r="CG321" i="26"/>
  <c r="CG320" i="26"/>
  <c r="CG319" i="26"/>
  <c r="CG318" i="26"/>
  <c r="CG317" i="26"/>
  <c r="CG316" i="26"/>
  <c r="CG315" i="26"/>
  <c r="CG314" i="26"/>
  <c r="CG313" i="26"/>
  <c r="CG312" i="26"/>
  <c r="CG311" i="26"/>
  <c r="CG310" i="26"/>
  <c r="CG309" i="26"/>
  <c r="CG308" i="26"/>
  <c r="CG307" i="26"/>
  <c r="CG306" i="26"/>
  <c r="CG305" i="26"/>
  <c r="CG304" i="26"/>
  <c r="CG303" i="26"/>
  <c r="CG302" i="26"/>
  <c r="CG301" i="26"/>
  <c r="CG300" i="26"/>
  <c r="CG299" i="26"/>
  <c r="CG298" i="26"/>
  <c r="CG297" i="26"/>
  <c r="CG296" i="26"/>
  <c r="CG295" i="26"/>
  <c r="CG294" i="26"/>
  <c r="CG293" i="26"/>
  <c r="CG292" i="26"/>
  <c r="CG291" i="26"/>
  <c r="CG290" i="26"/>
  <c r="CG289" i="26"/>
  <c r="CG288" i="26"/>
  <c r="CG287" i="26"/>
  <c r="CG286" i="26"/>
  <c r="CG285" i="26"/>
  <c r="CG284" i="26"/>
  <c r="CG283" i="26"/>
  <c r="CG282" i="26"/>
  <c r="CG281" i="26"/>
  <c r="CG280" i="26"/>
  <c r="CG279" i="26"/>
  <c r="CG278" i="26"/>
  <c r="CG277" i="26"/>
  <c r="CG276" i="26"/>
  <c r="CG275" i="26"/>
  <c r="CG274" i="26"/>
  <c r="CG273" i="26"/>
  <c r="CG272" i="26"/>
  <c r="CG271" i="26"/>
  <c r="CG270" i="26"/>
  <c r="CG269" i="26"/>
  <c r="CG268" i="26"/>
  <c r="CG267" i="26"/>
  <c r="CG266" i="26"/>
  <c r="CG265" i="26"/>
  <c r="CG264" i="26"/>
  <c r="CG263" i="26"/>
  <c r="CG262" i="26"/>
  <c r="CG261" i="26"/>
  <c r="CG260" i="26"/>
  <c r="CG259" i="26"/>
  <c r="CG258" i="26"/>
  <c r="CG257" i="26"/>
  <c r="CG256" i="26"/>
  <c r="CG255" i="26"/>
  <c r="CG254" i="26"/>
  <c r="CG253" i="26"/>
  <c r="CG252" i="26"/>
  <c r="CG251" i="26"/>
  <c r="CG250" i="26"/>
  <c r="CG249" i="26"/>
  <c r="CG248" i="26"/>
  <c r="CG247" i="26"/>
  <c r="CG246" i="26"/>
  <c r="CG245" i="26"/>
  <c r="CG244" i="26"/>
  <c r="CG243" i="26"/>
  <c r="CG242" i="26"/>
  <c r="CG241" i="26"/>
  <c r="CG240" i="26"/>
  <c r="CG239" i="26"/>
  <c r="CG238" i="26"/>
  <c r="CG237" i="26"/>
  <c r="CG236" i="26"/>
  <c r="CG235" i="26"/>
  <c r="CG234" i="26"/>
  <c r="CG233" i="26"/>
  <c r="CG232" i="26"/>
  <c r="CG231" i="26"/>
  <c r="CG230" i="26"/>
  <c r="CG229" i="26"/>
  <c r="CG228" i="26"/>
  <c r="CG227" i="26"/>
  <c r="CG226" i="26"/>
  <c r="CG225" i="26"/>
  <c r="CG224" i="26"/>
  <c r="CG223" i="26"/>
  <c r="CG222" i="26"/>
  <c r="CG221" i="26"/>
  <c r="CG220" i="26"/>
  <c r="CG219" i="26"/>
  <c r="CG218" i="26"/>
  <c r="CG217" i="26"/>
  <c r="CG216" i="26"/>
  <c r="CG215" i="26"/>
  <c r="CG214" i="26"/>
  <c r="CG213" i="26"/>
  <c r="CG212" i="26"/>
  <c r="CG211" i="26"/>
  <c r="CG210" i="26"/>
  <c r="CG209" i="26"/>
  <c r="CG208" i="26"/>
  <c r="CG207" i="26"/>
  <c r="CG206" i="26"/>
  <c r="CG205" i="26"/>
  <c r="CG204" i="26"/>
  <c r="CG203" i="26"/>
  <c r="CG202" i="26"/>
  <c r="CG201" i="26"/>
  <c r="CG200" i="26"/>
  <c r="CG199" i="26"/>
  <c r="CG198" i="26"/>
  <c r="CG197" i="26"/>
  <c r="CG196" i="26"/>
  <c r="CG195" i="26"/>
  <c r="CG194" i="26"/>
  <c r="CG193" i="26"/>
  <c r="CG192" i="26"/>
  <c r="CG191" i="26"/>
  <c r="CG190" i="26"/>
  <c r="CG189" i="26"/>
  <c r="CG188" i="26"/>
  <c r="CG187" i="26"/>
  <c r="CG186" i="26"/>
  <c r="CG185" i="26"/>
  <c r="CG184" i="26"/>
  <c r="CG183" i="26"/>
  <c r="CG182" i="26"/>
  <c r="CG181" i="26"/>
  <c r="CG180" i="26"/>
  <c r="CG179" i="26"/>
  <c r="CG178" i="26"/>
  <c r="CG177" i="26"/>
  <c r="CG176" i="26"/>
  <c r="CG175" i="26"/>
  <c r="CG174" i="26"/>
  <c r="CG173" i="26"/>
  <c r="CG172" i="26"/>
  <c r="CG171" i="26"/>
  <c r="CG170" i="26"/>
  <c r="CG169" i="26"/>
  <c r="CG168" i="26"/>
  <c r="CG167" i="26"/>
  <c r="CG166" i="26"/>
  <c r="CG165" i="26"/>
  <c r="CG164" i="26"/>
  <c r="CG163" i="26"/>
  <c r="CG162" i="26"/>
  <c r="CG161" i="26"/>
  <c r="CG160" i="26"/>
  <c r="CG159" i="26"/>
  <c r="CG158" i="26"/>
  <c r="CG157" i="26"/>
  <c r="CG156" i="26"/>
  <c r="CG155" i="26"/>
  <c r="CG154" i="26"/>
  <c r="CG153" i="26"/>
  <c r="CG152" i="26"/>
  <c r="CG151" i="26"/>
  <c r="CG150" i="26"/>
  <c r="CG149" i="26"/>
  <c r="CG148" i="26"/>
  <c r="CG147" i="26"/>
  <c r="CG146" i="26"/>
  <c r="CG145" i="26"/>
  <c r="CG144" i="26"/>
  <c r="CG143" i="26"/>
  <c r="CG142" i="26"/>
  <c r="CG141" i="26"/>
  <c r="CG140" i="26"/>
  <c r="CG139" i="26"/>
  <c r="CG138" i="26"/>
  <c r="CG137" i="26"/>
  <c r="CG136" i="26"/>
  <c r="CG135" i="26"/>
  <c r="CG134" i="26"/>
  <c r="CG133" i="26"/>
  <c r="CG132" i="26"/>
  <c r="CG131" i="26"/>
  <c r="CG130" i="26"/>
  <c r="CG129" i="26"/>
  <c r="CG128" i="26"/>
  <c r="CG127" i="26"/>
  <c r="CG126" i="26"/>
  <c r="CG125" i="26"/>
  <c r="CG124" i="26"/>
  <c r="CG123" i="26"/>
  <c r="CG122" i="26"/>
  <c r="CG121" i="26"/>
  <c r="CG120" i="26"/>
  <c r="CG119" i="26"/>
  <c r="CG118" i="26"/>
  <c r="CG117" i="26"/>
  <c r="CG116" i="26"/>
  <c r="CG115" i="26"/>
  <c r="CG114" i="26"/>
  <c r="CG113" i="26"/>
  <c r="CG112" i="26"/>
  <c r="CG111" i="26"/>
  <c r="CG110" i="26"/>
  <c r="CG109" i="26"/>
  <c r="CG108" i="26"/>
  <c r="CG107" i="26"/>
  <c r="CG106" i="26"/>
  <c r="CG105" i="26"/>
  <c r="CG104" i="26"/>
  <c r="CG103" i="26"/>
  <c r="CG102" i="26"/>
  <c r="CG101" i="26"/>
  <c r="CG100" i="26"/>
  <c r="CG99" i="26"/>
  <c r="CG98" i="26"/>
  <c r="CG97" i="26"/>
  <c r="CG96" i="26"/>
  <c r="CG95" i="26"/>
  <c r="CG94" i="26"/>
  <c r="CG93" i="26"/>
  <c r="CG91" i="26"/>
  <c r="CG90" i="26"/>
  <c r="CG89" i="26"/>
  <c r="CG88" i="26"/>
  <c r="CG87" i="26"/>
  <c r="CG86" i="26"/>
  <c r="CG85" i="26"/>
  <c r="CG84" i="26"/>
  <c r="CG83" i="26"/>
  <c r="CG82" i="26"/>
  <c r="CG81" i="26"/>
  <c r="CG80" i="26"/>
  <c r="CG79" i="26"/>
  <c r="CG78" i="26"/>
  <c r="CG77" i="26"/>
  <c r="CG76" i="26"/>
  <c r="CG75" i="26"/>
  <c r="CG74" i="26"/>
  <c r="CG73" i="26"/>
  <c r="CG72" i="26"/>
  <c r="CG71" i="26"/>
  <c r="CG70" i="26"/>
  <c r="CG69" i="26"/>
  <c r="CG68" i="26"/>
  <c r="CG67" i="26"/>
  <c r="CG66" i="26"/>
  <c r="CG65" i="26"/>
  <c r="CG64" i="26"/>
  <c r="CG63" i="26"/>
  <c r="CG62" i="26"/>
  <c r="CG61" i="26"/>
  <c r="CG60" i="26"/>
  <c r="CG59" i="26"/>
  <c r="CG58" i="26"/>
  <c r="CG57" i="26"/>
  <c r="CG56" i="26"/>
  <c r="CG55" i="26"/>
  <c r="CG54" i="26"/>
  <c r="CG53" i="26"/>
  <c r="CG52" i="26"/>
  <c r="CG51" i="26"/>
  <c r="CG50" i="26"/>
  <c r="CG49" i="26"/>
  <c r="CG48" i="26"/>
  <c r="CG47" i="26"/>
  <c r="CG46" i="26"/>
  <c r="CG45" i="26"/>
  <c r="CG44" i="26"/>
  <c r="CG43" i="26"/>
  <c r="CG42" i="26"/>
  <c r="CG41" i="26"/>
  <c r="CG40" i="26"/>
  <c r="CG39" i="26"/>
  <c r="CG38" i="26"/>
  <c r="CG37" i="26"/>
  <c r="CG36" i="26"/>
  <c r="CG35" i="26"/>
  <c r="CG34" i="26"/>
  <c r="CG33" i="26"/>
  <c r="CG32" i="26"/>
  <c r="CG31" i="26"/>
  <c r="CG30" i="26"/>
  <c r="CG29" i="26"/>
  <c r="CG28" i="26"/>
  <c r="CG27" i="26"/>
  <c r="CG26" i="26"/>
  <c r="CG25" i="26"/>
  <c r="CG24" i="26"/>
  <c r="CG23" i="26"/>
  <c r="CG22" i="26"/>
  <c r="CG21" i="26"/>
  <c r="CG20" i="26"/>
  <c r="CG19" i="26"/>
  <c r="CG18" i="26"/>
  <c r="CG17" i="26"/>
  <c r="CG16" i="26"/>
  <c r="CG15" i="26"/>
  <c r="CG14" i="26"/>
  <c r="CG13" i="26"/>
  <c r="CG12" i="26"/>
  <c r="CG11" i="26"/>
  <c r="CG10" i="26"/>
  <c r="CG9" i="26"/>
  <c r="CG8" i="26"/>
  <c r="CG7" i="26"/>
  <c r="CG6" i="26"/>
  <c r="CG5" i="26"/>
  <c r="CG4" i="26"/>
  <c r="CG3" i="26"/>
  <c r="CE558" i="26"/>
  <c r="CE557" i="26"/>
  <c r="CE556" i="26"/>
  <c r="CE555" i="26"/>
  <c r="CE554" i="26"/>
  <c r="CE553" i="26"/>
  <c r="CE552" i="26"/>
  <c r="CE551" i="26"/>
  <c r="CE550" i="26"/>
  <c r="CE549" i="26"/>
  <c r="CE548" i="26"/>
  <c r="CE547" i="26"/>
  <c r="CE546" i="26"/>
  <c r="CE545" i="26"/>
  <c r="CE544" i="26"/>
  <c r="CE543" i="26"/>
  <c r="CE542" i="26"/>
  <c r="CE541" i="26"/>
  <c r="CE540" i="26"/>
  <c r="CE539" i="26"/>
  <c r="CE538" i="26"/>
  <c r="CE537" i="26"/>
  <c r="CE536" i="26"/>
  <c r="CE535" i="26"/>
  <c r="CE534" i="26"/>
  <c r="CE533" i="26"/>
  <c r="CE532" i="26"/>
  <c r="CE531" i="26"/>
  <c r="CE530" i="26"/>
  <c r="CE529" i="26"/>
  <c r="CE528" i="26"/>
  <c r="CE527" i="26"/>
  <c r="CE526" i="26"/>
  <c r="CE525" i="26"/>
  <c r="CE524" i="26"/>
  <c r="CE523" i="26"/>
  <c r="CE522" i="26"/>
  <c r="CE521" i="26"/>
  <c r="CE520" i="26"/>
  <c r="CE519" i="26"/>
  <c r="CE518" i="26"/>
  <c r="CE517" i="26"/>
  <c r="CE516" i="26"/>
  <c r="CE515" i="26"/>
  <c r="CE513" i="26"/>
  <c r="CE512" i="26"/>
  <c r="CE511" i="26"/>
  <c r="CE510" i="26"/>
  <c r="CE509" i="26"/>
  <c r="CE508" i="26"/>
  <c r="CE505" i="26"/>
  <c r="CE504" i="26"/>
  <c r="CE503" i="26"/>
  <c r="CE502" i="26"/>
  <c r="CE501" i="26"/>
  <c r="CE500" i="26"/>
  <c r="CE499" i="26"/>
  <c r="CE498" i="26"/>
  <c r="CE497" i="26"/>
  <c r="CE496" i="26"/>
  <c r="CE494" i="26"/>
  <c r="CE493" i="26"/>
  <c r="CE492" i="26"/>
  <c r="CE491" i="26"/>
  <c r="CE490" i="26"/>
  <c r="CE489" i="26"/>
  <c r="CE488" i="26"/>
  <c r="CE487" i="26"/>
  <c r="CE486" i="26"/>
  <c r="CE485" i="26"/>
  <c r="CE484" i="26"/>
  <c r="CE483" i="26"/>
  <c r="CE482" i="26"/>
  <c r="CE481" i="26"/>
  <c r="CE480" i="26"/>
  <c r="CE479" i="26"/>
  <c r="CE478" i="26"/>
  <c r="CE477" i="26"/>
  <c r="CE476" i="26"/>
  <c r="CE475" i="26"/>
  <c r="CE474" i="26"/>
  <c r="CE473" i="26"/>
  <c r="CE472" i="26"/>
  <c r="CE471" i="26"/>
  <c r="CE470" i="26"/>
  <c r="CE469" i="26"/>
  <c r="CE468" i="26"/>
  <c r="CE467" i="26"/>
  <c r="CE466" i="26"/>
  <c r="CE465" i="26"/>
  <c r="CE464" i="26"/>
  <c r="CE463" i="26"/>
  <c r="CE462" i="26"/>
  <c r="CE461" i="26"/>
  <c r="CE460" i="26"/>
  <c r="CE459" i="26"/>
  <c r="CE458" i="26"/>
  <c r="CE457" i="26"/>
  <c r="CE456" i="26"/>
  <c r="CE455" i="26"/>
  <c r="CE454" i="26"/>
  <c r="CE453" i="26"/>
  <c r="CE452" i="26"/>
  <c r="CE451" i="26"/>
  <c r="CE450" i="26"/>
  <c r="CE449" i="26"/>
  <c r="CE448" i="26"/>
  <c r="CE446" i="26"/>
  <c r="CE445" i="26"/>
  <c r="CE444" i="26"/>
  <c r="CE443" i="26"/>
  <c r="CE442" i="26"/>
  <c r="CE441" i="26"/>
  <c r="CE440" i="26"/>
  <c r="CE439" i="26"/>
  <c r="CE438" i="26"/>
  <c r="CE437" i="26"/>
  <c r="CE436" i="26"/>
  <c r="CE435" i="26"/>
  <c r="CE434" i="26"/>
  <c r="CE433" i="26"/>
  <c r="CE432" i="26"/>
  <c r="CE431" i="26"/>
  <c r="CE430" i="26"/>
  <c r="CE429" i="26"/>
  <c r="CE428" i="26"/>
  <c r="CE427" i="26"/>
  <c r="CE426" i="26"/>
  <c r="CE425" i="26"/>
  <c r="CE424" i="26"/>
  <c r="CE423" i="26"/>
  <c r="CE422" i="26"/>
  <c r="CE421" i="26"/>
  <c r="CE420" i="26"/>
  <c r="CE419" i="26"/>
  <c r="CE418" i="26"/>
  <c r="CE417" i="26"/>
  <c r="CE416" i="26"/>
  <c r="CE415" i="26"/>
  <c r="CE414" i="26"/>
  <c r="CE413" i="26"/>
  <c r="CE412" i="26"/>
  <c r="CE411" i="26"/>
  <c r="CE410" i="26"/>
  <c r="CE409" i="26"/>
  <c r="CE408" i="26"/>
  <c r="CE407" i="26"/>
  <c r="CE406" i="26"/>
  <c r="CE405" i="26"/>
  <c r="CE404" i="26"/>
  <c r="CE403" i="26"/>
  <c r="CE402" i="26"/>
  <c r="CE401" i="26"/>
  <c r="CE400" i="26"/>
  <c r="CE399" i="26"/>
  <c r="CE398" i="26"/>
  <c r="CE397" i="26"/>
  <c r="CE396" i="26"/>
  <c r="CE395" i="26"/>
  <c r="CE394" i="26"/>
  <c r="CE393" i="26"/>
  <c r="CE392" i="26"/>
  <c r="CE391" i="26"/>
  <c r="CE390" i="26"/>
  <c r="CE389" i="26"/>
  <c r="CE388" i="26"/>
  <c r="CE387" i="26"/>
  <c r="CE386" i="26"/>
  <c r="CE385" i="26"/>
  <c r="CE384" i="26"/>
  <c r="CE383" i="26"/>
  <c r="CE382" i="26"/>
  <c r="CE381" i="26"/>
  <c r="CE380" i="26"/>
  <c r="CE379" i="26"/>
  <c r="CE378" i="26"/>
  <c r="CE377" i="26"/>
  <c r="CE376" i="26"/>
  <c r="CE375" i="26"/>
  <c r="CE374" i="26"/>
  <c r="CE373" i="26"/>
  <c r="CE372" i="26"/>
  <c r="CE371" i="26"/>
  <c r="CE370" i="26"/>
  <c r="CE369" i="26"/>
  <c r="CE368" i="26"/>
  <c r="CE367" i="26"/>
  <c r="CE366" i="26"/>
  <c r="CE365" i="26"/>
  <c r="CE364" i="26"/>
  <c r="CE363" i="26"/>
  <c r="CE362" i="26"/>
  <c r="CE361" i="26"/>
  <c r="CE360" i="26"/>
  <c r="CE359" i="26"/>
  <c r="CE358" i="26"/>
  <c r="CE357" i="26"/>
  <c r="CE356" i="26"/>
  <c r="CE355" i="26"/>
  <c r="CE354" i="26"/>
  <c r="CE353" i="26"/>
  <c r="CE352" i="26"/>
  <c r="CE351" i="26"/>
  <c r="CE350" i="26"/>
  <c r="CE349" i="26"/>
  <c r="CE348" i="26"/>
  <c r="CE347" i="26"/>
  <c r="CE346" i="26"/>
  <c r="CE345" i="26"/>
  <c r="CE344" i="26"/>
  <c r="CE343" i="26"/>
  <c r="CE342" i="26"/>
  <c r="CE341" i="26"/>
  <c r="CE340" i="26"/>
  <c r="CE339" i="26"/>
  <c r="CE338" i="26"/>
  <c r="CE337" i="26"/>
  <c r="CE336" i="26"/>
  <c r="CE335" i="26"/>
  <c r="CE334" i="26"/>
  <c r="CE333" i="26"/>
  <c r="CE332" i="26"/>
  <c r="CE331" i="26"/>
  <c r="CE330" i="26"/>
  <c r="CE329" i="26"/>
  <c r="CE328" i="26"/>
  <c r="CE327" i="26"/>
  <c r="CE326" i="26"/>
  <c r="CE325" i="26"/>
  <c r="CE324" i="26"/>
  <c r="CE323" i="26"/>
  <c r="CE322" i="26"/>
  <c r="CE321" i="26"/>
  <c r="CE320" i="26"/>
  <c r="CE319" i="26"/>
  <c r="CE318" i="26"/>
  <c r="CE317" i="26"/>
  <c r="CE316" i="26"/>
  <c r="CE315" i="26"/>
  <c r="CE314" i="26"/>
  <c r="CE313" i="26"/>
  <c r="CE312" i="26"/>
  <c r="CE311" i="26"/>
  <c r="CE309" i="26"/>
  <c r="CE308" i="26"/>
  <c r="CE307" i="26"/>
  <c r="CE306" i="26"/>
  <c r="CE305" i="26"/>
  <c r="CE304" i="26"/>
  <c r="CE303" i="26"/>
  <c r="CE302" i="26"/>
  <c r="CE301" i="26"/>
  <c r="CE300" i="26"/>
  <c r="CE299" i="26"/>
  <c r="CE298" i="26"/>
  <c r="CE297" i="26"/>
  <c r="CE296" i="26"/>
  <c r="CE295" i="26"/>
  <c r="CE294" i="26"/>
  <c r="CE293" i="26"/>
  <c r="CE292" i="26"/>
  <c r="CE291" i="26"/>
  <c r="CE290" i="26"/>
  <c r="CE289" i="26"/>
  <c r="CE288" i="26"/>
  <c r="CE287" i="26"/>
  <c r="CE286" i="26"/>
  <c r="CE285" i="26"/>
  <c r="CE284" i="26"/>
  <c r="CE283" i="26"/>
  <c r="CE282" i="26"/>
  <c r="CE281" i="26"/>
  <c r="CE280" i="26"/>
  <c r="CE279" i="26"/>
  <c r="CE278" i="26"/>
  <c r="CE277" i="26"/>
  <c r="CE276" i="26"/>
  <c r="CE275" i="26"/>
  <c r="CE274" i="26"/>
  <c r="CE273" i="26"/>
  <c r="CE272" i="26"/>
  <c r="CE271" i="26"/>
  <c r="CE270" i="26"/>
  <c r="CE269" i="26"/>
  <c r="CE268" i="26"/>
  <c r="CE267" i="26"/>
  <c r="CE266" i="26"/>
  <c r="CE265" i="26"/>
  <c r="CE264" i="26"/>
  <c r="CE263" i="26"/>
  <c r="CE262" i="26"/>
  <c r="CE261" i="26"/>
  <c r="CE260" i="26"/>
  <c r="CE259" i="26"/>
  <c r="CE258" i="26"/>
  <c r="CE257" i="26"/>
  <c r="CE256" i="26"/>
  <c r="CE255" i="26"/>
  <c r="CE254" i="26"/>
  <c r="CE253" i="26"/>
  <c r="CE252" i="26"/>
  <c r="CE251" i="26"/>
  <c r="CE250" i="26"/>
  <c r="CE249" i="26"/>
  <c r="CE248" i="26"/>
  <c r="CE247" i="26"/>
  <c r="CE246" i="26"/>
  <c r="CE245" i="26"/>
  <c r="CE244" i="26"/>
  <c r="CE243" i="26"/>
  <c r="CE242" i="26"/>
  <c r="CE241" i="26"/>
  <c r="CE240" i="26"/>
  <c r="CE239" i="26"/>
  <c r="CE238" i="26"/>
  <c r="CE237" i="26"/>
  <c r="CE236" i="26"/>
  <c r="CE235" i="26"/>
  <c r="CE234" i="26"/>
  <c r="CE233" i="26"/>
  <c r="CE232" i="26"/>
  <c r="CE231" i="26"/>
  <c r="CE230" i="26"/>
  <c r="CE229" i="26"/>
  <c r="CE228" i="26"/>
  <c r="CE227" i="26"/>
  <c r="CE226" i="26"/>
  <c r="CE225" i="26"/>
  <c r="CE224" i="26"/>
  <c r="CE223" i="26"/>
  <c r="CE222" i="26"/>
  <c r="CE220" i="26"/>
  <c r="CE219" i="26"/>
  <c r="CE218" i="26"/>
  <c r="CE217" i="26"/>
  <c r="CE216" i="26"/>
  <c r="CE215" i="26"/>
  <c r="CE214" i="26"/>
  <c r="CE213" i="26"/>
  <c r="CE212" i="26"/>
  <c r="CE211" i="26"/>
  <c r="CE210" i="26"/>
  <c r="CE209" i="26"/>
  <c r="CE208" i="26"/>
  <c r="CE207" i="26"/>
  <c r="CE206" i="26"/>
  <c r="CE205" i="26"/>
  <c r="CE204" i="26"/>
  <c r="CE203" i="26"/>
  <c r="CE202" i="26"/>
  <c r="CE201" i="26"/>
  <c r="CE200" i="26"/>
  <c r="CE199" i="26"/>
  <c r="CE198" i="26"/>
  <c r="CE197" i="26"/>
  <c r="CE196" i="26"/>
  <c r="CE195" i="26"/>
  <c r="CE194" i="26"/>
  <c r="CE193" i="26"/>
  <c r="CE192" i="26"/>
  <c r="CE191" i="26"/>
  <c r="CE190" i="26"/>
  <c r="CE189" i="26"/>
  <c r="CE188" i="26"/>
  <c r="CE187" i="26"/>
  <c r="CE186" i="26"/>
  <c r="CE185" i="26"/>
  <c r="CE184" i="26"/>
  <c r="CE183" i="26"/>
  <c r="CE182" i="26"/>
  <c r="CE181" i="26"/>
  <c r="CE180" i="26"/>
  <c r="CE179" i="26"/>
  <c r="CE178" i="26"/>
  <c r="CE177" i="26"/>
  <c r="CE176" i="26"/>
  <c r="CE175" i="26"/>
  <c r="CE174" i="26"/>
  <c r="CE173" i="26"/>
  <c r="CE172" i="26"/>
  <c r="CE171" i="26"/>
  <c r="CE170" i="26"/>
  <c r="CE169" i="26"/>
  <c r="CE168" i="26"/>
  <c r="CE167" i="26"/>
  <c r="CE166" i="26"/>
  <c r="CE165" i="26"/>
  <c r="CE164" i="26"/>
  <c r="CE163" i="26"/>
  <c r="CE162" i="26"/>
  <c r="CE161" i="26"/>
  <c r="CE160" i="26"/>
  <c r="CE159" i="26"/>
  <c r="CE158" i="26"/>
  <c r="CE157" i="26"/>
  <c r="CE156" i="26"/>
  <c r="CE155" i="26"/>
  <c r="CE154" i="26"/>
  <c r="CE153" i="26"/>
  <c r="CE152" i="26"/>
  <c r="CE151" i="26"/>
  <c r="CE150" i="26"/>
  <c r="CE149" i="26"/>
  <c r="CE148" i="26"/>
  <c r="CE147" i="26"/>
  <c r="CE146" i="26"/>
  <c r="CE145" i="26"/>
  <c r="CE144" i="26"/>
  <c r="CE143" i="26"/>
  <c r="CE142" i="26"/>
  <c r="CE141" i="26"/>
  <c r="CE140" i="26"/>
  <c r="CE139" i="26"/>
  <c r="CE138" i="26"/>
  <c r="CE137" i="26"/>
  <c r="CE136" i="26"/>
  <c r="CE135" i="26"/>
  <c r="CE134" i="26"/>
  <c r="CE133" i="26"/>
  <c r="CE132" i="26"/>
  <c r="CE131" i="26"/>
  <c r="CE130" i="26"/>
  <c r="CE129" i="26"/>
  <c r="CE128" i="26"/>
  <c r="CE127" i="26"/>
  <c r="CE126" i="26"/>
  <c r="CE125" i="26"/>
  <c r="CE124" i="26"/>
  <c r="CE123" i="26"/>
  <c r="CE122" i="26"/>
  <c r="CE121" i="26"/>
  <c r="CE120" i="26"/>
  <c r="CE119" i="26"/>
  <c r="CE118" i="26"/>
  <c r="CE117" i="26"/>
  <c r="CE116" i="26"/>
  <c r="CE115" i="26"/>
  <c r="CE114" i="26"/>
  <c r="CE113" i="26"/>
  <c r="CE112" i="26"/>
  <c r="CE111" i="26"/>
  <c r="CE110" i="26"/>
  <c r="CE109" i="26"/>
  <c r="CE108" i="26"/>
  <c r="CE107" i="26"/>
  <c r="CE106" i="26"/>
  <c r="CE105" i="26"/>
  <c r="CE104" i="26"/>
  <c r="CE103" i="26"/>
  <c r="CE102" i="26"/>
  <c r="CE101" i="26"/>
  <c r="CE100" i="26"/>
  <c r="CE99" i="26"/>
  <c r="CE98" i="26"/>
  <c r="CE97" i="26"/>
  <c r="CE96" i="26"/>
  <c r="CE95" i="26"/>
  <c r="CE94" i="26"/>
  <c r="CE93" i="26"/>
  <c r="CE92" i="26"/>
  <c r="CE91" i="26"/>
  <c r="CE90" i="26"/>
  <c r="CE89" i="26"/>
  <c r="CE88" i="26"/>
  <c r="CE87" i="26"/>
  <c r="CE86" i="26"/>
  <c r="CE85" i="26"/>
  <c r="CE84" i="26"/>
  <c r="CE83" i="26"/>
  <c r="CE82" i="26"/>
  <c r="CE81" i="26"/>
  <c r="CE80" i="26"/>
  <c r="CE79" i="26"/>
  <c r="CE78" i="26"/>
  <c r="CE77" i="26"/>
  <c r="CE76" i="26"/>
  <c r="CE74" i="26"/>
  <c r="CE73" i="26"/>
  <c r="CE72" i="26"/>
  <c r="CE71" i="26"/>
  <c r="CE70" i="26"/>
  <c r="CE69" i="26"/>
  <c r="CE68" i="26"/>
  <c r="CE67" i="26"/>
  <c r="CE66" i="26"/>
  <c r="CE65" i="26"/>
  <c r="CE64" i="26"/>
  <c r="CE63" i="26"/>
  <c r="CE62" i="26"/>
  <c r="CE61" i="26"/>
  <c r="CE60" i="26"/>
  <c r="CE59" i="26"/>
  <c r="CE58" i="26"/>
  <c r="CE57" i="26"/>
  <c r="CE56" i="26"/>
  <c r="CE55" i="26"/>
  <c r="CE54" i="26"/>
  <c r="CE53" i="26"/>
  <c r="CE52" i="26"/>
  <c r="CE51" i="26"/>
  <c r="CE50" i="26"/>
  <c r="CE49" i="26"/>
  <c r="CE48" i="26"/>
  <c r="CE47" i="26"/>
  <c r="CE46" i="26"/>
  <c r="CE45" i="26"/>
  <c r="CE44" i="26"/>
  <c r="CE43" i="26"/>
  <c r="CE42" i="26"/>
  <c r="CE41" i="26"/>
  <c r="CE40" i="26"/>
  <c r="CE38" i="26"/>
  <c r="CE37" i="26"/>
  <c r="CE36" i="26"/>
  <c r="CE35" i="26"/>
  <c r="CE34" i="26"/>
  <c r="CE33" i="26"/>
  <c r="CE32" i="26"/>
  <c r="CE31" i="26"/>
  <c r="CE30" i="26"/>
  <c r="CE29" i="26"/>
  <c r="CE28" i="26"/>
  <c r="CE27" i="26"/>
  <c r="CE26" i="26"/>
  <c r="CE25" i="26"/>
  <c r="CE24" i="26"/>
  <c r="CE23" i="26"/>
  <c r="CE22" i="26"/>
  <c r="CE21" i="26"/>
  <c r="CE20" i="26"/>
  <c r="CE19" i="26"/>
  <c r="CE18" i="26"/>
  <c r="CE17" i="26"/>
  <c r="CE16" i="26"/>
  <c r="CE15" i="26"/>
  <c r="CE14" i="26"/>
  <c r="CE13" i="26"/>
  <c r="CE12" i="26"/>
  <c r="CE11" i="26"/>
  <c r="CE10" i="26"/>
  <c r="CE9" i="26"/>
  <c r="CE8" i="26"/>
  <c r="CE7" i="26"/>
  <c r="CE6" i="26"/>
  <c r="CE5" i="26"/>
  <c r="CE4" i="26"/>
  <c r="CE3" i="26"/>
  <c r="CD558" i="26"/>
  <c r="CD557" i="26"/>
  <c r="CD556" i="26"/>
  <c r="CD555" i="26"/>
  <c r="CD554" i="26"/>
  <c r="CD553" i="26"/>
  <c r="CD552" i="26"/>
  <c r="CD551" i="26"/>
  <c r="CD550" i="26"/>
  <c r="CD549" i="26"/>
  <c r="CD548" i="26"/>
  <c r="CD547" i="26"/>
  <c r="CD546" i="26"/>
  <c r="CD545" i="26"/>
  <c r="CD544" i="26"/>
  <c r="CD543" i="26"/>
  <c r="CD542" i="26"/>
  <c r="CD541" i="26"/>
  <c r="CD540" i="26"/>
  <c r="CD539" i="26"/>
  <c r="CD538" i="26"/>
  <c r="CD537" i="26"/>
  <c r="CD536" i="26"/>
  <c r="CD535" i="26"/>
  <c r="CD534" i="26"/>
  <c r="CD533" i="26"/>
  <c r="CD532" i="26"/>
  <c r="CD531" i="26"/>
  <c r="CD530" i="26"/>
  <c r="CD529" i="26"/>
  <c r="CD528" i="26"/>
  <c r="CD527" i="26"/>
  <c r="CD526" i="26"/>
  <c r="CD525" i="26"/>
  <c r="CD524" i="26"/>
  <c r="CD523" i="26"/>
  <c r="CD522" i="26"/>
  <c r="CD521" i="26"/>
  <c r="CD520" i="26"/>
  <c r="CD519" i="26"/>
  <c r="CD518" i="26"/>
  <c r="CD517" i="26"/>
  <c r="CD516" i="26"/>
  <c r="CD515" i="26"/>
  <c r="CD514" i="26"/>
  <c r="CD513" i="26"/>
  <c r="CD512" i="26"/>
  <c r="CD511" i="26"/>
  <c r="CD510" i="26"/>
  <c r="CD509" i="26"/>
  <c r="CD508" i="26"/>
  <c r="CD507" i="26"/>
  <c r="CD506" i="26"/>
  <c r="CD505" i="26"/>
  <c r="CD504" i="26"/>
  <c r="CD503" i="26"/>
  <c r="CD502" i="26"/>
  <c r="CD501" i="26"/>
  <c r="CD500" i="26"/>
  <c r="CD499" i="26"/>
  <c r="CD498" i="26"/>
  <c r="CD497" i="26"/>
  <c r="CD496" i="26"/>
  <c r="CD495" i="26"/>
  <c r="CD494" i="26"/>
  <c r="CD493" i="26"/>
  <c r="CD492" i="26"/>
  <c r="CD491" i="26"/>
  <c r="CD490" i="26"/>
  <c r="CD489" i="26"/>
  <c r="CD488" i="26"/>
  <c r="CD487" i="26"/>
  <c r="CD486" i="26"/>
  <c r="CD485" i="26"/>
  <c r="CD484" i="26"/>
  <c r="CD483" i="26"/>
  <c r="CD482" i="26"/>
  <c r="CD481" i="26"/>
  <c r="CD480" i="26"/>
  <c r="CD479" i="26"/>
  <c r="CD478" i="26"/>
  <c r="CD477" i="26"/>
  <c r="CD476" i="26"/>
  <c r="CD475" i="26"/>
  <c r="CD474" i="26"/>
  <c r="CD473" i="26"/>
  <c r="CD472" i="26"/>
  <c r="CD471" i="26"/>
  <c r="CD470" i="26"/>
  <c r="CD469" i="26"/>
  <c r="CD468" i="26"/>
  <c r="CD467" i="26"/>
  <c r="CD466" i="26"/>
  <c r="CD465" i="26"/>
  <c r="CD464" i="26"/>
  <c r="CD463" i="26"/>
  <c r="CD462" i="26"/>
  <c r="CD461" i="26"/>
  <c r="CD460" i="26"/>
  <c r="CD459" i="26"/>
  <c r="CD458" i="26"/>
  <c r="CD457" i="26"/>
  <c r="CD456" i="26"/>
  <c r="CD455" i="26"/>
  <c r="CD454" i="26"/>
  <c r="CD453" i="26"/>
  <c r="CD452" i="26"/>
  <c r="CD451" i="26"/>
  <c r="CD450" i="26"/>
  <c r="CD449" i="26"/>
  <c r="CD448" i="26"/>
  <c r="CD447" i="26"/>
  <c r="CD446" i="26"/>
  <c r="CD445" i="26"/>
  <c r="CD444" i="26"/>
  <c r="CD443" i="26"/>
  <c r="CD442" i="26"/>
  <c r="CD441" i="26"/>
  <c r="CD440" i="26"/>
  <c r="CD439" i="26"/>
  <c r="CD438" i="26"/>
  <c r="CD437" i="26"/>
  <c r="CD436" i="26"/>
  <c r="CD435" i="26"/>
  <c r="CD434" i="26"/>
  <c r="CD433" i="26"/>
  <c r="CD432" i="26"/>
  <c r="CD431" i="26"/>
  <c r="CD430" i="26"/>
  <c r="CD429" i="26"/>
  <c r="CD428" i="26"/>
  <c r="CD427" i="26"/>
  <c r="CD426" i="26"/>
  <c r="CD425" i="26"/>
  <c r="CD424" i="26"/>
  <c r="CD423" i="26"/>
  <c r="CD422" i="26"/>
  <c r="CD421" i="26"/>
  <c r="CD420" i="26"/>
  <c r="CD419" i="26"/>
  <c r="CD418" i="26"/>
  <c r="CD417" i="26"/>
  <c r="CD416" i="26"/>
  <c r="CD415" i="26"/>
  <c r="CD414" i="26"/>
  <c r="CD413" i="26"/>
  <c r="CD412" i="26"/>
  <c r="CD411" i="26"/>
  <c r="CD410" i="26"/>
  <c r="CD409" i="26"/>
  <c r="CD408" i="26"/>
  <c r="CD407" i="26"/>
  <c r="CD406" i="26"/>
  <c r="CD405" i="26"/>
  <c r="CD404" i="26"/>
  <c r="CD403" i="26"/>
  <c r="CD402" i="26"/>
  <c r="CD401" i="26"/>
  <c r="CD400" i="26"/>
  <c r="CD399" i="26"/>
  <c r="CD398" i="26"/>
  <c r="CD397" i="26"/>
  <c r="CD396" i="26"/>
  <c r="CD395" i="26"/>
  <c r="CD394" i="26"/>
  <c r="CD393" i="26"/>
  <c r="CD392" i="26"/>
  <c r="CD391" i="26"/>
  <c r="CD390" i="26"/>
  <c r="CD389" i="26"/>
  <c r="CD388" i="26"/>
  <c r="CD387" i="26"/>
  <c r="CD386" i="26"/>
  <c r="CD385" i="26"/>
  <c r="CD384" i="26"/>
  <c r="CD383" i="26"/>
  <c r="CD382" i="26"/>
  <c r="CD381" i="26"/>
  <c r="CD380" i="26"/>
  <c r="CD379" i="26"/>
  <c r="CD378" i="26"/>
  <c r="CD377" i="26"/>
  <c r="CD376" i="26"/>
  <c r="CD375" i="26"/>
  <c r="CD374" i="26"/>
  <c r="CD373" i="26"/>
  <c r="CD372" i="26"/>
  <c r="CD371" i="26"/>
  <c r="CD370" i="26"/>
  <c r="CD369" i="26"/>
  <c r="CD368" i="26"/>
  <c r="CD367" i="26"/>
  <c r="CD366" i="26"/>
  <c r="CD365" i="26"/>
  <c r="CD364" i="26"/>
  <c r="CD363" i="26"/>
  <c r="CD362" i="26"/>
  <c r="CD361" i="26"/>
  <c r="CD360" i="26"/>
  <c r="CD359" i="26"/>
  <c r="CD358" i="26"/>
  <c r="CD357" i="26"/>
  <c r="CD356" i="26"/>
  <c r="CD355" i="26"/>
  <c r="CD354" i="26"/>
  <c r="CD353" i="26"/>
  <c r="CD352" i="26"/>
  <c r="CD351" i="26"/>
  <c r="CD350" i="26"/>
  <c r="CD349" i="26"/>
  <c r="CD348" i="26"/>
  <c r="CD347" i="26"/>
  <c r="CD346" i="26"/>
  <c r="CD345" i="26"/>
  <c r="CD344" i="26"/>
  <c r="CD343" i="26"/>
  <c r="CD342" i="26"/>
  <c r="CD341" i="26"/>
  <c r="CD340" i="26"/>
  <c r="CD339" i="26"/>
  <c r="CD338" i="26"/>
  <c r="CD337" i="26"/>
  <c r="CD336" i="26"/>
  <c r="CD335" i="26"/>
  <c r="CD334" i="26"/>
  <c r="CD333" i="26"/>
  <c r="CD332" i="26"/>
  <c r="CD331" i="26"/>
  <c r="CD330" i="26"/>
  <c r="CD329" i="26"/>
  <c r="CD328" i="26"/>
  <c r="CD327" i="26"/>
  <c r="CD326" i="26"/>
  <c r="CD325" i="26"/>
  <c r="CD324" i="26"/>
  <c r="CD323" i="26"/>
  <c r="CD322" i="26"/>
  <c r="CD321" i="26"/>
  <c r="CD320" i="26"/>
  <c r="CD319" i="26"/>
  <c r="CD318" i="26"/>
  <c r="CD317" i="26"/>
  <c r="CD316" i="26"/>
  <c r="CD315" i="26"/>
  <c r="CD314" i="26"/>
  <c r="CD313" i="26"/>
  <c r="CD312" i="26"/>
  <c r="CD311" i="26"/>
  <c r="CD310" i="26"/>
  <c r="CD309" i="26"/>
  <c r="CD308" i="26"/>
  <c r="CD307" i="26"/>
  <c r="CD306" i="26"/>
  <c r="CD305" i="26"/>
  <c r="CD304" i="26"/>
  <c r="CD303" i="26"/>
  <c r="CD302" i="26"/>
  <c r="CD301" i="26"/>
  <c r="CD300" i="26"/>
  <c r="CD299" i="26"/>
  <c r="CD298" i="26"/>
  <c r="CD297" i="26"/>
  <c r="CD296" i="26"/>
  <c r="CD295" i="26"/>
  <c r="CD294" i="26"/>
  <c r="CD293" i="26"/>
  <c r="CD292" i="26"/>
  <c r="CD291" i="26"/>
  <c r="CD290" i="26"/>
  <c r="CD289" i="26"/>
  <c r="CD288" i="26"/>
  <c r="CD287" i="26"/>
  <c r="CD286" i="26"/>
  <c r="CD285" i="26"/>
  <c r="CD284" i="26"/>
  <c r="CD283" i="26"/>
  <c r="CD282" i="26"/>
  <c r="CD281" i="26"/>
  <c r="CD280" i="26"/>
  <c r="CD279" i="26"/>
  <c r="CD278" i="26"/>
  <c r="CD277" i="26"/>
  <c r="CD276" i="26"/>
  <c r="CD275" i="26"/>
  <c r="CD274" i="26"/>
  <c r="CD273" i="26"/>
  <c r="CD272" i="26"/>
  <c r="CD271" i="26"/>
  <c r="CD270" i="26"/>
  <c r="CD269" i="26"/>
  <c r="CD268" i="26"/>
  <c r="CD267" i="26"/>
  <c r="CD266" i="26"/>
  <c r="CD265" i="26"/>
  <c r="CD264" i="26"/>
  <c r="CD263" i="26"/>
  <c r="CD262" i="26"/>
  <c r="CD261" i="26"/>
  <c r="CD260" i="26"/>
  <c r="CD259" i="26"/>
  <c r="CD258" i="26"/>
  <c r="CD257" i="26"/>
  <c r="CD256" i="26"/>
  <c r="CD255" i="26"/>
  <c r="CD254" i="26"/>
  <c r="CD253" i="26"/>
  <c r="CD252" i="26"/>
  <c r="CD251" i="26"/>
  <c r="CD250" i="26"/>
  <c r="CD249" i="26"/>
  <c r="CD248" i="26"/>
  <c r="CD247" i="26"/>
  <c r="CD246" i="26"/>
  <c r="CD245" i="26"/>
  <c r="CD244" i="26"/>
  <c r="CD243" i="26"/>
  <c r="CD242" i="26"/>
  <c r="CD241" i="26"/>
  <c r="CD240" i="26"/>
  <c r="CD239" i="26"/>
  <c r="CD238" i="26"/>
  <c r="CD237" i="26"/>
  <c r="CD236" i="26"/>
  <c r="CD235" i="26"/>
  <c r="CD234" i="26"/>
  <c r="CD233" i="26"/>
  <c r="CD232" i="26"/>
  <c r="CD231" i="26"/>
  <c r="CD230" i="26"/>
  <c r="CD229" i="26"/>
  <c r="CD228" i="26"/>
  <c r="CD227" i="26"/>
  <c r="CD226" i="26"/>
  <c r="CD225" i="26"/>
  <c r="CD224" i="26"/>
  <c r="CD223" i="26"/>
  <c r="CD222" i="26"/>
  <c r="CD221" i="26"/>
  <c r="CD220" i="26"/>
  <c r="CD219" i="26"/>
  <c r="CD218" i="26"/>
  <c r="CD217" i="26"/>
  <c r="CD216" i="26"/>
  <c r="CD215" i="26"/>
  <c r="CD214" i="26"/>
  <c r="CD213" i="26"/>
  <c r="CD212" i="26"/>
  <c r="CD211" i="26"/>
  <c r="CD210" i="26"/>
  <c r="CD209" i="26"/>
  <c r="CD208" i="26"/>
  <c r="CD207" i="26"/>
  <c r="CD206" i="26"/>
  <c r="CD205" i="26"/>
  <c r="CD204" i="26"/>
  <c r="CD203" i="26"/>
  <c r="CD202" i="26"/>
  <c r="CD201" i="26"/>
  <c r="CD200" i="26"/>
  <c r="CD199" i="26"/>
  <c r="CD198" i="26"/>
  <c r="CD197" i="26"/>
  <c r="CD196" i="26"/>
  <c r="CD195" i="26"/>
  <c r="CD194" i="26"/>
  <c r="CD193" i="26"/>
  <c r="CD192" i="26"/>
  <c r="CD191" i="26"/>
  <c r="CD190" i="26"/>
  <c r="CD189" i="26"/>
  <c r="CD188" i="26"/>
  <c r="CD187" i="26"/>
  <c r="CD186" i="26"/>
  <c r="CD185" i="26"/>
  <c r="CD184" i="26"/>
  <c r="CD183" i="26"/>
  <c r="CD182" i="26"/>
  <c r="CD181" i="26"/>
  <c r="CD180" i="26"/>
  <c r="CD179" i="26"/>
  <c r="CD178" i="26"/>
  <c r="CD177" i="26"/>
  <c r="CD176" i="26"/>
  <c r="CD175" i="26"/>
  <c r="CD174" i="26"/>
  <c r="CD173" i="26"/>
  <c r="CD172" i="26"/>
  <c r="CD171" i="26"/>
  <c r="CD170" i="26"/>
  <c r="CD169" i="26"/>
  <c r="CD168" i="26"/>
  <c r="CD167" i="26"/>
  <c r="CD166" i="26"/>
  <c r="CD165" i="26"/>
  <c r="CD164" i="26"/>
  <c r="CD163" i="26"/>
  <c r="CD162" i="26"/>
  <c r="CD161" i="26"/>
  <c r="CD160" i="26"/>
  <c r="CD159" i="26"/>
  <c r="CD158" i="26"/>
  <c r="CD157" i="26"/>
  <c r="CD156" i="26"/>
  <c r="CD155" i="26"/>
  <c r="CD154" i="26"/>
  <c r="CD153" i="26"/>
  <c r="CD152" i="26"/>
  <c r="CD151" i="26"/>
  <c r="CD150" i="26"/>
  <c r="CD149" i="26"/>
  <c r="CD148" i="26"/>
  <c r="CD147" i="26"/>
  <c r="CD146" i="26"/>
  <c r="CD145" i="26"/>
  <c r="CD144" i="26"/>
  <c r="CD143" i="26"/>
  <c r="CD142" i="26"/>
  <c r="CD141" i="26"/>
  <c r="CD140" i="26"/>
  <c r="CD139" i="26"/>
  <c r="CD138" i="26"/>
  <c r="CD137" i="26"/>
  <c r="CD136" i="26"/>
  <c r="CD135" i="26"/>
  <c r="CD134" i="26"/>
  <c r="CD133" i="26"/>
  <c r="CD132" i="26"/>
  <c r="CD131" i="26"/>
  <c r="CD130" i="26"/>
  <c r="CD129" i="26"/>
  <c r="CD128" i="26"/>
  <c r="CD127" i="26"/>
  <c r="CD126" i="26"/>
  <c r="CD125" i="26"/>
  <c r="CD124" i="26"/>
  <c r="CD123" i="26"/>
  <c r="CD122" i="26"/>
  <c r="CD121" i="26"/>
  <c r="CD120" i="26"/>
  <c r="CD119" i="26"/>
  <c r="CD118" i="26"/>
  <c r="CD117" i="26"/>
  <c r="CD116" i="26"/>
  <c r="CD115" i="26"/>
  <c r="CD114" i="26"/>
  <c r="CD113" i="26"/>
  <c r="CD112" i="26"/>
  <c r="CD111" i="26"/>
  <c r="CD110" i="26"/>
  <c r="CD109" i="26"/>
  <c r="CD108" i="26"/>
  <c r="CD107" i="26"/>
  <c r="CD106" i="26"/>
  <c r="CD105" i="26"/>
  <c r="CD104" i="26"/>
  <c r="CD103" i="26"/>
  <c r="CD102" i="26"/>
  <c r="CD101" i="26"/>
  <c r="CD100" i="26"/>
  <c r="CD99" i="26"/>
  <c r="CD98" i="26"/>
  <c r="CD97" i="26"/>
  <c r="CD96" i="26"/>
  <c r="CD95" i="26"/>
  <c r="CD94" i="26"/>
  <c r="CD93" i="26"/>
  <c r="CD92" i="26"/>
  <c r="CD91" i="26"/>
  <c r="CD90" i="26"/>
  <c r="CD89" i="26"/>
  <c r="CD88" i="26"/>
  <c r="CD87" i="26"/>
  <c r="CD86" i="26"/>
  <c r="CD85" i="26"/>
  <c r="CD84" i="26"/>
  <c r="CD83" i="26"/>
  <c r="CD82" i="26"/>
  <c r="CD81" i="26"/>
  <c r="CD80" i="26"/>
  <c r="CD79" i="26"/>
  <c r="CD78" i="26"/>
  <c r="CD77" i="26"/>
  <c r="CD76" i="26"/>
  <c r="CD75" i="26"/>
  <c r="CD74" i="26"/>
  <c r="CD73" i="26"/>
  <c r="CD72" i="26"/>
  <c r="CD71" i="26"/>
  <c r="CD70" i="26"/>
  <c r="CD69" i="26"/>
  <c r="CD68" i="26"/>
  <c r="CD67" i="26"/>
  <c r="CD66" i="26"/>
  <c r="CD65" i="26"/>
  <c r="CD64" i="26"/>
  <c r="CD63" i="26"/>
  <c r="CD62" i="26"/>
  <c r="CD61" i="26"/>
  <c r="CD60" i="26"/>
  <c r="CD59" i="26"/>
  <c r="CD58" i="26"/>
  <c r="CD57" i="26"/>
  <c r="CD56" i="26"/>
  <c r="CD55" i="26"/>
  <c r="CD54" i="26"/>
  <c r="CD53" i="26"/>
  <c r="CD52" i="26"/>
  <c r="CD51" i="26"/>
  <c r="CD50" i="26"/>
  <c r="CD49" i="26"/>
  <c r="CD48" i="26"/>
  <c r="CD47" i="26"/>
  <c r="CD46" i="26"/>
  <c r="CD45" i="26"/>
  <c r="CD44" i="26"/>
  <c r="CD43" i="26"/>
  <c r="CD42" i="26"/>
  <c r="CD41" i="26"/>
  <c r="CD40" i="26"/>
  <c r="CD39" i="26"/>
  <c r="CD38" i="26"/>
  <c r="CD37" i="26"/>
  <c r="CD36" i="26"/>
  <c r="CD35" i="26"/>
  <c r="CD34" i="26"/>
  <c r="CD33" i="26"/>
  <c r="CD32" i="26"/>
  <c r="CD31" i="26"/>
  <c r="CD30" i="26"/>
  <c r="CD29" i="26"/>
  <c r="CD28" i="26"/>
  <c r="CD27" i="26"/>
  <c r="CD26" i="26"/>
  <c r="CD25" i="26"/>
  <c r="CD24" i="26"/>
  <c r="CD23" i="26"/>
  <c r="CD22" i="26"/>
  <c r="CD21" i="26"/>
  <c r="CD20" i="26"/>
  <c r="CD19" i="26"/>
  <c r="CD18" i="26"/>
  <c r="CD17" i="26"/>
  <c r="CD16" i="26"/>
  <c r="CD15" i="26"/>
  <c r="CD14" i="26"/>
  <c r="CD13" i="26"/>
  <c r="CD12" i="26"/>
  <c r="CD11" i="26"/>
  <c r="CD10" i="26"/>
  <c r="CD9" i="26"/>
  <c r="CD8" i="26"/>
  <c r="CD7" i="26"/>
  <c r="CD6" i="26"/>
  <c r="CD5" i="26"/>
  <c r="CD4" i="26"/>
  <c r="CD3" i="26"/>
  <c r="BX558" i="26"/>
  <c r="BX557" i="26"/>
  <c r="BX556" i="26"/>
  <c r="BX555" i="26"/>
  <c r="BX554" i="26"/>
  <c r="BX553" i="26"/>
  <c r="BX552" i="26"/>
  <c r="BX551" i="26"/>
  <c r="BX550" i="26"/>
  <c r="BX549" i="26"/>
  <c r="BX548" i="26"/>
  <c r="BX547" i="26"/>
  <c r="BX546" i="26"/>
  <c r="BX545" i="26"/>
  <c r="BX544" i="26"/>
  <c r="BX543" i="26"/>
  <c r="BX542" i="26"/>
  <c r="BX541" i="26"/>
  <c r="BX540" i="26"/>
  <c r="BX539" i="26"/>
  <c r="BX538" i="26"/>
  <c r="BX537" i="26"/>
  <c r="BX536" i="26"/>
  <c r="BX535" i="26"/>
  <c r="BX534" i="26"/>
  <c r="BX533" i="26"/>
  <c r="BX532" i="26"/>
  <c r="BX531" i="26"/>
  <c r="BX530" i="26"/>
  <c r="BX529" i="26"/>
  <c r="BX528" i="26"/>
  <c r="BX527" i="26"/>
  <c r="BX526" i="26"/>
  <c r="BX525" i="26"/>
  <c r="BX524" i="26"/>
  <c r="BX523" i="26"/>
  <c r="BX522" i="26"/>
  <c r="BX521" i="26"/>
  <c r="BX520" i="26"/>
  <c r="BX519" i="26"/>
  <c r="BX518" i="26"/>
  <c r="BX517" i="26"/>
  <c r="BX516" i="26"/>
  <c r="BX515" i="26"/>
  <c r="BX514" i="26"/>
  <c r="BX513" i="26"/>
  <c r="BX512" i="26"/>
  <c r="BX511" i="26"/>
  <c r="BX510" i="26"/>
  <c r="BX509" i="26"/>
  <c r="BX508" i="26"/>
  <c r="BX507" i="26"/>
  <c r="BX506" i="26"/>
  <c r="BX505" i="26"/>
  <c r="BX504" i="26"/>
  <c r="BX503" i="26"/>
  <c r="BX502" i="26"/>
  <c r="BX501" i="26"/>
  <c r="BX500" i="26"/>
  <c r="BX499" i="26"/>
  <c r="BX498" i="26"/>
  <c r="BX497" i="26"/>
  <c r="BX496" i="26"/>
  <c r="BX495" i="26"/>
  <c r="BX494" i="26"/>
  <c r="BX493" i="26"/>
  <c r="BX492" i="26"/>
  <c r="BX491" i="26"/>
  <c r="BX490" i="26"/>
  <c r="BX489" i="26"/>
  <c r="BX488" i="26"/>
  <c r="BX487" i="26"/>
  <c r="BX486" i="26"/>
  <c r="BX485" i="26"/>
  <c r="BX484" i="26"/>
  <c r="BX483" i="26"/>
  <c r="BX482" i="26"/>
  <c r="BX481" i="26"/>
  <c r="BX480" i="26"/>
  <c r="BX479" i="26"/>
  <c r="BX478" i="26"/>
  <c r="BX477" i="26"/>
  <c r="BX476" i="26"/>
  <c r="BX475" i="26"/>
  <c r="BX474" i="26"/>
  <c r="BX473" i="26"/>
  <c r="BX472" i="26"/>
  <c r="BX471" i="26"/>
  <c r="BX470" i="26"/>
  <c r="BX469" i="26"/>
  <c r="BX468" i="26"/>
  <c r="BX467" i="26"/>
  <c r="BX466" i="26"/>
  <c r="BX465" i="26"/>
  <c r="BX464" i="26"/>
  <c r="BX463" i="26"/>
  <c r="BX462" i="26"/>
  <c r="BX461" i="26"/>
  <c r="BX460" i="26"/>
  <c r="BX459" i="26"/>
  <c r="BX458" i="26"/>
  <c r="BX457" i="26"/>
  <c r="BX456" i="26"/>
  <c r="BX455" i="26"/>
  <c r="BX454" i="26"/>
  <c r="BX453" i="26"/>
  <c r="BX452" i="26"/>
  <c r="BX451" i="26"/>
  <c r="BX450" i="26"/>
  <c r="BX449" i="26"/>
  <c r="BX448" i="26"/>
  <c r="BX447" i="26"/>
  <c r="BX446" i="26"/>
  <c r="BX445" i="26"/>
  <c r="BX444" i="26"/>
  <c r="BX443" i="26"/>
  <c r="BX442" i="26"/>
  <c r="BX441" i="26"/>
  <c r="BX440" i="26"/>
  <c r="BX439" i="26"/>
  <c r="BX438" i="26"/>
  <c r="BX437" i="26"/>
  <c r="BX436" i="26"/>
  <c r="BX435" i="26"/>
  <c r="BX434" i="26"/>
  <c r="BX433" i="26"/>
  <c r="BX432" i="26"/>
  <c r="BX431" i="26"/>
  <c r="BX430" i="26"/>
  <c r="BX429" i="26"/>
  <c r="BX428" i="26"/>
  <c r="BX427" i="26"/>
  <c r="BX426" i="26"/>
  <c r="BX425" i="26"/>
  <c r="BX424" i="26"/>
  <c r="BX423" i="26"/>
  <c r="BX422" i="26"/>
  <c r="BX421" i="26"/>
  <c r="BX420" i="26"/>
  <c r="BX419" i="26"/>
  <c r="BX418" i="26"/>
  <c r="BX417" i="26"/>
  <c r="BX416" i="26"/>
  <c r="BX415" i="26"/>
  <c r="BX414" i="26"/>
  <c r="BX413" i="26"/>
  <c r="BX412" i="26"/>
  <c r="BX411" i="26"/>
  <c r="BX410" i="26"/>
  <c r="BX409" i="26"/>
  <c r="BX408" i="26"/>
  <c r="BX407" i="26"/>
  <c r="BX406" i="26"/>
  <c r="BX405" i="26"/>
  <c r="BX404" i="26"/>
  <c r="BX403" i="26"/>
  <c r="BX402" i="26"/>
  <c r="BX401" i="26"/>
  <c r="BX400" i="26"/>
  <c r="BX399" i="26"/>
  <c r="BX398" i="26"/>
  <c r="BX397" i="26"/>
  <c r="BX396" i="26"/>
  <c r="BX395" i="26"/>
  <c r="BX394" i="26"/>
  <c r="BX393" i="26"/>
  <c r="BX392" i="26"/>
  <c r="BX391" i="26"/>
  <c r="BX390" i="26"/>
  <c r="BX389" i="26"/>
  <c r="BX388" i="26"/>
  <c r="BX387" i="26"/>
  <c r="BX386" i="26"/>
  <c r="BX385" i="26"/>
  <c r="BX384" i="26"/>
  <c r="BX383" i="26"/>
  <c r="BX382" i="26"/>
  <c r="BX381" i="26"/>
  <c r="BX380" i="26"/>
  <c r="BX379" i="26"/>
  <c r="BX378" i="26"/>
  <c r="BX377" i="26"/>
  <c r="BX376" i="26"/>
  <c r="BX375" i="26"/>
  <c r="BX374" i="26"/>
  <c r="BX373" i="26"/>
  <c r="BX372" i="26"/>
  <c r="BX371" i="26"/>
  <c r="BX370" i="26"/>
  <c r="BX369" i="26"/>
  <c r="BX368" i="26"/>
  <c r="BX367" i="26"/>
  <c r="BX366" i="26"/>
  <c r="BX365" i="26"/>
  <c r="BX364" i="26"/>
  <c r="BX363" i="26"/>
  <c r="BX362" i="26"/>
  <c r="BX361" i="26"/>
  <c r="BX360" i="26"/>
  <c r="BX359" i="26"/>
  <c r="BX358" i="26"/>
  <c r="BX357" i="26"/>
  <c r="BX356" i="26"/>
  <c r="BX355" i="26"/>
  <c r="BX354" i="26"/>
  <c r="BX353" i="26"/>
  <c r="BX352" i="26"/>
  <c r="BX351" i="26"/>
  <c r="BX350" i="26"/>
  <c r="BX349" i="26"/>
  <c r="BX348" i="26"/>
  <c r="BX347" i="26"/>
  <c r="BX346" i="26"/>
  <c r="BX345" i="26"/>
  <c r="BX344" i="26"/>
  <c r="BX343" i="26"/>
  <c r="BX342" i="26"/>
  <c r="BX341" i="26"/>
  <c r="BX340" i="26"/>
  <c r="BX339" i="26"/>
  <c r="BX338" i="26"/>
  <c r="BX337" i="26"/>
  <c r="BX336" i="26"/>
  <c r="BX335" i="26"/>
  <c r="BX334" i="26"/>
  <c r="BX333" i="26"/>
  <c r="BX332" i="26"/>
  <c r="BX331" i="26"/>
  <c r="BX330" i="26"/>
  <c r="BX329" i="26"/>
  <c r="BX328" i="26"/>
  <c r="BX327" i="26"/>
  <c r="BX326" i="26"/>
  <c r="BX325" i="26"/>
  <c r="BX324" i="26"/>
  <c r="BX323" i="26"/>
  <c r="BX322" i="26"/>
  <c r="BX321" i="26"/>
  <c r="BX320" i="26"/>
  <c r="BX319" i="26"/>
  <c r="BX318" i="26"/>
  <c r="BX317" i="26"/>
  <c r="BX316" i="26"/>
  <c r="BX315" i="26"/>
  <c r="BX314" i="26"/>
  <c r="BX313" i="26"/>
  <c r="BX312" i="26"/>
  <c r="BX311" i="26"/>
  <c r="BX310" i="26"/>
  <c r="BX309" i="26"/>
  <c r="BX308" i="26"/>
  <c r="BX307" i="26"/>
  <c r="BX306" i="26"/>
  <c r="BX305" i="26"/>
  <c r="BX304" i="26"/>
  <c r="BX303" i="26"/>
  <c r="BX302" i="26"/>
  <c r="BX301" i="26"/>
  <c r="BX300" i="26"/>
  <c r="BX299" i="26"/>
  <c r="BX298" i="26"/>
  <c r="BX297" i="26"/>
  <c r="BX296" i="26"/>
  <c r="BX295" i="26"/>
  <c r="BX294" i="26"/>
  <c r="BX293" i="26"/>
  <c r="BX292" i="26"/>
  <c r="BX291" i="26"/>
  <c r="BX290" i="26"/>
  <c r="BX289" i="26"/>
  <c r="BX288" i="26"/>
  <c r="BX287" i="26"/>
  <c r="BX286" i="26"/>
  <c r="BX285" i="26"/>
  <c r="BX284" i="26"/>
  <c r="BX283" i="26"/>
  <c r="BX282" i="26"/>
  <c r="BX281" i="26"/>
  <c r="BX280" i="26"/>
  <c r="BX279" i="26"/>
  <c r="BX278" i="26"/>
  <c r="BX277" i="26"/>
  <c r="BX276" i="26"/>
  <c r="BX275" i="26"/>
  <c r="BX274" i="26"/>
  <c r="BX273" i="26"/>
  <c r="BX272" i="26"/>
  <c r="BX271" i="26"/>
  <c r="BX270" i="26"/>
  <c r="BX269" i="26"/>
  <c r="BX268" i="26"/>
  <c r="BX267" i="26"/>
  <c r="BX266" i="26"/>
  <c r="BX265" i="26"/>
  <c r="BX264" i="26"/>
  <c r="BX263" i="26"/>
  <c r="BX262" i="26"/>
  <c r="BX261" i="26"/>
  <c r="BX260" i="26"/>
  <c r="BX259" i="26"/>
  <c r="BX258" i="26"/>
  <c r="BX257" i="26"/>
  <c r="BX256" i="26"/>
  <c r="BX255" i="26"/>
  <c r="BX254" i="26"/>
  <c r="BX253" i="26"/>
  <c r="BX252" i="26"/>
  <c r="BX251" i="26"/>
  <c r="BX250" i="26"/>
  <c r="BX249" i="26"/>
  <c r="BX248" i="26"/>
  <c r="BX247" i="26"/>
  <c r="BX246" i="26"/>
  <c r="BX245" i="26"/>
  <c r="BX244" i="26"/>
  <c r="BX243" i="26"/>
  <c r="BX242" i="26"/>
  <c r="BX241" i="26"/>
  <c r="BX240" i="26"/>
  <c r="BX239" i="26"/>
  <c r="BX238" i="26"/>
  <c r="BX237" i="26"/>
  <c r="BX236" i="26"/>
  <c r="BX235" i="26"/>
  <c r="BX234" i="26"/>
  <c r="BX233" i="26"/>
  <c r="BX232" i="26"/>
  <c r="BX231" i="26"/>
  <c r="BX230" i="26"/>
  <c r="BX229" i="26"/>
  <c r="BX228" i="26"/>
  <c r="BX227" i="26"/>
  <c r="BX226" i="26"/>
  <c r="BX225" i="26"/>
  <c r="BX224" i="26"/>
  <c r="BX223" i="26"/>
  <c r="BX222" i="26"/>
  <c r="BX221" i="26"/>
  <c r="BX220" i="26"/>
  <c r="BX219" i="26"/>
  <c r="BX218" i="26"/>
  <c r="BX217" i="26"/>
  <c r="BX216" i="26"/>
  <c r="BX215" i="26"/>
  <c r="BX214" i="26"/>
  <c r="BX213" i="26"/>
  <c r="BX212" i="26"/>
  <c r="BX211" i="26"/>
  <c r="BX210" i="26"/>
  <c r="BX209" i="26"/>
  <c r="BX208" i="26"/>
  <c r="BX207" i="26"/>
  <c r="BX206" i="26"/>
  <c r="BX205" i="26"/>
  <c r="BX204" i="26"/>
  <c r="BX203" i="26"/>
  <c r="BX202" i="26"/>
  <c r="BX201" i="26"/>
  <c r="BX200" i="26"/>
  <c r="BX199" i="26"/>
  <c r="BX198" i="26"/>
  <c r="BX197" i="26"/>
  <c r="BX196" i="26"/>
  <c r="BX195" i="26"/>
  <c r="BX194" i="26"/>
  <c r="BX193" i="26"/>
  <c r="BX192" i="26"/>
  <c r="BX191" i="26"/>
  <c r="BX190" i="26"/>
  <c r="BX189" i="26"/>
  <c r="BX188" i="26"/>
  <c r="BX187" i="26"/>
  <c r="BX186" i="26"/>
  <c r="BX185" i="26"/>
  <c r="BX184" i="26"/>
  <c r="BX183" i="26"/>
  <c r="BX182" i="26"/>
  <c r="BX181" i="26"/>
  <c r="BX180" i="26"/>
  <c r="BX179" i="26"/>
  <c r="BX178" i="26"/>
  <c r="BX177" i="26"/>
  <c r="BX176" i="26"/>
  <c r="BX175" i="26"/>
  <c r="BX174" i="26"/>
  <c r="BX173" i="26"/>
  <c r="BX172" i="26"/>
  <c r="BX171" i="26"/>
  <c r="BX170" i="26"/>
  <c r="BX169" i="26"/>
  <c r="BX168" i="26"/>
  <c r="BX167" i="26"/>
  <c r="BX166" i="26"/>
  <c r="BX165" i="26"/>
  <c r="BX164" i="26"/>
  <c r="BX163" i="26"/>
  <c r="BX162" i="26"/>
  <c r="BX161" i="26"/>
  <c r="BX160" i="26"/>
  <c r="BX159" i="26"/>
  <c r="BX158" i="26"/>
  <c r="BX157" i="26"/>
  <c r="BX156" i="26"/>
  <c r="BX155" i="26"/>
  <c r="BX154" i="26"/>
  <c r="BX153" i="26"/>
  <c r="BX152" i="26"/>
  <c r="BX151" i="26"/>
  <c r="BX150" i="26"/>
  <c r="BX149" i="26"/>
  <c r="BX148" i="26"/>
  <c r="BX147" i="26"/>
  <c r="BX146" i="26"/>
  <c r="BX145" i="26"/>
  <c r="BX144" i="26"/>
  <c r="BX143" i="26"/>
  <c r="BX142" i="26"/>
  <c r="BX141" i="26"/>
  <c r="BX140" i="26"/>
  <c r="BX139" i="26"/>
  <c r="BX138" i="26"/>
  <c r="BX137" i="26"/>
  <c r="BX136" i="26"/>
  <c r="BX135" i="26"/>
  <c r="BX134" i="26"/>
  <c r="BX133" i="26"/>
  <c r="BX132" i="26"/>
  <c r="BX131" i="26"/>
  <c r="BX130" i="26"/>
  <c r="BX129" i="26"/>
  <c r="BX128" i="26"/>
  <c r="BX127" i="26"/>
  <c r="BX126" i="26"/>
  <c r="BX125" i="26"/>
  <c r="BX124" i="26"/>
  <c r="BX123" i="26"/>
  <c r="BX122" i="26"/>
  <c r="BX121" i="26"/>
  <c r="BX120" i="26"/>
  <c r="BX119" i="26"/>
  <c r="BX118" i="26"/>
  <c r="BX117" i="26"/>
  <c r="BX116" i="26"/>
  <c r="BX115" i="26"/>
  <c r="BX114" i="26"/>
  <c r="BX113" i="26"/>
  <c r="BX112" i="26"/>
  <c r="BX111" i="26"/>
  <c r="BX110" i="26"/>
  <c r="BX109" i="26"/>
  <c r="BX108" i="26"/>
  <c r="BX107" i="26"/>
  <c r="BX106" i="26"/>
  <c r="BX105" i="26"/>
  <c r="BX104" i="26"/>
  <c r="BX103" i="26"/>
  <c r="BX102" i="26"/>
  <c r="BX101" i="26"/>
  <c r="BX100" i="26"/>
  <c r="BX99" i="26"/>
  <c r="BX98" i="26"/>
  <c r="BX97" i="26"/>
  <c r="BX96" i="26"/>
  <c r="BX95" i="26"/>
  <c r="BX94" i="26"/>
  <c r="BX93" i="26"/>
  <c r="BX92" i="26"/>
  <c r="BX91" i="26"/>
  <c r="BX90" i="26"/>
  <c r="BX89" i="26"/>
  <c r="BX88" i="26"/>
  <c r="BX87" i="26"/>
  <c r="BX86" i="26"/>
  <c r="BX85" i="26"/>
  <c r="BX84" i="26"/>
  <c r="BX83" i="26"/>
  <c r="BX82" i="26"/>
  <c r="BX81" i="26"/>
  <c r="BX80" i="26"/>
  <c r="BX79" i="26"/>
  <c r="BX78" i="26"/>
  <c r="BX77" i="26"/>
  <c r="BX76" i="26"/>
  <c r="BX75" i="26"/>
  <c r="BX74" i="26"/>
  <c r="BX73" i="26"/>
  <c r="BX72" i="26"/>
  <c r="BX71" i="26"/>
  <c r="BX70" i="26"/>
  <c r="BX69" i="26"/>
  <c r="BX68" i="26"/>
  <c r="BX67" i="26"/>
  <c r="BX66" i="26"/>
  <c r="BX65" i="26"/>
  <c r="BX64" i="26"/>
  <c r="BX63" i="26"/>
  <c r="BX62" i="26"/>
  <c r="BX61" i="26"/>
  <c r="BX60" i="26"/>
  <c r="BX59" i="26"/>
  <c r="BX58" i="26"/>
  <c r="BX57" i="26"/>
  <c r="BX56" i="26"/>
  <c r="BX55" i="26"/>
  <c r="BX54" i="26"/>
  <c r="BX53" i="26"/>
  <c r="BX52" i="26"/>
  <c r="BX51" i="26"/>
  <c r="BX50" i="26"/>
  <c r="BX49" i="26"/>
  <c r="BX48" i="26"/>
  <c r="BX47" i="26"/>
  <c r="BX46" i="26"/>
  <c r="BX45" i="26"/>
  <c r="BX44" i="26"/>
  <c r="BX43" i="26"/>
  <c r="BX42" i="26"/>
  <c r="BX41" i="26"/>
  <c r="BX40" i="26"/>
  <c r="BX39" i="26"/>
  <c r="BX38" i="26"/>
  <c r="BX37" i="26"/>
  <c r="BX36" i="26"/>
  <c r="BX35" i="26"/>
  <c r="BX34" i="26"/>
  <c r="BX33" i="26"/>
  <c r="BX32" i="26"/>
  <c r="BX31" i="26"/>
  <c r="BX30" i="26"/>
  <c r="BX29" i="26"/>
  <c r="BX28" i="26"/>
  <c r="BX27" i="26"/>
  <c r="BX26" i="26"/>
  <c r="BX25" i="26"/>
  <c r="BX24" i="26"/>
  <c r="BX23" i="26"/>
  <c r="BX22" i="26"/>
  <c r="BX21" i="26"/>
  <c r="BX20" i="26"/>
  <c r="BX19" i="26"/>
  <c r="BX18" i="26"/>
  <c r="BX17" i="26"/>
  <c r="BX16" i="26"/>
  <c r="BX15" i="26"/>
  <c r="BX14" i="26"/>
  <c r="BX13" i="26"/>
  <c r="BX12" i="26"/>
  <c r="BX11" i="26"/>
  <c r="BX10" i="26"/>
  <c r="BX9" i="26"/>
  <c r="BX8" i="26"/>
  <c r="BX7" i="26"/>
  <c r="BX6" i="26"/>
  <c r="BX5" i="26"/>
  <c r="BX4" i="26"/>
  <c r="BX3" i="26"/>
  <c r="BT558" i="26"/>
  <c r="BT557" i="26"/>
  <c r="BT556" i="26"/>
  <c r="BT555" i="26"/>
  <c r="BT554" i="26"/>
  <c r="BT553" i="26"/>
  <c r="BT552" i="26"/>
  <c r="BT551" i="26"/>
  <c r="BT550" i="26"/>
  <c r="BT549" i="26"/>
  <c r="BT548" i="26"/>
  <c r="BT547" i="26"/>
  <c r="BT546" i="26"/>
  <c r="BT545" i="26"/>
  <c r="BT544" i="26"/>
  <c r="BT543" i="26"/>
  <c r="BT542" i="26"/>
  <c r="BT541" i="26"/>
  <c r="BT540" i="26"/>
  <c r="BT539" i="26"/>
  <c r="BT538" i="26"/>
  <c r="BT537" i="26"/>
  <c r="BT536" i="26"/>
  <c r="BT535" i="26"/>
  <c r="BT534" i="26"/>
  <c r="BT533" i="26"/>
  <c r="BT532" i="26"/>
  <c r="BT531" i="26"/>
  <c r="BT530" i="26"/>
  <c r="BT529" i="26"/>
  <c r="BT528" i="26"/>
  <c r="BT527" i="26"/>
  <c r="BT526" i="26"/>
  <c r="BT525" i="26"/>
  <c r="BT524" i="26"/>
  <c r="BT523" i="26"/>
  <c r="BT522" i="26"/>
  <c r="BT521" i="26"/>
  <c r="BT520" i="26"/>
  <c r="BT519" i="26"/>
  <c r="BT518" i="26"/>
  <c r="BT517" i="26"/>
  <c r="BT516" i="26"/>
  <c r="BT515" i="26"/>
  <c r="BT514" i="26"/>
  <c r="BT513" i="26"/>
  <c r="BT512" i="26"/>
  <c r="BT511" i="26"/>
  <c r="BT510" i="26"/>
  <c r="BT509" i="26"/>
  <c r="BT508" i="26"/>
  <c r="BT507" i="26"/>
  <c r="BT506" i="26"/>
  <c r="BT505" i="26"/>
  <c r="BT504" i="26"/>
  <c r="BT503" i="26"/>
  <c r="BT502" i="26"/>
  <c r="BT501" i="26"/>
  <c r="BT500" i="26"/>
  <c r="BT499" i="26"/>
  <c r="BT498" i="26"/>
  <c r="BT497" i="26"/>
  <c r="BT496" i="26"/>
  <c r="BT495" i="26"/>
  <c r="BT494" i="26"/>
  <c r="BT493" i="26"/>
  <c r="BT492" i="26"/>
  <c r="BT491" i="26"/>
  <c r="BT490" i="26"/>
  <c r="BT489" i="26"/>
  <c r="BT488" i="26"/>
  <c r="BT487" i="26"/>
  <c r="BT486" i="26"/>
  <c r="BT485" i="26"/>
  <c r="BT484" i="26"/>
  <c r="BT483" i="26"/>
  <c r="BT482" i="26"/>
  <c r="BT481" i="26"/>
  <c r="BT480" i="26"/>
  <c r="BT479" i="26"/>
  <c r="BT478" i="26"/>
  <c r="BT477" i="26"/>
  <c r="BT476" i="26"/>
  <c r="BT475" i="26"/>
  <c r="BT474" i="26"/>
  <c r="BT473" i="26"/>
  <c r="BT472" i="26"/>
  <c r="BT471" i="26"/>
  <c r="BT470" i="26"/>
  <c r="BT469" i="26"/>
  <c r="BT468" i="26"/>
  <c r="BT467" i="26"/>
  <c r="BT466" i="26"/>
  <c r="BT465" i="26"/>
  <c r="BT464" i="26"/>
  <c r="BT463" i="26"/>
  <c r="BT462" i="26"/>
  <c r="BT461" i="26"/>
  <c r="BT460" i="26"/>
  <c r="BT459" i="26"/>
  <c r="BT458" i="26"/>
  <c r="BT457" i="26"/>
  <c r="BT456" i="26"/>
  <c r="BT455" i="26"/>
  <c r="BT454" i="26"/>
  <c r="BT453" i="26"/>
  <c r="BT452" i="26"/>
  <c r="BT451" i="26"/>
  <c r="BT450" i="26"/>
  <c r="BT449" i="26"/>
  <c r="BT448" i="26"/>
  <c r="BT447" i="26"/>
  <c r="BT446" i="26"/>
  <c r="BT445" i="26"/>
  <c r="BT444" i="26"/>
  <c r="BT443" i="26"/>
  <c r="BT442" i="26"/>
  <c r="BT441" i="26"/>
  <c r="BT440" i="26"/>
  <c r="BT439" i="26"/>
  <c r="BT438" i="26"/>
  <c r="BT437" i="26"/>
  <c r="BT436" i="26"/>
  <c r="BT435" i="26"/>
  <c r="BT434" i="26"/>
  <c r="BT433" i="26"/>
  <c r="BT432" i="26"/>
  <c r="BT431" i="26"/>
  <c r="BT430" i="26"/>
  <c r="BT429" i="26"/>
  <c r="BT428" i="26"/>
  <c r="BT427" i="26"/>
  <c r="BT426" i="26"/>
  <c r="BT425" i="26"/>
  <c r="BT424" i="26"/>
  <c r="BT423" i="26"/>
  <c r="BT422" i="26"/>
  <c r="BT421" i="26"/>
  <c r="BT420" i="26"/>
  <c r="BT419" i="26"/>
  <c r="BT418" i="26"/>
  <c r="BT417" i="26"/>
  <c r="BT416" i="26"/>
  <c r="BT415" i="26"/>
  <c r="BT414" i="26"/>
  <c r="BT413" i="26"/>
  <c r="BT412" i="26"/>
  <c r="BT411" i="26"/>
  <c r="BT410" i="26"/>
  <c r="BT409" i="26"/>
  <c r="BT408" i="26"/>
  <c r="BT407" i="26"/>
  <c r="BT406" i="26"/>
  <c r="BT405" i="26"/>
  <c r="BT404" i="26"/>
  <c r="BT403" i="26"/>
  <c r="BT402" i="26"/>
  <c r="BT401" i="26"/>
  <c r="BT400" i="26"/>
  <c r="BT399" i="26"/>
  <c r="BT398" i="26"/>
  <c r="BT397" i="26"/>
  <c r="BT396" i="26"/>
  <c r="BT395" i="26"/>
  <c r="BT394" i="26"/>
  <c r="BT393" i="26"/>
  <c r="BT392" i="26"/>
  <c r="BT391" i="26"/>
  <c r="BT390" i="26"/>
  <c r="BT389" i="26"/>
  <c r="BT388" i="26"/>
  <c r="BT387" i="26"/>
  <c r="BT386" i="26"/>
  <c r="BT385" i="26"/>
  <c r="BT384" i="26"/>
  <c r="BT383" i="26"/>
  <c r="BT382" i="26"/>
  <c r="BT381" i="26"/>
  <c r="BT380" i="26"/>
  <c r="BT379" i="26"/>
  <c r="BT378" i="26"/>
  <c r="BT377" i="26"/>
  <c r="BT376" i="26"/>
  <c r="BT375" i="26"/>
  <c r="BT374" i="26"/>
  <c r="BT373" i="26"/>
  <c r="BT372" i="26"/>
  <c r="BT371" i="26"/>
  <c r="BT370" i="26"/>
  <c r="BT369" i="26"/>
  <c r="BT368" i="26"/>
  <c r="BT367" i="26"/>
  <c r="BT366" i="26"/>
  <c r="BT365" i="26"/>
  <c r="BT364" i="26"/>
  <c r="BT363" i="26"/>
  <c r="BT362" i="26"/>
  <c r="BT361" i="26"/>
  <c r="BT360" i="26"/>
  <c r="BT359" i="26"/>
  <c r="BT358" i="26"/>
  <c r="BT357" i="26"/>
  <c r="BT356" i="26"/>
  <c r="BT355" i="26"/>
  <c r="BT354" i="26"/>
  <c r="BT353" i="26"/>
  <c r="BT352" i="26"/>
  <c r="BT351" i="26"/>
  <c r="BT350" i="26"/>
  <c r="BT349" i="26"/>
  <c r="BT348" i="26"/>
  <c r="BT347" i="26"/>
  <c r="BT346" i="26"/>
  <c r="BT345" i="26"/>
  <c r="BT344" i="26"/>
  <c r="BT343" i="26"/>
  <c r="BT342" i="26"/>
  <c r="BT341" i="26"/>
  <c r="BT340" i="26"/>
  <c r="BT339" i="26"/>
  <c r="BT338" i="26"/>
  <c r="BT337" i="26"/>
  <c r="BT336" i="26"/>
  <c r="BT335" i="26"/>
  <c r="BT334" i="26"/>
  <c r="BT333" i="26"/>
  <c r="BT332" i="26"/>
  <c r="BT331" i="26"/>
  <c r="BT330" i="26"/>
  <c r="BT329" i="26"/>
  <c r="BT328" i="26"/>
  <c r="BT327" i="26"/>
  <c r="BT326" i="26"/>
  <c r="BT325" i="26"/>
  <c r="BT324" i="26"/>
  <c r="BT323" i="26"/>
  <c r="BT322" i="26"/>
  <c r="BT321" i="26"/>
  <c r="BT320" i="26"/>
  <c r="BT319" i="26"/>
  <c r="BT318" i="26"/>
  <c r="BT317" i="26"/>
  <c r="BT316" i="26"/>
  <c r="BT315" i="26"/>
  <c r="BT314" i="26"/>
  <c r="BT313" i="26"/>
  <c r="BT312" i="26"/>
  <c r="BT311" i="26"/>
  <c r="BT310" i="26"/>
  <c r="BT309" i="26"/>
  <c r="BT308" i="26"/>
  <c r="BT307" i="26"/>
  <c r="BT306" i="26"/>
  <c r="BT305" i="26"/>
  <c r="BT304" i="26"/>
  <c r="BT303" i="26"/>
  <c r="BT302" i="26"/>
  <c r="BT301" i="26"/>
  <c r="BT300" i="26"/>
  <c r="BT299" i="26"/>
  <c r="BT298" i="26"/>
  <c r="BT297" i="26"/>
  <c r="BT296" i="26"/>
  <c r="BT295" i="26"/>
  <c r="BT294" i="26"/>
  <c r="BT293" i="26"/>
  <c r="BT292" i="26"/>
  <c r="BT291" i="26"/>
  <c r="BT290" i="26"/>
  <c r="BT289" i="26"/>
  <c r="BT288" i="26"/>
  <c r="BT287" i="26"/>
  <c r="BT286" i="26"/>
  <c r="BT285" i="26"/>
  <c r="BT284" i="26"/>
  <c r="BT283" i="26"/>
  <c r="BT282" i="26"/>
  <c r="BT281" i="26"/>
  <c r="BT280" i="26"/>
  <c r="BT279" i="26"/>
  <c r="BT278" i="26"/>
  <c r="BT277" i="26"/>
  <c r="BT276" i="26"/>
  <c r="BT275" i="26"/>
  <c r="BT274" i="26"/>
  <c r="BT273" i="26"/>
  <c r="BT272" i="26"/>
  <c r="BT271" i="26"/>
  <c r="BT270" i="26"/>
  <c r="BT269" i="26"/>
  <c r="BT268" i="26"/>
  <c r="BT267" i="26"/>
  <c r="BT266" i="26"/>
  <c r="BT265" i="26"/>
  <c r="BT264" i="26"/>
  <c r="BT263" i="26"/>
  <c r="BT262" i="26"/>
  <c r="BT261" i="26"/>
  <c r="BT260" i="26"/>
  <c r="BT259" i="26"/>
  <c r="BT258" i="26"/>
  <c r="BT257" i="26"/>
  <c r="BT256" i="26"/>
  <c r="BT255" i="26"/>
  <c r="BT254" i="26"/>
  <c r="BT253" i="26"/>
  <c r="BT252" i="26"/>
  <c r="BT251" i="26"/>
  <c r="BT250" i="26"/>
  <c r="BT249" i="26"/>
  <c r="BT248" i="26"/>
  <c r="BT247" i="26"/>
  <c r="BT246" i="26"/>
  <c r="BT245" i="26"/>
  <c r="BT244" i="26"/>
  <c r="BT243" i="26"/>
  <c r="BT242" i="26"/>
  <c r="BT241" i="26"/>
  <c r="BT240" i="26"/>
  <c r="BT239" i="26"/>
  <c r="BT238" i="26"/>
  <c r="BT237" i="26"/>
  <c r="BT236" i="26"/>
  <c r="BT235" i="26"/>
  <c r="BT234" i="26"/>
  <c r="BT233" i="26"/>
  <c r="BT232" i="26"/>
  <c r="BT231" i="26"/>
  <c r="BT230" i="26"/>
  <c r="BT229" i="26"/>
  <c r="BT228" i="26"/>
  <c r="BT227" i="26"/>
  <c r="BT226" i="26"/>
  <c r="BT225" i="26"/>
  <c r="BT224" i="26"/>
  <c r="BT223" i="26"/>
  <c r="BT222" i="26"/>
  <c r="BT221" i="26"/>
  <c r="BT220" i="26"/>
  <c r="BT219" i="26"/>
  <c r="BT218" i="26"/>
  <c r="BT217" i="26"/>
  <c r="BT216" i="26"/>
  <c r="BT215" i="26"/>
  <c r="BT214" i="26"/>
  <c r="BT213" i="26"/>
  <c r="BT212" i="26"/>
  <c r="BT211" i="26"/>
  <c r="BT210" i="26"/>
  <c r="BT209" i="26"/>
  <c r="BT208" i="26"/>
  <c r="BT207" i="26"/>
  <c r="BT206" i="26"/>
  <c r="BT205" i="26"/>
  <c r="BT204" i="26"/>
  <c r="BT203" i="26"/>
  <c r="BT202" i="26"/>
  <c r="BT201" i="26"/>
  <c r="BT200" i="26"/>
  <c r="BT199" i="26"/>
  <c r="BT198" i="26"/>
  <c r="BT197" i="26"/>
  <c r="BT196" i="26"/>
  <c r="BT195" i="26"/>
  <c r="BT194" i="26"/>
  <c r="BT193" i="26"/>
  <c r="BT192" i="26"/>
  <c r="BT191" i="26"/>
  <c r="BT190" i="26"/>
  <c r="BT189" i="26"/>
  <c r="BT188" i="26"/>
  <c r="BT187" i="26"/>
  <c r="BT186" i="26"/>
  <c r="BT185" i="26"/>
  <c r="BT184" i="26"/>
  <c r="BT183" i="26"/>
  <c r="BT182" i="26"/>
  <c r="BT181" i="26"/>
  <c r="BT180" i="26"/>
  <c r="BT179" i="26"/>
  <c r="BT178" i="26"/>
  <c r="BT177" i="26"/>
  <c r="BT176" i="26"/>
  <c r="BT175" i="26"/>
  <c r="BT174" i="26"/>
  <c r="BT173" i="26"/>
  <c r="BT172" i="26"/>
  <c r="BT171" i="26"/>
  <c r="BT170" i="26"/>
  <c r="BT169" i="26"/>
  <c r="BT168" i="26"/>
  <c r="BT167" i="26"/>
  <c r="BT166" i="26"/>
  <c r="BT165" i="26"/>
  <c r="BT164" i="26"/>
  <c r="BT163" i="26"/>
  <c r="BT162" i="26"/>
  <c r="BT161" i="26"/>
  <c r="BT160" i="26"/>
  <c r="BT159" i="26"/>
  <c r="BT158" i="26"/>
  <c r="BT157" i="26"/>
  <c r="BT156" i="26"/>
  <c r="BT155" i="26"/>
  <c r="BT154" i="26"/>
  <c r="BT153" i="26"/>
  <c r="BT152" i="26"/>
  <c r="BT151" i="26"/>
  <c r="BT150" i="26"/>
  <c r="BT149" i="26"/>
  <c r="BT148" i="26"/>
  <c r="BT147" i="26"/>
  <c r="BT146" i="26"/>
  <c r="BT145" i="26"/>
  <c r="BT144" i="26"/>
  <c r="BT143" i="26"/>
  <c r="BT142" i="26"/>
  <c r="BT141" i="26"/>
  <c r="BT140" i="26"/>
  <c r="BT139" i="26"/>
  <c r="BT138" i="26"/>
  <c r="BT137" i="26"/>
  <c r="BT136" i="26"/>
  <c r="BT135" i="26"/>
  <c r="BT134" i="26"/>
  <c r="BT133" i="26"/>
  <c r="BT132" i="26"/>
  <c r="BT131" i="26"/>
  <c r="BT130" i="26"/>
  <c r="BT129" i="26"/>
  <c r="BT128" i="26"/>
  <c r="BT127" i="26"/>
  <c r="BT126" i="26"/>
  <c r="BT125" i="26"/>
  <c r="BT124" i="26"/>
  <c r="BT123" i="26"/>
  <c r="BT122" i="26"/>
  <c r="BT121" i="26"/>
  <c r="BT120" i="26"/>
  <c r="BT119" i="26"/>
  <c r="BT118" i="26"/>
  <c r="BT117" i="26"/>
  <c r="BT116" i="26"/>
  <c r="BT115" i="26"/>
  <c r="BT114" i="26"/>
  <c r="BT113" i="26"/>
  <c r="BT112" i="26"/>
  <c r="BT111" i="26"/>
  <c r="BT110" i="26"/>
  <c r="BT109" i="26"/>
  <c r="BT108" i="26"/>
  <c r="BT107" i="26"/>
  <c r="BT106" i="26"/>
  <c r="BT105" i="26"/>
  <c r="BT104" i="26"/>
  <c r="BT103" i="26"/>
  <c r="BT102" i="26"/>
  <c r="BT101" i="26"/>
  <c r="BT100" i="26"/>
  <c r="BT99" i="26"/>
  <c r="BT98" i="26"/>
  <c r="BT97" i="26"/>
  <c r="BT96" i="26"/>
  <c r="BT95" i="26"/>
  <c r="BT94" i="26"/>
  <c r="BT93" i="26"/>
  <c r="BT92" i="26"/>
  <c r="BT91" i="26"/>
  <c r="BT90" i="26"/>
  <c r="BT89" i="26"/>
  <c r="BT88" i="26"/>
  <c r="BT87" i="26"/>
  <c r="BT86" i="26"/>
  <c r="BT85" i="26"/>
  <c r="BT84" i="26"/>
  <c r="BT83" i="26"/>
  <c r="BT82" i="26"/>
  <c r="BT81" i="26"/>
  <c r="BT80" i="26"/>
  <c r="BT79" i="26"/>
  <c r="BT78" i="26"/>
  <c r="BT77" i="26"/>
  <c r="BT76" i="26"/>
  <c r="BT75" i="26"/>
  <c r="BT74" i="26"/>
  <c r="BT73" i="26"/>
  <c r="BT72" i="26"/>
  <c r="BT71" i="26"/>
  <c r="BT70" i="26"/>
  <c r="BT69" i="26"/>
  <c r="BT68" i="26"/>
  <c r="BT67" i="26"/>
  <c r="BT66" i="26"/>
  <c r="BT65" i="26"/>
  <c r="BT64" i="26"/>
  <c r="BT63" i="26"/>
  <c r="BT62" i="26"/>
  <c r="BT61" i="26"/>
  <c r="BT60" i="26"/>
  <c r="BT59" i="26"/>
  <c r="BT58" i="26"/>
  <c r="BT57" i="26"/>
  <c r="BT56" i="26"/>
  <c r="BT55" i="26"/>
  <c r="BT54" i="26"/>
  <c r="BT53" i="26"/>
  <c r="BT52" i="26"/>
  <c r="BT51" i="26"/>
  <c r="BT50" i="26"/>
  <c r="BT49" i="26"/>
  <c r="BT48" i="26"/>
  <c r="BT47" i="26"/>
  <c r="BT46" i="26"/>
  <c r="BT45" i="26"/>
  <c r="BT44" i="26"/>
  <c r="BT43" i="26"/>
  <c r="BT42" i="26"/>
  <c r="BT41" i="26"/>
  <c r="BT40" i="26"/>
  <c r="BT39" i="26"/>
  <c r="BT38" i="26"/>
  <c r="BT37" i="26"/>
  <c r="BT36" i="26"/>
  <c r="BT35" i="26"/>
  <c r="BT34" i="26"/>
  <c r="BT33" i="26"/>
  <c r="BT32" i="26"/>
  <c r="BT31" i="26"/>
  <c r="BT30" i="26"/>
  <c r="BT29" i="26"/>
  <c r="BT28" i="26"/>
  <c r="BT27" i="26"/>
  <c r="BT26" i="26"/>
  <c r="BT25" i="26"/>
  <c r="BT24" i="26"/>
  <c r="BT23" i="26"/>
  <c r="BT22" i="26"/>
  <c r="BT21" i="26"/>
  <c r="BT20" i="26"/>
  <c r="BT19" i="26"/>
  <c r="BT18" i="26"/>
  <c r="BT17" i="26"/>
  <c r="BT16" i="26"/>
  <c r="BT15" i="26"/>
  <c r="BT14" i="26"/>
  <c r="BT13" i="26"/>
  <c r="BT12" i="26"/>
  <c r="BT11" i="26"/>
  <c r="BT10" i="26"/>
  <c r="BT9" i="26"/>
  <c r="BT8" i="26"/>
  <c r="BT7" i="26"/>
  <c r="BT6" i="26"/>
  <c r="BT5" i="26"/>
  <c r="BT4" i="26"/>
  <c r="BT3" i="26"/>
  <c r="BF558" i="26"/>
  <c r="BF557" i="26"/>
  <c r="BF556" i="26"/>
  <c r="BF555" i="26"/>
  <c r="BF554" i="26"/>
  <c r="BF553" i="26"/>
  <c r="BF552" i="26"/>
  <c r="BF551" i="26"/>
  <c r="BF550" i="26"/>
  <c r="BF549" i="26"/>
  <c r="BF548" i="26"/>
  <c r="BF547" i="26"/>
  <c r="BF546" i="26"/>
  <c r="BF545" i="26"/>
  <c r="BF544" i="26"/>
  <c r="BF543" i="26"/>
  <c r="BF542" i="26"/>
  <c r="BF541" i="26"/>
  <c r="BF540" i="26"/>
  <c r="BF539" i="26"/>
  <c r="BF538" i="26"/>
  <c r="BF537" i="26"/>
  <c r="BF536" i="26"/>
  <c r="BF535" i="26"/>
  <c r="BF534" i="26"/>
  <c r="BF533" i="26"/>
  <c r="BF532" i="26"/>
  <c r="BF531" i="26"/>
  <c r="BF530" i="26"/>
  <c r="BF529" i="26"/>
  <c r="BF528" i="26"/>
  <c r="BF527" i="26"/>
  <c r="BF526" i="26"/>
  <c r="BF525" i="26"/>
  <c r="BF524" i="26"/>
  <c r="BF523" i="26"/>
  <c r="BF522" i="26"/>
  <c r="BF521" i="26"/>
  <c r="BF520" i="26"/>
  <c r="BF519" i="26"/>
  <c r="BF518" i="26"/>
  <c r="BF517" i="26"/>
  <c r="BF516" i="26"/>
  <c r="BF515" i="26"/>
  <c r="BF514" i="26"/>
  <c r="BF513" i="26"/>
  <c r="BF512" i="26"/>
  <c r="BF511" i="26"/>
  <c r="BF510" i="26"/>
  <c r="BF509" i="26"/>
  <c r="BF508" i="26"/>
  <c r="BF507" i="26"/>
  <c r="BF506" i="26"/>
  <c r="BF505" i="26"/>
  <c r="BF504" i="26"/>
  <c r="BF503" i="26"/>
  <c r="BF502" i="26"/>
  <c r="BF501" i="26"/>
  <c r="BF500" i="26"/>
  <c r="BF499" i="26"/>
  <c r="BF498" i="26"/>
  <c r="BF497" i="26"/>
  <c r="BF496" i="26"/>
  <c r="BF495" i="26"/>
  <c r="BF494" i="26"/>
  <c r="BF493" i="26"/>
  <c r="BF492" i="26"/>
  <c r="BF491" i="26"/>
  <c r="BF490" i="26"/>
  <c r="BF489" i="26"/>
  <c r="BF488" i="26"/>
  <c r="BF487" i="26"/>
  <c r="BF486" i="26"/>
  <c r="BF485" i="26"/>
  <c r="BF484" i="26"/>
  <c r="BF483" i="26"/>
  <c r="BF482" i="26"/>
  <c r="BF481" i="26"/>
  <c r="BF480" i="26"/>
  <c r="BF479" i="26"/>
  <c r="BF478" i="26"/>
  <c r="BF477" i="26"/>
  <c r="BF476" i="26"/>
  <c r="BF475" i="26"/>
  <c r="BF474" i="26"/>
  <c r="BF473" i="26"/>
  <c r="BF472" i="26"/>
  <c r="BF471" i="26"/>
  <c r="BF470" i="26"/>
  <c r="BF469" i="26"/>
  <c r="BF468" i="26"/>
  <c r="BF467" i="26"/>
  <c r="BF466" i="26"/>
  <c r="BF465" i="26"/>
  <c r="BF464" i="26"/>
  <c r="BF463" i="26"/>
  <c r="BF462" i="26"/>
  <c r="BF461" i="26"/>
  <c r="BF460" i="26"/>
  <c r="BF459" i="26"/>
  <c r="BF458" i="26"/>
  <c r="BF457" i="26"/>
  <c r="BF456" i="26"/>
  <c r="BF455" i="26"/>
  <c r="BF454" i="26"/>
  <c r="BF453" i="26"/>
  <c r="BF452" i="26"/>
  <c r="BF451" i="26"/>
  <c r="BF450" i="26"/>
  <c r="BF449" i="26"/>
  <c r="BF448" i="26"/>
  <c r="BF447" i="26"/>
  <c r="BF446" i="26"/>
  <c r="BF445" i="26"/>
  <c r="BF444" i="26"/>
  <c r="BF443" i="26"/>
  <c r="BF442" i="26"/>
  <c r="BF441" i="26"/>
  <c r="BF440" i="26"/>
  <c r="BF439" i="26"/>
  <c r="BF438" i="26"/>
  <c r="BF437" i="26"/>
  <c r="BF436" i="26"/>
  <c r="BF435" i="26"/>
  <c r="BF434" i="26"/>
  <c r="BF433" i="26"/>
  <c r="BF432" i="26"/>
  <c r="BF431" i="26"/>
  <c r="BF430" i="26"/>
  <c r="BF429" i="26"/>
  <c r="BF428" i="26"/>
  <c r="BF427" i="26"/>
  <c r="BF426" i="26"/>
  <c r="BF425" i="26"/>
  <c r="BF424" i="26"/>
  <c r="BF423" i="26"/>
  <c r="BF422" i="26"/>
  <c r="BF421" i="26"/>
  <c r="BF420" i="26"/>
  <c r="BF419" i="26"/>
  <c r="BF418" i="26"/>
  <c r="BF417" i="26"/>
  <c r="BF416" i="26"/>
  <c r="BF415" i="26"/>
  <c r="BF414" i="26"/>
  <c r="BF413" i="26"/>
  <c r="BF412" i="26"/>
  <c r="BF411" i="26"/>
  <c r="BF410" i="26"/>
  <c r="BF409" i="26"/>
  <c r="BF408" i="26"/>
  <c r="BF407" i="26"/>
  <c r="BF406" i="26"/>
  <c r="BF405" i="26"/>
  <c r="BF404" i="26"/>
  <c r="BF403" i="26"/>
  <c r="BF402" i="26"/>
  <c r="BF401" i="26"/>
  <c r="BF400" i="26"/>
  <c r="BF399" i="26"/>
  <c r="BF398" i="26"/>
  <c r="BF397" i="26"/>
  <c r="BF396" i="26"/>
  <c r="BF395" i="26"/>
  <c r="BF394" i="26"/>
  <c r="BF393" i="26"/>
  <c r="BF392" i="26"/>
  <c r="BF391" i="26"/>
  <c r="BF390" i="26"/>
  <c r="BF389" i="26"/>
  <c r="BF388" i="26"/>
  <c r="BF387" i="26"/>
  <c r="BF386" i="26"/>
  <c r="BF385" i="26"/>
  <c r="BF384" i="26"/>
  <c r="BF383" i="26"/>
  <c r="BF382" i="26"/>
  <c r="BF381" i="26"/>
  <c r="BF380" i="26"/>
  <c r="BF379" i="26"/>
  <c r="BF378" i="26"/>
  <c r="BF377" i="26"/>
  <c r="BF376" i="26"/>
  <c r="BF375" i="26"/>
  <c r="BF374" i="26"/>
  <c r="BF373" i="26"/>
  <c r="BF372" i="26"/>
  <c r="BF371" i="26"/>
  <c r="BF370" i="26"/>
  <c r="BF369" i="26"/>
  <c r="BF368" i="26"/>
  <c r="BF367" i="26"/>
  <c r="BF366" i="26"/>
  <c r="BF365" i="26"/>
  <c r="BF364" i="26"/>
  <c r="BF363" i="26"/>
  <c r="BF362" i="26"/>
  <c r="BF361" i="26"/>
  <c r="BF360" i="26"/>
  <c r="BF359" i="26"/>
  <c r="BF358" i="26"/>
  <c r="BF357" i="26"/>
  <c r="BF356" i="26"/>
  <c r="BF355" i="26"/>
  <c r="BF354" i="26"/>
  <c r="BF353" i="26"/>
  <c r="BF352" i="26"/>
  <c r="BF351" i="26"/>
  <c r="BF350" i="26"/>
  <c r="BF349" i="26"/>
  <c r="BF348" i="26"/>
  <c r="BF347" i="26"/>
  <c r="BF346" i="26"/>
  <c r="BF345" i="26"/>
  <c r="BF344" i="26"/>
  <c r="BF343" i="26"/>
  <c r="BF342" i="26"/>
  <c r="BF341" i="26"/>
  <c r="BF340" i="26"/>
  <c r="BF339" i="26"/>
  <c r="BF338" i="26"/>
  <c r="BF337" i="26"/>
  <c r="BF336" i="26"/>
  <c r="BF335" i="26"/>
  <c r="BF334" i="26"/>
  <c r="BF333" i="26"/>
  <c r="BF332" i="26"/>
  <c r="BF331" i="26"/>
  <c r="BF330" i="26"/>
  <c r="BF329" i="26"/>
  <c r="BF328" i="26"/>
  <c r="BF327" i="26"/>
  <c r="BF326" i="26"/>
  <c r="BF325" i="26"/>
  <c r="BF324" i="26"/>
  <c r="BF323" i="26"/>
  <c r="BF322" i="26"/>
  <c r="BF321" i="26"/>
  <c r="BF320" i="26"/>
  <c r="BF319" i="26"/>
  <c r="BF318" i="26"/>
  <c r="BF317" i="26"/>
  <c r="BF316" i="26"/>
  <c r="BF315" i="26"/>
  <c r="BF314" i="26"/>
  <c r="BF313" i="26"/>
  <c r="BF312" i="26"/>
  <c r="BF311" i="26"/>
  <c r="BF310" i="26"/>
  <c r="BF309" i="26"/>
  <c r="BF308" i="26"/>
  <c r="BF307" i="26"/>
  <c r="BF306" i="26"/>
  <c r="BF305" i="26"/>
  <c r="BF304" i="26"/>
  <c r="BF303" i="26"/>
  <c r="BF302" i="26"/>
  <c r="BF301" i="26"/>
  <c r="BF300" i="26"/>
  <c r="BF299" i="26"/>
  <c r="BF298" i="26"/>
  <c r="BF297" i="26"/>
  <c r="BF296" i="26"/>
  <c r="BF295" i="26"/>
  <c r="BF294" i="26"/>
  <c r="BF293" i="26"/>
  <c r="BF292" i="26"/>
  <c r="BF291" i="26"/>
  <c r="BF290" i="26"/>
  <c r="BF289" i="26"/>
  <c r="BF288" i="26"/>
  <c r="BF287" i="26"/>
  <c r="BF286" i="26"/>
  <c r="BF285" i="26"/>
  <c r="BF284" i="26"/>
  <c r="BF283" i="26"/>
  <c r="BF282" i="26"/>
  <c r="BF281" i="26"/>
  <c r="BF280" i="26"/>
  <c r="BF279" i="26"/>
  <c r="BF278" i="26"/>
  <c r="BF277" i="26"/>
  <c r="BF276" i="26"/>
  <c r="BF275" i="26"/>
  <c r="BF274" i="26"/>
  <c r="BF273" i="26"/>
  <c r="BF272" i="26"/>
  <c r="BF271" i="26"/>
  <c r="BF270" i="26"/>
  <c r="BF269" i="26"/>
  <c r="BF268" i="26"/>
  <c r="BF267" i="26"/>
  <c r="BF266" i="26"/>
  <c r="BF265" i="26"/>
  <c r="BF264" i="26"/>
  <c r="BF263" i="26"/>
  <c r="BF262" i="26"/>
  <c r="BF261" i="26"/>
  <c r="BF260" i="26"/>
  <c r="BF259" i="26"/>
  <c r="BF258" i="26"/>
  <c r="BF257" i="26"/>
  <c r="BF256" i="26"/>
  <c r="BF255" i="26"/>
  <c r="BF254" i="26"/>
  <c r="BF253" i="26"/>
  <c r="BF252" i="26"/>
  <c r="BF251" i="26"/>
  <c r="BF250" i="26"/>
  <c r="BF249" i="26"/>
  <c r="BF248" i="26"/>
  <c r="BF247" i="26"/>
  <c r="BF246" i="26"/>
  <c r="BF245" i="26"/>
  <c r="BF244" i="26"/>
  <c r="BF243" i="26"/>
  <c r="BF242" i="26"/>
  <c r="BF241" i="26"/>
  <c r="BF240" i="26"/>
  <c r="BF239" i="26"/>
  <c r="BF238" i="26"/>
  <c r="BF237" i="26"/>
  <c r="BF236" i="26"/>
  <c r="BF235" i="26"/>
  <c r="BF234" i="26"/>
  <c r="BF233" i="26"/>
  <c r="BF232" i="26"/>
  <c r="BF231" i="26"/>
  <c r="BF230" i="26"/>
  <c r="BF229" i="26"/>
  <c r="BF228" i="26"/>
  <c r="BF227" i="26"/>
  <c r="BF226" i="26"/>
  <c r="BF225" i="26"/>
  <c r="BF224" i="26"/>
  <c r="BF223" i="26"/>
  <c r="BF222" i="26"/>
  <c r="BF221" i="26"/>
  <c r="BF220" i="26"/>
  <c r="BF219" i="26"/>
  <c r="BF218" i="26"/>
  <c r="BF217" i="26"/>
  <c r="BF216" i="26"/>
  <c r="BF215" i="26"/>
  <c r="BF214" i="26"/>
  <c r="BF213" i="26"/>
  <c r="BF212" i="26"/>
  <c r="BF211" i="26"/>
  <c r="BF210" i="26"/>
  <c r="BF209" i="26"/>
  <c r="BF208" i="26"/>
  <c r="BF207" i="26"/>
  <c r="BF206" i="26"/>
  <c r="BF205" i="26"/>
  <c r="BF204" i="26"/>
  <c r="BF203" i="26"/>
  <c r="BF202" i="26"/>
  <c r="BF201" i="26"/>
  <c r="BF200" i="26"/>
  <c r="BF199" i="26"/>
  <c r="BF198" i="26"/>
  <c r="BF197" i="26"/>
  <c r="BF196" i="26"/>
  <c r="BF195" i="26"/>
  <c r="BF194" i="26"/>
  <c r="BF193" i="26"/>
  <c r="BF192" i="26"/>
  <c r="BF191" i="26"/>
  <c r="BF190" i="26"/>
  <c r="BF189" i="26"/>
  <c r="BF188" i="26"/>
  <c r="BF187" i="26"/>
  <c r="BF186" i="26"/>
  <c r="BF185" i="26"/>
  <c r="BF184" i="26"/>
  <c r="BF183" i="26"/>
  <c r="BF182" i="26"/>
  <c r="BF181" i="26"/>
  <c r="BF180" i="26"/>
  <c r="BF179" i="26"/>
  <c r="BF178" i="26"/>
  <c r="BF177" i="26"/>
  <c r="BF176" i="26"/>
  <c r="BF175" i="26"/>
  <c r="BF174" i="26"/>
  <c r="BF173" i="26"/>
  <c r="BF172" i="26"/>
  <c r="BF171" i="26"/>
  <c r="BF170" i="26"/>
  <c r="BF169" i="26"/>
  <c r="BF168" i="26"/>
  <c r="BF167" i="26"/>
  <c r="BF166" i="26"/>
  <c r="BF165" i="26"/>
  <c r="BF164" i="26"/>
  <c r="BF163" i="26"/>
  <c r="BF162" i="26"/>
  <c r="BF161" i="26"/>
  <c r="BF160" i="26"/>
  <c r="BF159" i="26"/>
  <c r="BF158" i="26"/>
  <c r="BF157" i="26"/>
  <c r="BF156" i="26"/>
  <c r="BF155" i="26"/>
  <c r="BF154" i="26"/>
  <c r="BF153" i="26"/>
  <c r="BF152" i="26"/>
  <c r="BF151" i="26"/>
  <c r="BF150" i="26"/>
  <c r="BF149" i="26"/>
  <c r="BF148" i="26"/>
  <c r="BF147" i="26"/>
  <c r="BF146" i="26"/>
  <c r="BF145" i="26"/>
  <c r="BF144" i="26"/>
  <c r="BF143" i="26"/>
  <c r="BF142" i="26"/>
  <c r="BF141" i="26"/>
  <c r="BF140" i="26"/>
  <c r="BF139" i="26"/>
  <c r="BF138" i="26"/>
  <c r="BF137" i="26"/>
  <c r="BF136" i="26"/>
  <c r="BF135" i="26"/>
  <c r="BF134" i="26"/>
  <c r="BF133" i="26"/>
  <c r="BF132" i="26"/>
  <c r="BF131" i="26"/>
  <c r="BF130" i="26"/>
  <c r="BF129" i="26"/>
  <c r="BF128" i="26"/>
  <c r="BF127" i="26"/>
  <c r="BF126" i="26"/>
  <c r="BF125" i="26"/>
  <c r="BF124" i="26"/>
  <c r="BF123" i="26"/>
  <c r="BF122" i="26"/>
  <c r="BF121" i="26"/>
  <c r="BF120" i="26"/>
  <c r="BF119" i="26"/>
  <c r="BF118" i="26"/>
  <c r="BF117" i="26"/>
  <c r="BF116" i="26"/>
  <c r="BF115" i="26"/>
  <c r="BF114" i="26"/>
  <c r="BF113" i="26"/>
  <c r="BF112" i="26"/>
  <c r="BF111" i="26"/>
  <c r="BF110" i="26"/>
  <c r="BF109" i="26"/>
  <c r="BF108" i="26"/>
  <c r="BF107" i="26"/>
  <c r="BF106" i="26"/>
  <c r="BF105" i="26"/>
  <c r="BF104" i="26"/>
  <c r="BF103" i="26"/>
  <c r="BF102" i="26"/>
  <c r="BF101" i="26"/>
  <c r="BF100" i="26"/>
  <c r="BF99" i="26"/>
  <c r="BF98" i="26"/>
  <c r="BF97" i="26"/>
  <c r="BF96" i="26"/>
  <c r="BF95" i="26"/>
  <c r="BF94" i="26"/>
  <c r="BF93" i="26"/>
  <c r="BF92" i="26"/>
  <c r="BF91" i="26"/>
  <c r="BF90" i="26"/>
  <c r="BF89" i="26"/>
  <c r="BF88" i="26"/>
  <c r="BF87" i="26"/>
  <c r="BF86" i="26"/>
  <c r="BF85" i="26"/>
  <c r="BF84" i="26"/>
  <c r="BF83" i="26"/>
  <c r="BF82" i="26"/>
  <c r="BF81" i="26"/>
  <c r="BF80" i="26"/>
  <c r="BF79" i="26"/>
  <c r="BF78" i="26"/>
  <c r="BF77" i="26"/>
  <c r="BF76" i="26"/>
  <c r="BF75" i="26"/>
  <c r="BF74" i="26"/>
  <c r="BF73" i="26"/>
  <c r="BF72" i="26"/>
  <c r="BF71" i="26"/>
  <c r="BF70" i="26"/>
  <c r="BF69" i="26"/>
  <c r="BF68" i="26"/>
  <c r="BF67" i="26"/>
  <c r="BF66" i="26"/>
  <c r="BF65" i="26"/>
  <c r="BF64" i="26"/>
  <c r="BF63" i="26"/>
  <c r="BF62" i="26"/>
  <c r="BF61" i="26"/>
  <c r="BF60" i="26"/>
  <c r="BF59" i="26"/>
  <c r="BF58" i="26"/>
  <c r="BF57" i="26"/>
  <c r="BF56" i="26"/>
  <c r="BF55" i="26"/>
  <c r="BF54" i="26"/>
  <c r="BF53" i="26"/>
  <c r="BF52" i="26"/>
  <c r="BF51" i="26"/>
  <c r="BF50" i="26"/>
  <c r="BF49" i="26"/>
  <c r="BF48" i="26"/>
  <c r="BF47" i="26"/>
  <c r="BF46" i="26"/>
  <c r="BF45" i="26"/>
  <c r="BF44" i="26"/>
  <c r="BF43" i="26"/>
  <c r="BF42" i="26"/>
  <c r="BF41" i="26"/>
  <c r="BF40" i="26"/>
  <c r="BF39" i="26"/>
  <c r="BF38" i="26"/>
  <c r="BF37" i="26"/>
  <c r="BF36" i="26"/>
  <c r="BF35" i="26"/>
  <c r="BF34" i="26"/>
  <c r="BF33" i="26"/>
  <c r="BF32" i="26"/>
  <c r="BF31" i="26"/>
  <c r="BF30" i="26"/>
  <c r="BF29" i="26"/>
  <c r="BF28" i="26"/>
  <c r="BF27" i="26"/>
  <c r="BF26" i="26"/>
  <c r="BF25" i="26"/>
  <c r="BF24" i="26"/>
  <c r="BF23" i="26"/>
  <c r="BF22" i="26"/>
  <c r="BF21" i="26"/>
  <c r="BF20" i="26"/>
  <c r="BF19" i="26"/>
  <c r="BF18" i="26"/>
  <c r="BF17" i="26"/>
  <c r="BF16" i="26"/>
  <c r="BF15" i="26"/>
  <c r="BF14" i="26"/>
  <c r="BF13" i="26"/>
  <c r="BF12" i="26"/>
  <c r="BF11" i="26"/>
  <c r="BF10" i="26"/>
  <c r="BF9" i="26"/>
  <c r="BF8" i="26"/>
  <c r="BF7" i="26"/>
  <c r="BF6" i="26"/>
  <c r="BF5" i="26"/>
  <c r="BF4" i="26"/>
  <c r="BF3" i="26"/>
  <c r="AS558" i="26"/>
  <c r="AS557" i="26"/>
  <c r="AS556" i="26"/>
  <c r="AS555" i="26"/>
  <c r="AS554" i="26"/>
  <c r="AS553" i="26"/>
  <c r="AS552" i="26"/>
  <c r="AS551" i="26"/>
  <c r="AS550" i="26"/>
  <c r="AS549" i="26"/>
  <c r="AS548" i="26"/>
  <c r="AS547" i="26"/>
  <c r="AS546" i="26"/>
  <c r="AS545" i="26"/>
  <c r="AS544" i="26"/>
  <c r="AS543" i="26"/>
  <c r="AS542" i="26"/>
  <c r="AS541" i="26"/>
  <c r="AS540" i="26"/>
  <c r="AS539" i="26"/>
  <c r="AS538" i="26"/>
  <c r="AS537" i="26"/>
  <c r="AS536" i="26"/>
  <c r="AS535" i="26"/>
  <c r="AS534" i="26"/>
  <c r="AS533" i="26"/>
  <c r="AS532" i="26"/>
  <c r="AS531" i="26"/>
  <c r="AS530" i="26"/>
  <c r="AS529" i="26"/>
  <c r="AS528" i="26"/>
  <c r="AS527" i="26"/>
  <c r="AS526" i="26"/>
  <c r="AS525" i="26"/>
  <c r="AS524" i="26"/>
  <c r="AS523" i="26"/>
  <c r="AS522" i="26"/>
  <c r="AS521" i="26"/>
  <c r="AS520" i="26"/>
  <c r="AS519" i="26"/>
  <c r="AS518" i="26"/>
  <c r="AS517" i="26"/>
  <c r="AS516" i="26"/>
  <c r="AS515" i="26"/>
  <c r="AS514" i="26"/>
  <c r="AS513" i="26"/>
  <c r="AS512" i="26"/>
  <c r="AS511" i="26"/>
  <c r="AS510" i="26"/>
  <c r="AS509" i="26"/>
  <c r="AS508" i="26"/>
  <c r="AS507" i="26"/>
  <c r="AS506" i="26"/>
  <c r="AS505" i="26"/>
  <c r="AS504" i="26"/>
  <c r="AS503" i="26"/>
  <c r="AS502" i="26"/>
  <c r="AS501" i="26"/>
  <c r="AS500" i="26"/>
  <c r="AS499" i="26"/>
  <c r="AS498" i="26"/>
  <c r="AS497" i="26"/>
  <c r="AS496" i="26"/>
  <c r="AS495" i="26"/>
  <c r="AS494" i="26"/>
  <c r="AS493" i="26"/>
  <c r="AS492" i="26"/>
  <c r="AS491" i="26"/>
  <c r="AS490" i="26"/>
  <c r="AS489" i="26"/>
  <c r="AS488" i="26"/>
  <c r="AS487" i="26"/>
  <c r="AS486" i="26"/>
  <c r="AS485" i="26"/>
  <c r="AS484" i="26"/>
  <c r="AS483" i="26"/>
  <c r="AS482" i="26"/>
  <c r="AS481" i="26"/>
  <c r="AS480" i="26"/>
  <c r="AS479" i="26"/>
  <c r="AS478" i="26"/>
  <c r="AS477" i="26"/>
  <c r="AS476" i="26"/>
  <c r="AS475" i="26"/>
  <c r="AS474" i="26"/>
  <c r="AS473" i="26"/>
  <c r="AS472" i="26"/>
  <c r="AS471" i="26"/>
  <c r="AS470" i="26"/>
  <c r="AS469" i="26"/>
  <c r="AS468" i="26"/>
  <c r="AS467" i="26"/>
  <c r="AS466" i="26"/>
  <c r="AS465" i="26"/>
  <c r="AS464" i="26"/>
  <c r="AS463" i="26"/>
  <c r="AS462" i="26"/>
  <c r="AS461" i="26"/>
  <c r="AS460" i="26"/>
  <c r="AS459" i="26"/>
  <c r="AS458" i="26"/>
  <c r="AS457" i="26"/>
  <c r="AS456" i="26"/>
  <c r="AS455" i="26"/>
  <c r="AS454" i="26"/>
  <c r="AS453" i="26"/>
  <c r="AS452" i="26"/>
  <c r="AS451" i="26"/>
  <c r="AS450" i="26"/>
  <c r="AS449" i="26"/>
  <c r="AS448" i="26"/>
  <c r="AS447" i="26"/>
  <c r="AS446" i="26"/>
  <c r="AS445" i="26"/>
  <c r="AS444" i="26"/>
  <c r="AS443" i="26"/>
  <c r="AS442" i="26"/>
  <c r="AS441" i="26"/>
  <c r="AS440" i="26"/>
  <c r="AS439" i="26"/>
  <c r="AS438" i="26"/>
  <c r="AS437" i="26"/>
  <c r="AS436" i="26"/>
  <c r="AS435" i="26"/>
  <c r="AS434" i="26"/>
  <c r="AS433" i="26"/>
  <c r="AS432" i="26"/>
  <c r="AS431" i="26"/>
  <c r="AS430" i="26"/>
  <c r="AS429" i="26"/>
  <c r="AS428" i="26"/>
  <c r="AS427" i="26"/>
  <c r="AS426" i="26"/>
  <c r="AS425" i="26"/>
  <c r="AS424" i="26"/>
  <c r="AS423" i="26"/>
  <c r="AS422" i="26"/>
  <c r="AS421" i="26"/>
  <c r="AS420" i="26"/>
  <c r="AS419" i="26"/>
  <c r="AS418" i="26"/>
  <c r="AS417" i="26"/>
  <c r="AS416" i="26"/>
  <c r="AS415" i="26"/>
  <c r="AS414" i="26"/>
  <c r="AS413" i="26"/>
  <c r="AS412" i="26"/>
  <c r="AS411" i="26"/>
  <c r="AS410" i="26"/>
  <c r="AS409" i="26"/>
  <c r="AS408" i="26"/>
  <c r="AS407" i="26"/>
  <c r="AS406" i="26"/>
  <c r="AS405" i="26"/>
  <c r="AS404" i="26"/>
  <c r="AS403" i="26"/>
  <c r="AS402" i="26"/>
  <c r="AS401" i="26"/>
  <c r="AS400" i="26"/>
  <c r="AS399" i="26"/>
  <c r="AS398" i="26"/>
  <c r="AS397" i="26"/>
  <c r="AS396" i="26"/>
  <c r="AS395" i="26"/>
  <c r="AS394" i="26"/>
  <c r="AS393" i="26"/>
  <c r="AS392" i="26"/>
  <c r="AS391" i="26"/>
  <c r="AS390" i="26"/>
  <c r="AS389" i="26"/>
  <c r="AS388" i="26"/>
  <c r="AS387" i="26"/>
  <c r="AS386" i="26"/>
  <c r="AS385" i="26"/>
  <c r="AS384" i="26"/>
  <c r="AS383" i="26"/>
  <c r="AS382" i="26"/>
  <c r="AS381" i="26"/>
  <c r="AS380" i="26"/>
  <c r="AS379" i="26"/>
  <c r="AS378" i="26"/>
  <c r="AS377" i="26"/>
  <c r="AS376" i="26"/>
  <c r="AS375" i="26"/>
  <c r="AS374" i="26"/>
  <c r="AS373" i="26"/>
  <c r="AS372" i="26"/>
  <c r="AS371" i="26"/>
  <c r="AS370" i="26"/>
  <c r="AS369" i="26"/>
  <c r="AS368" i="26"/>
  <c r="AS367" i="26"/>
  <c r="AS366" i="26"/>
  <c r="AS365" i="26"/>
  <c r="AS364" i="26"/>
  <c r="AS363" i="26"/>
  <c r="AS362" i="26"/>
  <c r="AS361" i="26"/>
  <c r="AS360" i="26"/>
  <c r="AS359" i="26"/>
  <c r="AS358" i="26"/>
  <c r="AS357" i="26"/>
  <c r="AS356" i="26"/>
  <c r="AS355" i="26"/>
  <c r="AS354" i="26"/>
  <c r="AS353" i="26"/>
  <c r="AS352" i="26"/>
  <c r="AS351" i="26"/>
  <c r="AS350" i="26"/>
  <c r="AS349" i="26"/>
  <c r="AS348" i="26"/>
  <c r="AS347" i="26"/>
  <c r="AS346" i="26"/>
  <c r="AS345" i="26"/>
  <c r="AS344" i="26"/>
  <c r="AS343" i="26"/>
  <c r="AS342" i="26"/>
  <c r="AS341" i="26"/>
  <c r="AS340" i="26"/>
  <c r="AS339" i="26"/>
  <c r="AS338" i="26"/>
  <c r="AS337" i="26"/>
  <c r="AS336" i="26"/>
  <c r="AS335" i="26"/>
  <c r="AS334" i="26"/>
  <c r="AS333" i="26"/>
  <c r="AS332" i="26"/>
  <c r="AS331" i="26"/>
  <c r="AS330" i="26"/>
  <c r="AS329" i="26"/>
  <c r="AS328" i="26"/>
  <c r="AS327" i="26"/>
  <c r="AS326" i="26"/>
  <c r="AS325" i="26"/>
  <c r="AS324" i="26"/>
  <c r="AS323" i="26"/>
  <c r="AS322" i="26"/>
  <c r="AS321" i="26"/>
  <c r="AS320" i="26"/>
  <c r="AS319" i="26"/>
  <c r="AS318" i="26"/>
  <c r="AS317" i="26"/>
  <c r="AS316" i="26"/>
  <c r="AS315" i="26"/>
  <c r="AS314" i="26"/>
  <c r="AS313" i="26"/>
  <c r="AS312" i="26"/>
  <c r="AS311" i="26"/>
  <c r="AS310" i="26"/>
  <c r="AS309" i="26"/>
  <c r="AS308" i="26"/>
  <c r="AS307" i="26"/>
  <c r="AS306" i="26"/>
  <c r="AS305" i="26"/>
  <c r="AS304" i="26"/>
  <c r="AS303" i="26"/>
  <c r="AS302" i="26"/>
  <c r="AS301" i="26"/>
  <c r="AS300" i="26"/>
  <c r="AS299" i="26"/>
  <c r="AS298" i="26"/>
  <c r="AS297" i="26"/>
  <c r="AS296" i="26"/>
  <c r="AS295" i="26"/>
  <c r="AS294" i="26"/>
  <c r="AS293" i="26"/>
  <c r="AS292" i="26"/>
  <c r="AS291" i="26"/>
  <c r="AS290" i="26"/>
  <c r="AS289" i="26"/>
  <c r="AS288" i="26"/>
  <c r="AS287" i="26"/>
  <c r="AS286" i="26"/>
  <c r="AS285" i="26"/>
  <c r="AS284" i="26"/>
  <c r="AS283" i="26"/>
  <c r="AS282" i="26"/>
  <c r="AS281" i="26"/>
  <c r="AS280" i="26"/>
  <c r="AS279" i="26"/>
  <c r="AS278" i="26"/>
  <c r="AS277" i="26"/>
  <c r="AS276" i="26"/>
  <c r="AS275" i="26"/>
  <c r="AS274" i="26"/>
  <c r="AS273" i="26"/>
  <c r="AS272" i="26"/>
  <c r="AS271" i="26"/>
  <c r="AS270" i="26"/>
  <c r="AS269" i="26"/>
  <c r="AS268" i="26"/>
  <c r="AS267" i="26"/>
  <c r="AS266" i="26"/>
  <c r="AS265" i="26"/>
  <c r="AS264" i="26"/>
  <c r="AS263" i="26"/>
  <c r="AS262" i="26"/>
  <c r="AS261" i="26"/>
  <c r="AS260" i="26"/>
  <c r="AS259" i="26"/>
  <c r="AS258" i="26"/>
  <c r="AS257" i="26"/>
  <c r="AS256" i="26"/>
  <c r="AS255" i="26"/>
  <c r="AS254" i="26"/>
  <c r="AS253" i="26"/>
  <c r="AS252" i="26"/>
  <c r="AS251" i="26"/>
  <c r="AS250" i="26"/>
  <c r="AS249" i="26"/>
  <c r="AS248" i="26"/>
  <c r="AS247" i="26"/>
  <c r="AS246" i="26"/>
  <c r="AS245" i="26"/>
  <c r="AS244" i="26"/>
  <c r="AS243" i="26"/>
  <c r="AS242" i="26"/>
  <c r="AS241" i="26"/>
  <c r="AS240" i="26"/>
  <c r="AS239" i="26"/>
  <c r="AS238" i="26"/>
  <c r="AS237" i="26"/>
  <c r="AS236" i="26"/>
  <c r="AS235" i="26"/>
  <c r="AS234" i="26"/>
  <c r="AS233" i="26"/>
  <c r="AS232" i="26"/>
  <c r="AS231" i="26"/>
  <c r="AS230" i="26"/>
  <c r="AS229" i="26"/>
  <c r="AS228" i="26"/>
  <c r="AS227" i="26"/>
  <c r="AS226" i="26"/>
  <c r="AS225" i="26"/>
  <c r="AS224" i="26"/>
  <c r="AS223" i="26"/>
  <c r="AS222" i="26"/>
  <c r="AS221" i="26"/>
  <c r="AS220" i="26"/>
  <c r="AS219" i="26"/>
  <c r="AS218" i="26"/>
  <c r="AS217" i="26"/>
  <c r="AS216" i="26"/>
  <c r="AS215" i="26"/>
  <c r="AS214" i="26"/>
  <c r="AS213" i="26"/>
  <c r="AS212" i="26"/>
  <c r="AS211" i="26"/>
  <c r="AS210" i="26"/>
  <c r="AS209" i="26"/>
  <c r="AS208" i="26"/>
  <c r="AS207" i="26"/>
  <c r="AS206" i="26"/>
  <c r="AS205" i="26"/>
  <c r="AS204" i="26"/>
  <c r="AS203" i="26"/>
  <c r="AS202" i="26"/>
  <c r="AS201" i="26"/>
  <c r="AS200" i="26"/>
  <c r="AS199" i="26"/>
  <c r="AS198" i="26"/>
  <c r="AS197" i="26"/>
  <c r="AS196" i="26"/>
  <c r="AS195" i="26"/>
  <c r="AS194" i="26"/>
  <c r="AS193" i="26"/>
  <c r="AS192" i="26"/>
  <c r="AS191" i="26"/>
  <c r="AS190" i="26"/>
  <c r="AS189" i="26"/>
  <c r="AS188" i="26"/>
  <c r="AS187" i="26"/>
  <c r="AS186" i="26"/>
  <c r="AS185" i="26"/>
  <c r="AS184" i="26"/>
  <c r="AS183" i="26"/>
  <c r="AS182" i="26"/>
  <c r="AS181" i="26"/>
  <c r="AS180" i="26"/>
  <c r="AS179" i="26"/>
  <c r="AS178" i="26"/>
  <c r="AS177" i="26"/>
  <c r="AS176" i="26"/>
  <c r="AS175" i="26"/>
  <c r="AS174" i="26"/>
  <c r="AS173" i="26"/>
  <c r="AS172" i="26"/>
  <c r="AS171" i="26"/>
  <c r="AS170" i="26"/>
  <c r="AS169" i="26"/>
  <c r="AS168" i="26"/>
  <c r="AS167" i="26"/>
  <c r="AS166" i="26"/>
  <c r="AS165" i="26"/>
  <c r="AS164" i="26"/>
  <c r="AS163" i="26"/>
  <c r="AS162" i="26"/>
  <c r="AS161" i="26"/>
  <c r="AS160" i="26"/>
  <c r="AS159" i="26"/>
  <c r="AS158" i="26"/>
  <c r="AS157" i="26"/>
  <c r="AS156" i="26"/>
  <c r="AS155" i="26"/>
  <c r="AS154" i="26"/>
  <c r="AS153" i="26"/>
  <c r="AS152" i="26"/>
  <c r="AS151" i="26"/>
  <c r="AS150" i="26"/>
  <c r="AS149" i="26"/>
  <c r="AS148" i="26"/>
  <c r="AS147" i="26"/>
  <c r="AS146" i="26"/>
  <c r="AS145" i="26"/>
  <c r="AS144" i="26"/>
  <c r="AS143" i="26"/>
  <c r="AS142" i="26"/>
  <c r="AS141" i="26"/>
  <c r="AS140" i="26"/>
  <c r="AS139" i="26"/>
  <c r="AS138" i="26"/>
  <c r="AS137" i="26"/>
  <c r="AS136" i="26"/>
  <c r="AS135" i="26"/>
  <c r="AS134" i="26"/>
  <c r="AS133" i="26"/>
  <c r="AS132" i="26"/>
  <c r="AS131" i="26"/>
  <c r="AS130" i="26"/>
  <c r="AS129" i="26"/>
  <c r="AS128" i="26"/>
  <c r="AS127" i="26"/>
  <c r="AS126" i="26"/>
  <c r="AS125" i="26"/>
  <c r="AS124" i="26"/>
  <c r="AS123" i="26"/>
  <c r="AS122" i="26"/>
  <c r="AS121" i="26"/>
  <c r="AS120" i="26"/>
  <c r="AS119" i="26"/>
  <c r="AS118" i="26"/>
  <c r="AS117" i="26"/>
  <c r="AS116" i="26"/>
  <c r="AS115" i="26"/>
  <c r="AS114" i="26"/>
  <c r="AS113" i="26"/>
  <c r="AS112" i="26"/>
  <c r="AS111" i="26"/>
  <c r="AS110" i="26"/>
  <c r="AS109" i="26"/>
  <c r="AS108" i="26"/>
  <c r="AS107" i="26"/>
  <c r="AS106" i="26"/>
  <c r="AS105" i="26"/>
  <c r="AS104" i="26"/>
  <c r="AS103" i="26"/>
  <c r="AS102" i="26"/>
  <c r="AS101" i="26"/>
  <c r="AS100" i="26"/>
  <c r="AS99" i="26"/>
  <c r="AS98" i="26"/>
  <c r="AS97" i="26"/>
  <c r="AS96" i="26"/>
  <c r="AS95" i="26"/>
  <c r="AS94" i="26"/>
  <c r="AS93" i="26"/>
  <c r="AS92" i="26"/>
  <c r="AS91" i="26"/>
  <c r="AS90" i="26"/>
  <c r="AS89" i="26"/>
  <c r="AS88" i="26"/>
  <c r="AS87" i="26"/>
  <c r="AS86" i="26"/>
  <c r="AS85" i="26"/>
  <c r="AS84" i="26"/>
  <c r="AS83" i="26"/>
  <c r="AS82" i="26"/>
  <c r="AS81" i="26"/>
  <c r="AS80" i="26"/>
  <c r="AS79" i="26"/>
  <c r="AS78" i="26"/>
  <c r="AS77" i="26"/>
  <c r="AS76" i="26"/>
  <c r="AS75" i="26"/>
  <c r="AS74" i="26"/>
  <c r="AS73" i="26"/>
  <c r="AS72" i="26"/>
  <c r="AS71" i="26"/>
  <c r="AS70" i="26"/>
  <c r="AS69" i="26"/>
  <c r="AS68" i="26"/>
  <c r="AS67" i="26"/>
  <c r="AS66" i="26"/>
  <c r="AS65" i="26"/>
  <c r="AS64" i="26"/>
  <c r="AS63" i="26"/>
  <c r="AS62" i="26"/>
  <c r="AS61" i="26"/>
  <c r="AS60" i="26"/>
  <c r="AS59" i="26"/>
  <c r="AS58" i="26"/>
  <c r="AS57" i="26"/>
  <c r="AS56" i="26"/>
  <c r="AS55" i="26"/>
  <c r="AS54" i="26"/>
  <c r="AS53" i="26"/>
  <c r="AS52" i="26"/>
  <c r="AS51" i="26"/>
  <c r="AS50" i="26"/>
  <c r="AS49" i="26"/>
  <c r="AS48" i="26"/>
  <c r="AS47" i="26"/>
  <c r="AS46" i="26"/>
  <c r="AS45" i="26"/>
  <c r="AS44" i="26"/>
  <c r="AS43" i="26"/>
  <c r="AS42" i="26"/>
  <c r="AS41" i="26"/>
  <c r="AS40" i="26"/>
  <c r="AS39" i="26"/>
  <c r="AS38" i="26"/>
  <c r="AS37" i="26"/>
  <c r="AS36" i="26"/>
  <c r="AS35" i="26"/>
  <c r="AS34" i="26"/>
  <c r="AS33" i="26"/>
  <c r="AS32" i="26"/>
  <c r="AS31" i="26"/>
  <c r="AS30" i="26"/>
  <c r="AS29" i="26"/>
  <c r="AS28" i="26"/>
  <c r="AS27" i="26"/>
  <c r="AS26" i="26"/>
  <c r="AS25" i="26"/>
  <c r="AS24" i="26"/>
  <c r="AS23" i="26"/>
  <c r="AS22" i="26"/>
  <c r="AS21" i="26"/>
  <c r="AS20" i="26"/>
  <c r="AS19" i="26"/>
  <c r="AS18" i="26"/>
  <c r="AS17" i="26"/>
  <c r="AS16" i="26"/>
  <c r="AS15" i="26"/>
  <c r="AS14" i="26"/>
  <c r="AS13" i="26"/>
  <c r="AS12" i="26"/>
  <c r="AS11" i="26"/>
  <c r="AS10" i="26"/>
  <c r="AS9" i="26"/>
  <c r="AS8" i="26"/>
  <c r="AS7" i="26"/>
  <c r="AS6" i="26"/>
  <c r="AS5" i="26"/>
  <c r="AS4" i="26"/>
  <c r="AS3" i="26"/>
  <c r="AJ558" i="26"/>
  <c r="AJ557" i="26"/>
  <c r="AJ556" i="26"/>
  <c r="AJ555" i="26"/>
  <c r="AJ554" i="26"/>
  <c r="AJ553" i="26"/>
  <c r="AJ552" i="26"/>
  <c r="AJ551" i="26"/>
  <c r="AJ550" i="26"/>
  <c r="AJ549" i="26"/>
  <c r="AJ548" i="26"/>
  <c r="AJ547" i="26"/>
  <c r="AJ546" i="26"/>
  <c r="AJ545" i="26"/>
  <c r="AJ544" i="26"/>
  <c r="AJ543" i="26"/>
  <c r="AJ542" i="26"/>
  <c r="AJ541" i="26"/>
  <c r="AJ540" i="26"/>
  <c r="AJ539" i="26"/>
  <c r="AJ538" i="26"/>
  <c r="AJ537" i="26"/>
  <c r="AJ536" i="26"/>
  <c r="AJ535" i="26"/>
  <c r="AJ534" i="26"/>
  <c r="AJ533" i="26"/>
  <c r="AJ532" i="26"/>
  <c r="AJ531" i="26"/>
  <c r="AJ530" i="26"/>
  <c r="AJ529" i="26"/>
  <c r="AJ528" i="26"/>
  <c r="AJ527" i="26"/>
  <c r="AJ526" i="26"/>
  <c r="AJ525" i="26"/>
  <c r="AJ524" i="26"/>
  <c r="AJ523" i="26"/>
  <c r="AJ522" i="26"/>
  <c r="AJ521" i="26"/>
  <c r="AJ520" i="26"/>
  <c r="AJ519" i="26"/>
  <c r="AJ518" i="26"/>
  <c r="AJ517" i="26"/>
  <c r="AJ516" i="26"/>
  <c r="AJ515" i="26"/>
  <c r="AJ514" i="26"/>
  <c r="AJ513" i="26"/>
  <c r="AJ512" i="26"/>
  <c r="AJ511" i="26"/>
  <c r="AJ510" i="26"/>
  <c r="AJ509" i="26"/>
  <c r="AJ508" i="26"/>
  <c r="AJ507" i="26"/>
  <c r="AJ506" i="26"/>
  <c r="AJ505" i="26"/>
  <c r="AJ504" i="26"/>
  <c r="AJ503" i="26"/>
  <c r="AJ502" i="26"/>
  <c r="AJ501" i="26"/>
  <c r="AJ500" i="26"/>
  <c r="AJ499" i="26"/>
  <c r="AJ498" i="26"/>
  <c r="AJ497" i="26"/>
  <c r="AJ496" i="26"/>
  <c r="AJ495" i="26"/>
  <c r="AJ494" i="26"/>
  <c r="AJ493" i="26"/>
  <c r="AJ492" i="26"/>
  <c r="AJ491" i="26"/>
  <c r="AJ490" i="26"/>
  <c r="AJ489" i="26"/>
  <c r="AJ488" i="26"/>
  <c r="AJ487" i="26"/>
  <c r="AJ486" i="26"/>
  <c r="AJ485" i="26"/>
  <c r="AJ484" i="26"/>
  <c r="AJ483" i="26"/>
  <c r="AJ482" i="26"/>
  <c r="AJ481" i="26"/>
  <c r="AJ480" i="26"/>
  <c r="AJ479" i="26"/>
  <c r="AJ478" i="26"/>
  <c r="AJ477" i="26"/>
  <c r="AJ476" i="26"/>
  <c r="AJ475" i="26"/>
  <c r="AJ474" i="26"/>
  <c r="AJ473" i="26"/>
  <c r="AJ472" i="26"/>
  <c r="AJ471" i="26"/>
  <c r="AJ470" i="26"/>
  <c r="AJ469" i="26"/>
  <c r="AJ468" i="26"/>
  <c r="AJ467" i="26"/>
  <c r="AJ466" i="26"/>
  <c r="AJ465" i="26"/>
  <c r="AJ464" i="26"/>
  <c r="AJ463" i="26"/>
  <c r="AJ462" i="26"/>
  <c r="AJ461" i="26"/>
  <c r="AJ460" i="26"/>
  <c r="AJ459" i="26"/>
  <c r="AJ458" i="26"/>
  <c r="AJ457" i="26"/>
  <c r="AJ456" i="26"/>
  <c r="AJ455" i="26"/>
  <c r="AJ454" i="26"/>
  <c r="AJ453" i="26"/>
  <c r="AJ452" i="26"/>
  <c r="AJ451" i="26"/>
  <c r="AJ450" i="26"/>
  <c r="AJ449" i="26"/>
  <c r="AJ448" i="26"/>
  <c r="AJ447" i="26"/>
  <c r="AJ446" i="26"/>
  <c r="AJ445" i="26"/>
  <c r="AJ444" i="26"/>
  <c r="AJ443" i="26"/>
  <c r="AJ442" i="26"/>
  <c r="AJ441" i="26"/>
  <c r="AJ440" i="26"/>
  <c r="AJ439" i="26"/>
  <c r="AJ438" i="26"/>
  <c r="AJ437" i="26"/>
  <c r="AJ436" i="26"/>
  <c r="AJ435" i="26"/>
  <c r="AJ434" i="26"/>
  <c r="AJ433" i="26"/>
  <c r="AJ432" i="26"/>
  <c r="AJ431" i="26"/>
  <c r="AJ430" i="26"/>
  <c r="AJ429" i="26"/>
  <c r="AJ428" i="26"/>
  <c r="AJ427" i="26"/>
  <c r="AJ426" i="26"/>
  <c r="AJ425" i="26"/>
  <c r="AJ424" i="26"/>
  <c r="AJ423" i="26"/>
  <c r="AJ422" i="26"/>
  <c r="AJ421" i="26"/>
  <c r="AJ420" i="26"/>
  <c r="AJ419" i="26"/>
  <c r="AJ418" i="26"/>
  <c r="AJ417" i="26"/>
  <c r="AJ416" i="26"/>
  <c r="AJ415" i="26"/>
  <c r="AJ414" i="26"/>
  <c r="AJ413" i="26"/>
  <c r="AJ412" i="26"/>
  <c r="AJ411" i="26"/>
  <c r="AJ410" i="26"/>
  <c r="AJ409" i="26"/>
  <c r="AJ408" i="26"/>
  <c r="AJ407" i="26"/>
  <c r="AJ406" i="26"/>
  <c r="AJ405" i="26"/>
  <c r="AJ404" i="26"/>
  <c r="AJ403" i="26"/>
  <c r="AJ402" i="26"/>
  <c r="AJ401" i="26"/>
  <c r="AJ400" i="26"/>
  <c r="AJ399" i="26"/>
  <c r="AJ398" i="26"/>
  <c r="AJ397" i="26"/>
  <c r="AJ396" i="26"/>
  <c r="AJ395" i="26"/>
  <c r="AJ394" i="26"/>
  <c r="AJ393" i="26"/>
  <c r="AJ392" i="26"/>
  <c r="AJ391" i="26"/>
  <c r="AJ390" i="26"/>
  <c r="AJ389" i="26"/>
  <c r="AJ388" i="26"/>
  <c r="AJ387" i="26"/>
  <c r="AJ386" i="26"/>
  <c r="AJ385" i="26"/>
  <c r="AJ384" i="26"/>
  <c r="AJ383" i="26"/>
  <c r="AJ382" i="26"/>
  <c r="AJ381" i="26"/>
  <c r="AJ380" i="26"/>
  <c r="AJ379" i="26"/>
  <c r="AJ378" i="26"/>
  <c r="AJ377" i="26"/>
  <c r="AJ376" i="26"/>
  <c r="AJ375" i="26"/>
  <c r="AJ374" i="26"/>
  <c r="AJ373" i="26"/>
  <c r="AJ372" i="26"/>
  <c r="AJ371" i="26"/>
  <c r="AJ370" i="26"/>
  <c r="AJ369" i="26"/>
  <c r="AJ368" i="26"/>
  <c r="AJ367" i="26"/>
  <c r="AJ366" i="26"/>
  <c r="AJ365" i="26"/>
  <c r="AJ364" i="26"/>
  <c r="AJ363" i="26"/>
  <c r="AJ362" i="26"/>
  <c r="AJ361" i="26"/>
  <c r="AJ360" i="26"/>
  <c r="AJ359" i="26"/>
  <c r="AJ358" i="26"/>
  <c r="AJ357" i="26"/>
  <c r="AJ356" i="26"/>
  <c r="AJ355" i="26"/>
  <c r="AJ354" i="26"/>
  <c r="AJ353" i="26"/>
  <c r="AJ352" i="26"/>
  <c r="AJ351" i="26"/>
  <c r="AJ350" i="26"/>
  <c r="AJ349" i="26"/>
  <c r="AJ348" i="26"/>
  <c r="AJ347" i="26"/>
  <c r="AJ346" i="26"/>
  <c r="AJ345" i="26"/>
  <c r="AJ344" i="26"/>
  <c r="AJ343" i="26"/>
  <c r="AJ342" i="26"/>
  <c r="AJ341" i="26"/>
  <c r="AJ340" i="26"/>
  <c r="AJ339" i="26"/>
  <c r="AJ338" i="26"/>
  <c r="AJ337" i="26"/>
  <c r="AJ336" i="26"/>
  <c r="AJ335" i="26"/>
  <c r="AJ334" i="26"/>
  <c r="AJ333" i="26"/>
  <c r="AJ332" i="26"/>
  <c r="AJ331" i="26"/>
  <c r="AJ330" i="26"/>
  <c r="AJ329" i="26"/>
  <c r="AJ328" i="26"/>
  <c r="AJ327" i="26"/>
  <c r="AJ326" i="26"/>
  <c r="AJ325" i="26"/>
  <c r="AJ324" i="26"/>
  <c r="AJ323" i="26"/>
  <c r="AJ322" i="26"/>
  <c r="AJ321" i="26"/>
  <c r="AJ320" i="26"/>
  <c r="AJ319" i="26"/>
  <c r="AJ318" i="26"/>
  <c r="AJ317" i="26"/>
  <c r="AJ316" i="26"/>
  <c r="AJ315" i="26"/>
  <c r="AJ314" i="26"/>
  <c r="AJ313" i="26"/>
  <c r="AJ312" i="26"/>
  <c r="AJ311" i="26"/>
  <c r="AJ310" i="26"/>
  <c r="AJ309" i="26"/>
  <c r="AJ308" i="26"/>
  <c r="AJ307" i="26"/>
  <c r="AJ306" i="26"/>
  <c r="AJ305" i="26"/>
  <c r="AJ304" i="26"/>
  <c r="AJ303" i="26"/>
  <c r="AJ302" i="26"/>
  <c r="AJ301" i="26"/>
  <c r="AJ300" i="26"/>
  <c r="AJ299" i="26"/>
  <c r="AJ298" i="26"/>
  <c r="AJ297" i="26"/>
  <c r="AJ296" i="26"/>
  <c r="AJ295" i="26"/>
  <c r="AJ294" i="26"/>
  <c r="AJ293" i="26"/>
  <c r="AJ292" i="26"/>
  <c r="AJ291" i="26"/>
  <c r="AJ290" i="26"/>
  <c r="AJ289" i="26"/>
  <c r="AJ288" i="26"/>
  <c r="AJ287" i="26"/>
  <c r="AJ286" i="26"/>
  <c r="AJ285" i="26"/>
  <c r="AJ284" i="26"/>
  <c r="AJ283" i="26"/>
  <c r="AJ282" i="26"/>
  <c r="AJ281" i="26"/>
  <c r="AJ280" i="26"/>
  <c r="AJ279" i="26"/>
  <c r="AJ278" i="26"/>
  <c r="AJ277" i="26"/>
  <c r="AJ276" i="26"/>
  <c r="AJ275" i="26"/>
  <c r="AJ274" i="26"/>
  <c r="AJ273" i="26"/>
  <c r="AJ272" i="26"/>
  <c r="AJ271" i="26"/>
  <c r="AJ270" i="26"/>
  <c r="AJ269" i="26"/>
  <c r="AJ268" i="26"/>
  <c r="AJ267" i="26"/>
  <c r="AJ266" i="26"/>
  <c r="AJ265" i="26"/>
  <c r="AJ264" i="26"/>
  <c r="AJ263" i="26"/>
  <c r="AJ262" i="26"/>
  <c r="AJ261" i="26"/>
  <c r="AJ260" i="26"/>
  <c r="AJ259" i="26"/>
  <c r="AJ258" i="26"/>
  <c r="AJ257" i="26"/>
  <c r="AJ256" i="26"/>
  <c r="AJ255" i="26"/>
  <c r="AJ254" i="26"/>
  <c r="AJ253" i="26"/>
  <c r="AJ252" i="26"/>
  <c r="AJ251" i="26"/>
  <c r="AJ250" i="26"/>
  <c r="AJ249" i="26"/>
  <c r="AJ248" i="26"/>
  <c r="AJ247" i="26"/>
  <c r="AJ246" i="26"/>
  <c r="AJ245" i="26"/>
  <c r="AJ244" i="26"/>
  <c r="AJ243" i="26"/>
  <c r="AJ242" i="26"/>
  <c r="AJ241" i="26"/>
  <c r="AJ240" i="26"/>
  <c r="AJ239" i="26"/>
  <c r="AJ238" i="26"/>
  <c r="AJ237" i="26"/>
  <c r="AJ236" i="26"/>
  <c r="AJ235" i="26"/>
  <c r="AJ234" i="26"/>
  <c r="AJ233" i="26"/>
  <c r="AJ232" i="26"/>
  <c r="AJ231" i="26"/>
  <c r="AJ230" i="26"/>
  <c r="AJ229" i="26"/>
  <c r="AJ228" i="26"/>
  <c r="AJ227" i="26"/>
  <c r="AJ226" i="26"/>
  <c r="AJ225" i="26"/>
  <c r="AJ224" i="26"/>
  <c r="AJ223" i="26"/>
  <c r="AJ222" i="26"/>
  <c r="AJ221" i="26"/>
  <c r="AJ220" i="26"/>
  <c r="AJ219" i="26"/>
  <c r="AJ218" i="26"/>
  <c r="AJ217" i="26"/>
  <c r="AJ216" i="26"/>
  <c r="AJ215" i="26"/>
  <c r="AJ214" i="26"/>
  <c r="AJ213" i="26"/>
  <c r="AJ212" i="26"/>
  <c r="AJ211" i="26"/>
  <c r="AJ210" i="26"/>
  <c r="AJ209" i="26"/>
  <c r="AJ208" i="26"/>
  <c r="AJ207" i="26"/>
  <c r="AJ206" i="26"/>
  <c r="AJ205" i="26"/>
  <c r="AJ204" i="26"/>
  <c r="AJ203" i="26"/>
  <c r="AJ202" i="26"/>
  <c r="AJ201" i="26"/>
  <c r="AJ200" i="26"/>
  <c r="AJ199" i="26"/>
  <c r="AJ198" i="26"/>
  <c r="AJ197" i="26"/>
  <c r="AJ196" i="26"/>
  <c r="AJ195" i="26"/>
  <c r="AJ194" i="26"/>
  <c r="AJ193" i="26"/>
  <c r="AJ192" i="26"/>
  <c r="AJ191" i="26"/>
  <c r="AJ190" i="26"/>
  <c r="AJ189" i="26"/>
  <c r="AJ188" i="26"/>
  <c r="AJ187" i="26"/>
  <c r="AJ186" i="26"/>
  <c r="AJ185" i="26"/>
  <c r="AJ184" i="26"/>
  <c r="AJ183" i="26"/>
  <c r="AJ182" i="26"/>
  <c r="AJ181" i="26"/>
  <c r="AJ180" i="26"/>
  <c r="AJ179" i="26"/>
  <c r="AJ178" i="26"/>
  <c r="AJ177" i="26"/>
  <c r="AJ176" i="26"/>
  <c r="AJ175" i="26"/>
  <c r="AJ174" i="26"/>
  <c r="AJ173" i="26"/>
  <c r="AJ172" i="26"/>
  <c r="AJ171" i="26"/>
  <c r="AJ170" i="26"/>
  <c r="AJ169" i="26"/>
  <c r="AJ168" i="26"/>
  <c r="AJ167" i="26"/>
  <c r="AJ166" i="26"/>
  <c r="AJ165" i="26"/>
  <c r="AJ164" i="26"/>
  <c r="AJ163" i="26"/>
  <c r="AJ162" i="26"/>
  <c r="AJ161" i="26"/>
  <c r="AJ160" i="26"/>
  <c r="AJ159" i="26"/>
  <c r="AJ158" i="26"/>
  <c r="AJ157" i="26"/>
  <c r="AJ156" i="26"/>
  <c r="AJ155" i="26"/>
  <c r="AJ154" i="26"/>
  <c r="AJ153" i="26"/>
  <c r="AJ152" i="26"/>
  <c r="AJ151" i="26"/>
  <c r="AJ150" i="26"/>
  <c r="AJ149" i="26"/>
  <c r="AJ148" i="26"/>
  <c r="AJ147" i="26"/>
  <c r="AJ146" i="26"/>
  <c r="AJ145" i="26"/>
  <c r="AJ144" i="26"/>
  <c r="AJ143" i="26"/>
  <c r="AJ142" i="26"/>
  <c r="AJ141" i="26"/>
  <c r="AJ140" i="26"/>
  <c r="AJ139" i="26"/>
  <c r="AJ138" i="26"/>
  <c r="AJ137" i="26"/>
  <c r="AJ136" i="26"/>
  <c r="AJ135" i="26"/>
  <c r="AJ134" i="26"/>
  <c r="AJ133" i="26"/>
  <c r="AJ132" i="26"/>
  <c r="AJ131" i="26"/>
  <c r="AJ130" i="26"/>
  <c r="AJ129" i="26"/>
  <c r="AJ128" i="26"/>
  <c r="AJ127" i="26"/>
  <c r="AJ126" i="26"/>
  <c r="AJ125" i="26"/>
  <c r="AJ124" i="26"/>
  <c r="AJ123" i="26"/>
  <c r="AJ122" i="26"/>
  <c r="AJ121" i="26"/>
  <c r="AJ120" i="26"/>
  <c r="AJ119" i="26"/>
  <c r="AJ118" i="26"/>
  <c r="AJ117" i="26"/>
  <c r="AJ116" i="26"/>
  <c r="AJ115" i="26"/>
  <c r="AJ114" i="26"/>
  <c r="AJ113" i="26"/>
  <c r="AJ112" i="26"/>
  <c r="AJ111" i="26"/>
  <c r="AJ110" i="26"/>
  <c r="AJ109" i="26"/>
  <c r="AJ108" i="26"/>
  <c r="AJ107" i="26"/>
  <c r="AJ106" i="26"/>
  <c r="AJ105" i="26"/>
  <c r="AJ104" i="26"/>
  <c r="AJ103" i="26"/>
  <c r="AJ102" i="26"/>
  <c r="AJ101" i="26"/>
  <c r="AJ100" i="26"/>
  <c r="AJ99" i="26"/>
  <c r="AJ98" i="26"/>
  <c r="AJ97" i="26"/>
  <c r="AJ96" i="26"/>
  <c r="AJ95" i="26"/>
  <c r="AJ94" i="26"/>
  <c r="AJ93" i="26"/>
  <c r="AJ92" i="26"/>
  <c r="AJ91" i="26"/>
  <c r="AJ90" i="26"/>
  <c r="AJ89" i="26"/>
  <c r="AJ88" i="26"/>
  <c r="AJ87" i="26"/>
  <c r="AJ86" i="26"/>
  <c r="AJ85" i="26"/>
  <c r="AJ84" i="26"/>
  <c r="AJ83" i="26"/>
  <c r="AJ82" i="26"/>
  <c r="AJ81" i="26"/>
  <c r="AJ80" i="26"/>
  <c r="AJ79" i="26"/>
  <c r="AJ78" i="26"/>
  <c r="AJ77" i="26"/>
  <c r="AJ76" i="26"/>
  <c r="AJ75" i="26"/>
  <c r="AJ74" i="26"/>
  <c r="AJ73" i="26"/>
  <c r="AJ72" i="26"/>
  <c r="AJ71" i="26"/>
  <c r="AJ70" i="26"/>
  <c r="AJ69" i="26"/>
  <c r="AJ68" i="26"/>
  <c r="AJ67" i="26"/>
  <c r="AJ66" i="26"/>
  <c r="AJ65" i="26"/>
  <c r="AJ64" i="26"/>
  <c r="AJ63" i="26"/>
  <c r="AJ62" i="26"/>
  <c r="AJ61" i="26"/>
  <c r="AJ60" i="26"/>
  <c r="AJ59" i="26"/>
  <c r="AJ58" i="26"/>
  <c r="AJ57" i="26"/>
  <c r="AJ56" i="26"/>
  <c r="AJ55" i="26"/>
  <c r="AJ54" i="26"/>
  <c r="AJ53" i="26"/>
  <c r="AJ52" i="26"/>
  <c r="AJ51" i="26"/>
  <c r="AJ50" i="26"/>
  <c r="AJ49" i="26"/>
  <c r="AJ48" i="26"/>
  <c r="AJ47" i="26"/>
  <c r="AJ46" i="26"/>
  <c r="AJ45" i="26"/>
  <c r="AJ44" i="26"/>
  <c r="AJ43" i="26"/>
  <c r="AJ42" i="26"/>
  <c r="AJ41" i="26"/>
  <c r="AJ40" i="26"/>
  <c r="AJ39" i="26"/>
  <c r="AJ38" i="26"/>
  <c r="AJ37" i="26"/>
  <c r="AJ36" i="26"/>
  <c r="AJ35" i="26"/>
  <c r="AJ34" i="26"/>
  <c r="AJ33" i="26"/>
  <c r="AJ32" i="26"/>
  <c r="AJ31" i="26"/>
  <c r="AJ30" i="26"/>
  <c r="AJ29" i="26"/>
  <c r="AJ28" i="26"/>
  <c r="AJ27" i="26"/>
  <c r="AJ26" i="26"/>
  <c r="AJ25" i="26"/>
  <c r="AJ24" i="26"/>
  <c r="AJ23" i="26"/>
  <c r="AJ22" i="26"/>
  <c r="AJ21" i="26"/>
  <c r="AJ20" i="26"/>
  <c r="AJ19" i="26"/>
  <c r="AJ18" i="26"/>
  <c r="AJ17" i="26"/>
  <c r="AJ16" i="26"/>
  <c r="AJ15" i="26"/>
  <c r="AJ14" i="26"/>
  <c r="AJ13" i="26"/>
  <c r="AJ12" i="26"/>
  <c r="AJ11" i="26"/>
  <c r="AJ10" i="26"/>
  <c r="AJ9" i="26"/>
  <c r="AJ8" i="26"/>
  <c r="AJ7" i="26"/>
  <c r="AJ6" i="26"/>
  <c r="AJ5" i="26"/>
  <c r="AJ4" i="26"/>
  <c r="AJ3" i="26"/>
  <c r="AA558" i="26"/>
  <c r="AA557" i="26"/>
  <c r="AA556" i="26"/>
  <c r="AA555" i="26"/>
  <c r="AA554" i="26"/>
  <c r="AA553" i="26"/>
  <c r="AA552" i="26"/>
  <c r="AA551" i="26"/>
  <c r="AA550" i="26"/>
  <c r="AA549" i="26"/>
  <c r="AA548" i="26"/>
  <c r="AA547" i="26"/>
  <c r="AA546" i="26"/>
  <c r="AA545" i="26"/>
  <c r="AA544" i="26"/>
  <c r="AA543" i="26"/>
  <c r="AA542" i="26"/>
  <c r="AA541" i="26"/>
  <c r="AA540" i="26"/>
  <c r="AA539" i="26"/>
  <c r="AA538" i="26"/>
  <c r="AA537" i="26"/>
  <c r="AA536" i="26"/>
  <c r="AA535" i="26"/>
  <c r="AA534" i="26"/>
  <c r="AA533" i="26"/>
  <c r="AA532" i="26"/>
  <c r="AA531" i="26"/>
  <c r="AA530" i="26"/>
  <c r="AA529" i="26"/>
  <c r="AA528" i="26"/>
  <c r="AA527" i="26"/>
  <c r="AA526" i="26"/>
  <c r="AA525" i="26"/>
  <c r="AA524" i="26"/>
  <c r="AA523" i="26"/>
  <c r="AA522" i="26"/>
  <c r="AA521" i="26"/>
  <c r="AA520" i="26"/>
  <c r="AA519" i="26"/>
  <c r="AA518" i="26"/>
  <c r="AA517" i="26"/>
  <c r="AA516" i="26"/>
  <c r="AA515" i="26"/>
  <c r="AA514" i="26"/>
  <c r="AA513" i="26"/>
  <c r="AA512" i="26"/>
  <c r="AA511" i="26"/>
  <c r="AA510" i="26"/>
  <c r="AA509" i="26"/>
  <c r="AA508" i="26"/>
  <c r="AA507" i="26"/>
  <c r="AA506" i="26"/>
  <c r="AA505" i="26"/>
  <c r="AA504" i="26"/>
  <c r="AA503" i="26"/>
  <c r="AA502" i="26"/>
  <c r="AA501" i="26"/>
  <c r="AA500" i="26"/>
  <c r="AA499" i="26"/>
  <c r="AA498" i="26"/>
  <c r="AA497" i="26"/>
  <c r="AA496" i="26"/>
  <c r="AA495" i="26"/>
  <c r="AA494" i="26"/>
  <c r="AA493" i="26"/>
  <c r="AA492" i="26"/>
  <c r="AA491" i="26"/>
  <c r="AA490" i="26"/>
  <c r="AA489" i="26"/>
  <c r="AA488" i="26"/>
  <c r="AA487" i="26"/>
  <c r="AA486" i="26"/>
  <c r="AA485" i="26"/>
  <c r="AA484" i="26"/>
  <c r="AA483" i="26"/>
  <c r="AA482" i="26"/>
  <c r="AA481" i="26"/>
  <c r="AA480" i="26"/>
  <c r="AA479" i="26"/>
  <c r="AA478" i="26"/>
  <c r="AA477" i="26"/>
  <c r="AA476" i="26"/>
  <c r="AA475" i="26"/>
  <c r="AA474" i="26"/>
  <c r="AA473" i="26"/>
  <c r="AA472" i="26"/>
  <c r="AA471" i="26"/>
  <c r="AA470" i="26"/>
  <c r="AA469" i="26"/>
  <c r="AA468" i="26"/>
  <c r="AA467" i="26"/>
  <c r="AA466" i="26"/>
  <c r="AA465" i="26"/>
  <c r="AA464" i="26"/>
  <c r="AA463" i="26"/>
  <c r="AA462" i="26"/>
  <c r="AA461" i="26"/>
  <c r="AA460" i="26"/>
  <c r="AA459" i="26"/>
  <c r="AA458" i="26"/>
  <c r="AA457" i="26"/>
  <c r="AA456" i="26"/>
  <c r="AA455" i="26"/>
  <c r="AA454" i="26"/>
  <c r="AA453" i="26"/>
  <c r="AA452" i="26"/>
  <c r="AA451" i="26"/>
  <c r="AA450" i="26"/>
  <c r="AA449" i="26"/>
  <c r="AA448" i="26"/>
  <c r="AA447" i="26"/>
  <c r="AA446" i="26"/>
  <c r="AA445" i="26"/>
  <c r="AA444" i="26"/>
  <c r="AA443" i="26"/>
  <c r="AA442" i="26"/>
  <c r="AA441" i="26"/>
  <c r="AA440" i="26"/>
  <c r="AA439" i="26"/>
  <c r="AA438" i="26"/>
  <c r="AA437" i="26"/>
  <c r="AA436" i="26"/>
  <c r="AA435" i="26"/>
  <c r="AA434" i="26"/>
  <c r="AA433" i="26"/>
  <c r="AA432" i="26"/>
  <c r="AA431" i="26"/>
  <c r="AA430" i="26"/>
  <c r="AA429" i="26"/>
  <c r="AA428" i="26"/>
  <c r="AA427" i="26"/>
  <c r="AA426" i="26"/>
  <c r="AA425" i="26"/>
  <c r="AA424" i="26"/>
  <c r="AA423" i="26"/>
  <c r="AA422" i="26"/>
  <c r="AA421" i="26"/>
  <c r="AA420" i="26"/>
  <c r="AA419" i="26"/>
  <c r="AA418" i="26"/>
  <c r="AA417" i="26"/>
  <c r="AA416" i="26"/>
  <c r="AA415" i="26"/>
  <c r="AA414" i="26"/>
  <c r="AA413" i="26"/>
  <c r="AA412" i="26"/>
  <c r="AA411" i="26"/>
  <c r="AA410" i="26"/>
  <c r="AA409" i="26"/>
  <c r="AA408" i="26"/>
  <c r="AA407" i="26"/>
  <c r="AA406" i="26"/>
  <c r="AA405" i="26"/>
  <c r="AA404" i="26"/>
  <c r="AA403" i="26"/>
  <c r="AA402" i="26"/>
  <c r="AA401" i="26"/>
  <c r="AA400" i="26"/>
  <c r="AA399" i="26"/>
  <c r="AA398" i="26"/>
  <c r="AA397" i="26"/>
  <c r="AA396" i="26"/>
  <c r="AA395" i="26"/>
  <c r="AA394" i="26"/>
  <c r="AA393" i="26"/>
  <c r="AA392" i="26"/>
  <c r="AA391" i="26"/>
  <c r="AA390" i="26"/>
  <c r="AA389" i="26"/>
  <c r="AA388" i="26"/>
  <c r="AA387" i="26"/>
  <c r="AA386" i="26"/>
  <c r="AA385" i="26"/>
  <c r="AA384" i="26"/>
  <c r="AA383" i="26"/>
  <c r="AA382" i="26"/>
  <c r="AA381" i="26"/>
  <c r="AA380" i="26"/>
  <c r="AA379" i="26"/>
  <c r="AA378" i="26"/>
  <c r="AA377" i="26"/>
  <c r="AA376" i="26"/>
  <c r="AA375" i="26"/>
  <c r="AA374" i="26"/>
  <c r="AA373" i="26"/>
  <c r="AA372" i="26"/>
  <c r="AA371" i="26"/>
  <c r="AA370" i="26"/>
  <c r="AA369" i="26"/>
  <c r="AA368" i="26"/>
  <c r="AA367" i="26"/>
  <c r="AA366" i="26"/>
  <c r="AA365" i="26"/>
  <c r="AA364" i="26"/>
  <c r="AA363" i="26"/>
  <c r="AA362" i="26"/>
  <c r="AA361" i="26"/>
  <c r="AA360" i="26"/>
  <c r="AA359" i="26"/>
  <c r="AA358" i="26"/>
  <c r="AA357" i="26"/>
  <c r="AA356" i="26"/>
  <c r="AA355" i="26"/>
  <c r="AA354" i="26"/>
  <c r="AA353" i="26"/>
  <c r="AA352" i="26"/>
  <c r="AA351" i="26"/>
  <c r="AA350" i="26"/>
  <c r="AA349" i="26"/>
  <c r="AA348" i="26"/>
  <c r="AA347" i="26"/>
  <c r="AA346" i="26"/>
  <c r="AA345" i="26"/>
  <c r="AA344" i="26"/>
  <c r="AA343" i="26"/>
  <c r="AA342" i="26"/>
  <c r="AA341" i="26"/>
  <c r="AA340" i="26"/>
  <c r="AA339" i="26"/>
  <c r="AA338" i="26"/>
  <c r="AA337" i="26"/>
  <c r="AA336" i="26"/>
  <c r="AA335" i="26"/>
  <c r="AA334" i="26"/>
  <c r="AA333" i="26"/>
  <c r="AA332" i="26"/>
  <c r="AA331" i="26"/>
  <c r="AA330" i="26"/>
  <c r="AA329" i="26"/>
  <c r="AA328" i="26"/>
  <c r="AA327" i="26"/>
  <c r="AA326" i="26"/>
  <c r="AA325" i="26"/>
  <c r="AA324" i="26"/>
  <c r="AA323" i="26"/>
  <c r="AA322" i="26"/>
  <c r="AA321" i="26"/>
  <c r="AA320" i="26"/>
  <c r="AA319" i="26"/>
  <c r="AA318" i="26"/>
  <c r="AA317" i="26"/>
  <c r="AA316" i="26"/>
  <c r="AA315" i="26"/>
  <c r="AA314" i="26"/>
  <c r="AA313" i="26"/>
  <c r="AA312" i="26"/>
  <c r="AA311" i="26"/>
  <c r="AA310" i="26"/>
  <c r="AA309" i="26"/>
  <c r="AA308" i="26"/>
  <c r="AA307" i="26"/>
  <c r="AA306" i="26"/>
  <c r="AA305" i="26"/>
  <c r="AA304" i="26"/>
  <c r="AA303" i="26"/>
  <c r="AA302" i="26"/>
  <c r="AA301" i="26"/>
  <c r="AA300" i="26"/>
  <c r="AA299" i="26"/>
  <c r="AA298" i="26"/>
  <c r="AA297" i="26"/>
  <c r="AA296" i="26"/>
  <c r="AA295" i="26"/>
  <c r="AA294" i="26"/>
  <c r="AA293" i="26"/>
  <c r="AA292" i="26"/>
  <c r="AA291" i="26"/>
  <c r="AA290" i="26"/>
  <c r="AA289" i="26"/>
  <c r="AA288" i="26"/>
  <c r="AA287" i="26"/>
  <c r="AA286" i="26"/>
  <c r="AA285" i="26"/>
  <c r="AA284" i="26"/>
  <c r="AA283" i="26"/>
  <c r="AA282" i="26"/>
  <c r="AA281" i="26"/>
  <c r="AA280" i="26"/>
  <c r="AA279" i="26"/>
  <c r="AA278" i="26"/>
  <c r="AA277" i="26"/>
  <c r="AA276" i="26"/>
  <c r="AA275" i="26"/>
  <c r="AA274" i="26"/>
  <c r="AA273" i="26"/>
  <c r="AA272" i="26"/>
  <c r="AA271" i="26"/>
  <c r="AA270" i="26"/>
  <c r="AA269" i="26"/>
  <c r="AA268" i="26"/>
  <c r="AA267" i="26"/>
  <c r="AA266" i="26"/>
  <c r="AA265" i="26"/>
  <c r="AA264" i="26"/>
  <c r="AA263" i="26"/>
  <c r="AA262" i="26"/>
  <c r="AA261" i="26"/>
  <c r="AA260" i="26"/>
  <c r="AA259" i="26"/>
  <c r="AA258" i="26"/>
  <c r="AA257" i="26"/>
  <c r="AA256" i="26"/>
  <c r="AA255" i="26"/>
  <c r="AA254" i="26"/>
  <c r="AA253" i="26"/>
  <c r="AA252" i="26"/>
  <c r="AA251" i="26"/>
  <c r="AA250" i="26"/>
  <c r="AA249" i="26"/>
  <c r="AA248" i="26"/>
  <c r="AA247" i="26"/>
  <c r="AA246" i="26"/>
  <c r="AA245" i="26"/>
  <c r="AA244" i="26"/>
  <c r="AA243" i="26"/>
  <c r="AA242" i="26"/>
  <c r="AA241" i="26"/>
  <c r="AA240" i="26"/>
  <c r="AA239" i="26"/>
  <c r="AA238" i="26"/>
  <c r="AA237" i="26"/>
  <c r="AA236" i="26"/>
  <c r="AA235" i="26"/>
  <c r="AA234" i="26"/>
  <c r="AA233" i="26"/>
  <c r="AA232" i="26"/>
  <c r="AA231" i="26"/>
  <c r="AA230" i="26"/>
  <c r="AA229" i="26"/>
  <c r="AA228" i="26"/>
  <c r="AA227" i="26"/>
  <c r="AA226" i="26"/>
  <c r="AA225" i="26"/>
  <c r="AA224" i="26"/>
  <c r="AA223" i="26"/>
  <c r="AA222" i="26"/>
  <c r="AA221" i="26"/>
  <c r="AA220" i="26"/>
  <c r="AA219" i="26"/>
  <c r="AA218" i="26"/>
  <c r="AA217" i="26"/>
  <c r="AA216" i="26"/>
  <c r="AA215" i="26"/>
  <c r="AA214" i="26"/>
  <c r="AA213" i="26"/>
  <c r="AA212" i="26"/>
  <c r="AA211" i="26"/>
  <c r="AA210" i="26"/>
  <c r="AA209" i="26"/>
  <c r="AA208" i="26"/>
  <c r="AA207" i="26"/>
  <c r="AA206" i="26"/>
  <c r="AA205" i="26"/>
  <c r="AA204" i="26"/>
  <c r="AA203" i="26"/>
  <c r="AA202" i="26"/>
  <c r="AA201" i="26"/>
  <c r="AA200" i="26"/>
  <c r="AA199" i="26"/>
  <c r="AA198" i="26"/>
  <c r="AA197" i="26"/>
  <c r="AA196" i="26"/>
  <c r="AA195" i="26"/>
  <c r="AA194" i="26"/>
  <c r="AA193" i="26"/>
  <c r="AA192" i="26"/>
  <c r="AA191" i="26"/>
  <c r="AA190" i="26"/>
  <c r="AA189" i="26"/>
  <c r="AA188" i="26"/>
  <c r="AA187" i="26"/>
  <c r="AA186" i="26"/>
  <c r="AA185" i="26"/>
  <c r="AA184" i="26"/>
  <c r="AA183" i="26"/>
  <c r="AA182" i="26"/>
  <c r="AA181" i="26"/>
  <c r="AA180" i="26"/>
  <c r="AA179" i="26"/>
  <c r="AA178" i="26"/>
  <c r="AA177" i="26"/>
  <c r="AA176" i="26"/>
  <c r="AA175" i="26"/>
  <c r="AA174" i="26"/>
  <c r="AA173" i="26"/>
  <c r="AA172" i="26"/>
  <c r="AA171" i="26"/>
  <c r="AA170" i="26"/>
  <c r="AA169" i="26"/>
  <c r="AA168" i="26"/>
  <c r="AA167" i="26"/>
  <c r="AA166" i="26"/>
  <c r="AA165" i="26"/>
  <c r="AA164" i="26"/>
  <c r="AA163" i="26"/>
  <c r="AA162" i="26"/>
  <c r="AA161" i="26"/>
  <c r="AA160" i="26"/>
  <c r="AA159" i="26"/>
  <c r="AA158" i="26"/>
  <c r="AA157" i="26"/>
  <c r="AA156" i="26"/>
  <c r="AA155" i="26"/>
  <c r="AA154" i="26"/>
  <c r="AA153" i="26"/>
  <c r="AA152" i="26"/>
  <c r="AA151" i="26"/>
  <c r="AA150" i="26"/>
  <c r="AA149" i="26"/>
  <c r="AA148" i="26"/>
  <c r="AA147" i="26"/>
  <c r="AA146" i="26"/>
  <c r="AA145" i="26"/>
  <c r="AA144" i="26"/>
  <c r="AA143" i="26"/>
  <c r="AA142" i="26"/>
  <c r="AA141" i="26"/>
  <c r="AA140" i="26"/>
  <c r="AA139" i="26"/>
  <c r="AA138" i="26"/>
  <c r="AA137" i="26"/>
  <c r="AA136" i="26"/>
  <c r="AA135" i="26"/>
  <c r="AA134" i="26"/>
  <c r="AA133" i="26"/>
  <c r="AA132" i="26"/>
  <c r="AA131" i="26"/>
  <c r="AA130" i="26"/>
  <c r="AA129" i="26"/>
  <c r="AA128" i="26"/>
  <c r="AA127" i="26"/>
  <c r="AA126" i="26"/>
  <c r="AA125" i="26"/>
  <c r="AA124" i="26"/>
  <c r="AA123" i="26"/>
  <c r="AA122" i="26"/>
  <c r="AA121" i="26"/>
  <c r="AA120" i="26"/>
  <c r="AA119" i="26"/>
  <c r="AA118" i="26"/>
  <c r="AA117" i="26"/>
  <c r="AA116" i="26"/>
  <c r="AA115" i="26"/>
  <c r="AA114" i="26"/>
  <c r="AA113" i="26"/>
  <c r="AA112" i="26"/>
  <c r="AA111" i="26"/>
  <c r="AA110" i="26"/>
  <c r="AA109" i="26"/>
  <c r="AA108" i="26"/>
  <c r="AA107" i="26"/>
  <c r="AA106" i="26"/>
  <c r="AA105" i="26"/>
  <c r="AA104" i="26"/>
  <c r="AA103" i="26"/>
  <c r="AA102" i="26"/>
  <c r="AA101" i="26"/>
  <c r="AA100" i="26"/>
  <c r="AA99" i="26"/>
  <c r="AA98" i="26"/>
  <c r="AA97" i="26"/>
  <c r="AA96" i="26"/>
  <c r="AA95" i="26"/>
  <c r="AA94" i="26"/>
  <c r="AA93" i="26"/>
  <c r="AA92" i="26"/>
  <c r="AA91" i="26"/>
  <c r="AA90" i="26"/>
  <c r="AA89" i="26"/>
  <c r="AA88" i="26"/>
  <c r="AA87" i="26"/>
  <c r="AA86" i="26"/>
  <c r="AA85" i="26"/>
  <c r="AA84" i="26"/>
  <c r="AA83" i="26"/>
  <c r="AA82" i="26"/>
  <c r="AA81" i="26"/>
  <c r="AA80" i="26"/>
  <c r="AA79" i="26"/>
  <c r="AA78" i="26"/>
  <c r="AA77" i="26"/>
  <c r="AA76" i="26"/>
  <c r="AA75" i="26"/>
  <c r="AA74" i="26"/>
  <c r="AA73" i="26"/>
  <c r="AA72" i="26"/>
  <c r="AA71" i="26"/>
  <c r="AA70" i="26"/>
  <c r="AA69" i="26"/>
  <c r="AA68" i="26"/>
  <c r="AA67" i="26"/>
  <c r="AA66" i="26"/>
  <c r="AA65" i="26"/>
  <c r="AA64" i="26"/>
  <c r="AA63" i="26"/>
  <c r="AA62" i="26"/>
  <c r="AA61" i="26"/>
  <c r="AA60" i="26"/>
  <c r="AA59" i="26"/>
  <c r="AA58" i="26"/>
  <c r="AA57" i="26"/>
  <c r="AA56" i="26"/>
  <c r="AA55" i="26"/>
  <c r="AA54" i="26"/>
  <c r="AA53" i="26"/>
  <c r="AA52" i="26"/>
  <c r="AA51" i="26"/>
  <c r="AA50" i="26"/>
  <c r="AA49" i="26"/>
  <c r="AA48" i="26"/>
  <c r="AA47" i="26"/>
  <c r="AA46" i="26"/>
  <c r="AA45" i="26"/>
  <c r="AA44" i="26"/>
  <c r="AA43" i="26"/>
  <c r="AA42" i="26"/>
  <c r="AA41" i="26"/>
  <c r="AA40" i="26"/>
  <c r="AA39" i="26"/>
  <c r="AA38" i="26"/>
  <c r="AA37" i="26"/>
  <c r="AA36" i="26"/>
  <c r="AA35" i="26"/>
  <c r="AA34" i="26"/>
  <c r="AA33" i="26"/>
  <c r="AA32" i="26"/>
  <c r="AA31" i="26"/>
  <c r="AA30" i="26"/>
  <c r="AA29" i="26"/>
  <c r="AA28" i="26"/>
  <c r="AA27" i="26"/>
  <c r="AA26" i="26"/>
  <c r="AA25" i="26"/>
  <c r="AA24" i="26"/>
  <c r="AA23" i="26"/>
  <c r="AA22" i="26"/>
  <c r="AA21" i="26"/>
  <c r="AA20" i="26"/>
  <c r="AA19" i="26"/>
  <c r="AA18" i="26"/>
  <c r="AA17" i="26"/>
  <c r="AA16" i="26"/>
  <c r="AA15" i="26"/>
  <c r="AA14" i="26"/>
  <c r="AA13" i="26"/>
  <c r="AA12" i="26"/>
  <c r="AA11" i="26"/>
  <c r="AA10" i="26"/>
  <c r="AA9" i="26"/>
  <c r="AA8" i="26"/>
  <c r="AA7" i="26"/>
  <c r="AA6" i="26"/>
  <c r="AA5" i="26"/>
  <c r="AA4" i="26"/>
  <c r="AA3" i="26"/>
  <c r="Z558" i="26"/>
  <c r="Z557" i="26"/>
  <c r="Z556" i="26"/>
  <c r="Z555" i="26"/>
  <c r="Z554" i="26"/>
  <c r="Z553" i="26"/>
  <c r="Z552" i="26"/>
  <c r="Z551" i="26"/>
  <c r="Z550" i="26"/>
  <c r="Z549" i="26"/>
  <c r="Z548" i="26"/>
  <c r="Z547" i="26"/>
  <c r="Z546" i="26"/>
  <c r="Z545" i="26"/>
  <c r="Z544" i="26"/>
  <c r="Z543" i="26"/>
  <c r="Z542" i="26"/>
  <c r="Z541" i="26"/>
  <c r="Z540" i="26"/>
  <c r="Z539" i="26"/>
  <c r="Z538" i="26"/>
  <c r="Z537" i="26"/>
  <c r="Z536" i="26"/>
  <c r="Z535" i="26"/>
  <c r="Z534" i="26"/>
  <c r="Z533" i="26"/>
  <c r="Z532" i="26"/>
  <c r="Z531" i="26"/>
  <c r="Z530" i="26"/>
  <c r="Z529" i="26"/>
  <c r="Z528" i="26"/>
  <c r="Z527" i="26"/>
  <c r="Z526" i="26"/>
  <c r="Z525" i="26"/>
  <c r="Z524" i="26"/>
  <c r="Z523" i="26"/>
  <c r="Z522" i="26"/>
  <c r="Z521" i="26"/>
  <c r="Z520" i="26"/>
  <c r="Z519" i="26"/>
  <c r="Z518" i="26"/>
  <c r="Z517" i="26"/>
  <c r="Z516" i="26"/>
  <c r="Z515" i="26"/>
  <c r="Z514" i="26"/>
  <c r="Z513" i="26"/>
  <c r="Z512" i="26"/>
  <c r="Z511" i="26"/>
  <c r="Z510" i="26"/>
  <c r="Z509" i="26"/>
  <c r="Z508" i="26"/>
  <c r="Z507" i="26"/>
  <c r="Z506" i="26"/>
  <c r="Z505" i="26"/>
  <c r="Z504" i="26"/>
  <c r="Z503" i="26"/>
  <c r="Z502" i="26"/>
  <c r="Z501" i="26"/>
  <c r="Z500" i="26"/>
  <c r="Z499" i="26"/>
  <c r="Z498" i="26"/>
  <c r="Z497" i="26"/>
  <c r="Z496" i="26"/>
  <c r="Z495" i="26"/>
  <c r="Z494" i="26"/>
  <c r="Z493" i="26"/>
  <c r="Z492" i="26"/>
  <c r="Z491" i="26"/>
  <c r="Z490" i="26"/>
  <c r="Z489" i="26"/>
  <c r="Z488" i="26"/>
  <c r="Z487" i="26"/>
  <c r="Z486" i="26"/>
  <c r="Z485" i="26"/>
  <c r="Z484" i="26"/>
  <c r="Z483" i="26"/>
  <c r="Z482" i="26"/>
  <c r="Z481" i="26"/>
  <c r="Z480" i="26"/>
  <c r="Z479" i="26"/>
  <c r="Z478" i="26"/>
  <c r="Z477" i="26"/>
  <c r="Z476" i="26"/>
  <c r="Z475" i="26"/>
  <c r="Z474" i="26"/>
  <c r="Z473" i="26"/>
  <c r="Z472" i="26"/>
  <c r="Z471" i="26"/>
  <c r="Z470" i="26"/>
  <c r="Z469" i="26"/>
  <c r="Z468" i="26"/>
  <c r="Z467" i="26"/>
  <c r="Z466" i="26"/>
  <c r="Z465" i="26"/>
  <c r="Z464" i="26"/>
  <c r="Z463" i="26"/>
  <c r="Z462" i="26"/>
  <c r="Z461" i="26"/>
  <c r="Z460" i="26"/>
  <c r="Z459" i="26"/>
  <c r="Z458" i="26"/>
  <c r="Z457" i="26"/>
  <c r="Z456" i="26"/>
  <c r="Z455" i="26"/>
  <c r="Z454" i="26"/>
  <c r="Z453" i="26"/>
  <c r="Z452" i="26"/>
  <c r="Z451" i="26"/>
  <c r="Z450" i="26"/>
  <c r="Z449" i="26"/>
  <c r="Z448" i="26"/>
  <c r="Z447" i="26"/>
  <c r="Z446" i="26"/>
  <c r="Z445" i="26"/>
  <c r="Z444" i="26"/>
  <c r="Z443" i="26"/>
  <c r="Z442" i="26"/>
  <c r="Z441" i="26"/>
  <c r="Z440" i="26"/>
  <c r="Z439" i="26"/>
  <c r="Z438" i="26"/>
  <c r="Z437" i="26"/>
  <c r="Z436" i="26"/>
  <c r="Z435" i="26"/>
  <c r="Z434" i="26"/>
  <c r="Z433" i="26"/>
  <c r="Z432" i="26"/>
  <c r="Z431" i="26"/>
  <c r="Z430" i="26"/>
  <c r="Z429" i="26"/>
  <c r="Z428" i="26"/>
  <c r="Z427" i="26"/>
  <c r="Z426" i="26"/>
  <c r="Z425" i="26"/>
  <c r="Z424" i="26"/>
  <c r="Z423" i="26"/>
  <c r="Z422" i="26"/>
  <c r="Z421" i="26"/>
  <c r="Z420" i="26"/>
  <c r="Z419" i="26"/>
  <c r="Z418" i="26"/>
  <c r="Z417" i="26"/>
  <c r="Z416" i="26"/>
  <c r="Z415" i="26"/>
  <c r="Z414" i="26"/>
  <c r="Z413" i="26"/>
  <c r="Z412" i="26"/>
  <c r="Z411" i="26"/>
  <c r="Z410" i="26"/>
  <c r="Z409" i="26"/>
  <c r="Z408" i="26"/>
  <c r="Z407" i="26"/>
  <c r="Z406" i="26"/>
  <c r="Z405" i="26"/>
  <c r="Z404" i="26"/>
  <c r="Z403" i="26"/>
  <c r="Z402" i="26"/>
  <c r="Z401" i="26"/>
  <c r="Z400" i="26"/>
  <c r="Z399" i="26"/>
  <c r="Z398" i="26"/>
  <c r="Z397" i="26"/>
  <c r="Z396" i="26"/>
  <c r="Z395" i="26"/>
  <c r="Z394" i="26"/>
  <c r="Z393" i="26"/>
  <c r="Z392" i="26"/>
  <c r="Z391" i="26"/>
  <c r="Z390" i="26"/>
  <c r="Z389" i="26"/>
  <c r="Z388" i="26"/>
  <c r="Z387" i="26"/>
  <c r="Z386" i="26"/>
  <c r="Z385" i="26"/>
  <c r="Z384" i="26"/>
  <c r="Z383" i="26"/>
  <c r="Z382" i="26"/>
  <c r="Z381" i="26"/>
  <c r="Z380" i="26"/>
  <c r="Z379" i="26"/>
  <c r="Z378" i="26"/>
  <c r="Z377" i="26"/>
  <c r="Z376" i="26"/>
  <c r="Z375" i="26"/>
  <c r="Z374" i="26"/>
  <c r="Z373" i="26"/>
  <c r="Z372" i="26"/>
  <c r="Z371" i="26"/>
  <c r="Z370" i="26"/>
  <c r="Z369" i="26"/>
  <c r="Z368" i="26"/>
  <c r="Z367" i="26"/>
  <c r="Z366" i="26"/>
  <c r="Z365" i="26"/>
  <c r="Z364" i="26"/>
  <c r="Z363" i="26"/>
  <c r="Z362" i="26"/>
  <c r="Z361" i="26"/>
  <c r="Z360" i="26"/>
  <c r="Z359" i="26"/>
  <c r="Z358" i="26"/>
  <c r="Z357" i="26"/>
  <c r="Z356" i="26"/>
  <c r="Z355" i="26"/>
  <c r="Z354" i="26"/>
  <c r="Z353" i="26"/>
  <c r="Z352" i="26"/>
  <c r="Z351" i="26"/>
  <c r="Z350" i="26"/>
  <c r="Z349" i="26"/>
  <c r="Z348" i="26"/>
  <c r="Z347" i="26"/>
  <c r="Z346" i="26"/>
  <c r="Z345" i="26"/>
  <c r="Z344" i="26"/>
  <c r="Z343" i="26"/>
  <c r="Z342" i="26"/>
  <c r="Z341" i="26"/>
  <c r="Z340" i="26"/>
  <c r="Z339" i="26"/>
  <c r="Z338" i="26"/>
  <c r="Z337" i="26"/>
  <c r="Z336" i="26"/>
  <c r="Z335" i="26"/>
  <c r="Z334" i="26"/>
  <c r="Z333" i="26"/>
  <c r="Z332" i="26"/>
  <c r="Z331" i="26"/>
  <c r="Z330" i="26"/>
  <c r="Z329" i="26"/>
  <c r="Z328" i="26"/>
  <c r="Z327" i="26"/>
  <c r="Z326" i="26"/>
  <c r="Z325" i="26"/>
  <c r="Z324" i="26"/>
  <c r="Z323" i="26"/>
  <c r="Z322" i="26"/>
  <c r="Z321" i="26"/>
  <c r="Z320" i="26"/>
  <c r="Z319" i="26"/>
  <c r="Z318" i="26"/>
  <c r="Z317" i="26"/>
  <c r="Z316" i="26"/>
  <c r="Z315" i="26"/>
  <c r="Z314" i="26"/>
  <c r="Z313" i="26"/>
  <c r="Z312" i="26"/>
  <c r="Z311" i="26"/>
  <c r="Z310" i="26"/>
  <c r="Z309" i="26"/>
  <c r="Z308" i="26"/>
  <c r="Z307" i="26"/>
  <c r="Z306" i="26"/>
  <c r="Z305" i="26"/>
  <c r="Z304" i="26"/>
  <c r="Z303" i="26"/>
  <c r="Z302" i="26"/>
  <c r="Z301" i="26"/>
  <c r="Z300" i="26"/>
  <c r="Z299" i="26"/>
  <c r="Z298" i="26"/>
  <c r="Z297" i="26"/>
  <c r="Z296" i="26"/>
  <c r="Z295" i="26"/>
  <c r="Z294" i="26"/>
  <c r="Z293" i="26"/>
  <c r="Z292" i="26"/>
  <c r="Z291" i="26"/>
  <c r="Z290" i="26"/>
  <c r="Z289" i="26"/>
  <c r="Z288" i="26"/>
  <c r="Z287" i="26"/>
  <c r="Z286" i="26"/>
  <c r="Z285" i="26"/>
  <c r="Z284" i="26"/>
  <c r="Z283" i="26"/>
  <c r="Z282" i="26"/>
  <c r="Z281" i="26"/>
  <c r="Z280" i="26"/>
  <c r="Z279" i="26"/>
  <c r="Z278" i="26"/>
  <c r="Z277" i="26"/>
  <c r="Z276" i="26"/>
  <c r="Z275" i="26"/>
  <c r="Z274" i="26"/>
  <c r="Z273" i="26"/>
  <c r="Z272" i="26"/>
  <c r="Z271" i="26"/>
  <c r="Z270" i="26"/>
  <c r="Z269" i="26"/>
  <c r="Z268" i="26"/>
  <c r="Z267" i="26"/>
  <c r="Z266" i="26"/>
  <c r="Z265" i="26"/>
  <c r="Z264" i="26"/>
  <c r="Z263" i="26"/>
  <c r="Z262" i="26"/>
  <c r="Z261" i="26"/>
  <c r="Z260" i="26"/>
  <c r="Z259" i="26"/>
  <c r="Z258" i="26"/>
  <c r="Z257" i="26"/>
  <c r="Z256" i="26"/>
  <c r="Z255" i="26"/>
  <c r="Z254" i="26"/>
  <c r="Z253" i="26"/>
  <c r="Z252" i="26"/>
  <c r="Z251" i="26"/>
  <c r="Z250" i="26"/>
  <c r="Z249" i="26"/>
  <c r="Z248" i="26"/>
  <c r="Z247" i="26"/>
  <c r="Z246" i="26"/>
  <c r="Z245" i="26"/>
  <c r="Z244" i="26"/>
  <c r="Z243" i="26"/>
  <c r="Z242" i="26"/>
  <c r="Z241" i="26"/>
  <c r="Z240" i="26"/>
  <c r="Z239" i="26"/>
  <c r="Z238" i="26"/>
  <c r="Z237" i="26"/>
  <c r="Z236" i="26"/>
  <c r="Z235" i="26"/>
  <c r="Z234" i="26"/>
  <c r="Z233" i="26"/>
  <c r="Z232" i="26"/>
  <c r="Z231" i="26"/>
  <c r="Z230" i="26"/>
  <c r="Z229" i="26"/>
  <c r="Z228" i="26"/>
  <c r="Z227" i="26"/>
  <c r="Z226" i="26"/>
  <c r="Z225" i="26"/>
  <c r="Z224" i="26"/>
  <c r="Z223" i="26"/>
  <c r="Z222" i="26"/>
  <c r="Z221" i="26"/>
  <c r="Z220" i="26"/>
  <c r="Z219" i="26"/>
  <c r="Z218" i="26"/>
  <c r="Z217" i="26"/>
  <c r="Z216" i="26"/>
  <c r="Z215" i="26"/>
  <c r="Z214" i="26"/>
  <c r="Z213" i="26"/>
  <c r="Z212" i="26"/>
  <c r="Z211" i="26"/>
  <c r="Z210" i="26"/>
  <c r="Z209" i="26"/>
  <c r="Z208" i="26"/>
  <c r="Z207" i="26"/>
  <c r="Z206" i="26"/>
  <c r="Z205" i="26"/>
  <c r="Z204" i="26"/>
  <c r="Z203" i="26"/>
  <c r="Z202" i="26"/>
  <c r="Z201" i="26"/>
  <c r="Z200" i="26"/>
  <c r="Z199" i="26"/>
  <c r="Z198" i="26"/>
  <c r="Z197" i="26"/>
  <c r="Z196" i="26"/>
  <c r="Z195" i="26"/>
  <c r="Z194" i="26"/>
  <c r="Z193" i="26"/>
  <c r="Z192" i="26"/>
  <c r="Z191" i="26"/>
  <c r="Z190" i="26"/>
  <c r="Z189" i="26"/>
  <c r="Z188" i="26"/>
  <c r="Z187" i="26"/>
  <c r="Z186" i="26"/>
  <c r="Z185" i="26"/>
  <c r="Z184" i="26"/>
  <c r="Z183" i="26"/>
  <c r="Z182" i="26"/>
  <c r="Z181" i="26"/>
  <c r="Z180" i="26"/>
  <c r="Z179" i="26"/>
  <c r="Z178" i="26"/>
  <c r="Z177" i="26"/>
  <c r="Z176" i="26"/>
  <c r="Z175" i="26"/>
  <c r="Z174" i="26"/>
  <c r="Z173" i="26"/>
  <c r="Z172" i="26"/>
  <c r="Z171" i="26"/>
  <c r="Z170" i="26"/>
  <c r="Z169" i="26"/>
  <c r="Z168" i="26"/>
  <c r="Z167" i="26"/>
  <c r="Z166" i="26"/>
  <c r="Z165" i="26"/>
  <c r="Z164" i="26"/>
  <c r="Z163" i="26"/>
  <c r="Z162" i="26"/>
  <c r="Z161" i="26"/>
  <c r="Z160" i="26"/>
  <c r="Z159" i="26"/>
  <c r="Z158" i="26"/>
  <c r="Z157" i="26"/>
  <c r="Z156" i="26"/>
  <c r="Z155" i="26"/>
  <c r="Z154" i="26"/>
  <c r="Z153" i="26"/>
  <c r="Z152" i="26"/>
  <c r="Z151" i="26"/>
  <c r="Z150" i="26"/>
  <c r="Z149" i="26"/>
  <c r="Z148" i="26"/>
  <c r="Z147" i="26"/>
  <c r="Z146" i="26"/>
  <c r="Z145" i="26"/>
  <c r="Z144" i="26"/>
  <c r="Z143" i="26"/>
  <c r="Z142" i="26"/>
  <c r="Z141" i="26"/>
  <c r="Z140" i="26"/>
  <c r="Z139" i="26"/>
  <c r="Z138" i="26"/>
  <c r="Z137" i="26"/>
  <c r="Z136" i="26"/>
  <c r="Z135" i="26"/>
  <c r="Z134" i="26"/>
  <c r="Z133" i="26"/>
  <c r="Z132" i="26"/>
  <c r="Z131" i="26"/>
  <c r="Z130" i="26"/>
  <c r="Z129" i="26"/>
  <c r="Z128" i="26"/>
  <c r="Z127" i="26"/>
  <c r="Z126" i="26"/>
  <c r="Z125" i="26"/>
  <c r="Z124" i="26"/>
  <c r="Z123" i="26"/>
  <c r="Z122" i="26"/>
  <c r="Z121" i="26"/>
  <c r="Z120" i="26"/>
  <c r="Z119" i="26"/>
  <c r="Z118" i="26"/>
  <c r="Z117" i="26"/>
  <c r="Z116" i="26"/>
  <c r="Z115" i="26"/>
  <c r="Z114" i="26"/>
  <c r="Z113" i="26"/>
  <c r="Z112" i="26"/>
  <c r="Z111" i="26"/>
  <c r="Z110" i="26"/>
  <c r="Z109" i="26"/>
  <c r="Z108" i="26"/>
  <c r="Z107" i="26"/>
  <c r="Z106" i="26"/>
  <c r="Z105" i="26"/>
  <c r="Z104" i="26"/>
  <c r="Z103" i="26"/>
  <c r="Z102" i="26"/>
  <c r="Z101" i="26"/>
  <c r="Z100" i="26"/>
  <c r="Z99" i="26"/>
  <c r="Z98" i="26"/>
  <c r="Z97" i="26"/>
  <c r="Z96" i="26"/>
  <c r="Z95" i="26"/>
  <c r="Z94" i="26"/>
  <c r="Z93" i="26"/>
  <c r="Z92" i="26"/>
  <c r="Z91" i="26"/>
  <c r="Z90" i="26"/>
  <c r="Z89" i="26"/>
  <c r="Z88" i="26"/>
  <c r="Z87" i="26"/>
  <c r="Z86" i="26"/>
  <c r="Z85" i="26"/>
  <c r="Z84" i="26"/>
  <c r="Z83" i="26"/>
  <c r="Z82" i="26"/>
  <c r="Z81" i="26"/>
  <c r="Z80" i="26"/>
  <c r="Z79" i="26"/>
  <c r="Z78" i="26"/>
  <c r="Z77" i="26"/>
  <c r="Z76" i="26"/>
  <c r="Z75" i="26"/>
  <c r="Z74" i="26"/>
  <c r="Z73" i="26"/>
  <c r="Z72" i="26"/>
  <c r="Z71" i="26"/>
  <c r="Z70" i="26"/>
  <c r="Z69" i="26"/>
  <c r="Z68" i="26"/>
  <c r="Z67" i="26"/>
  <c r="Z66" i="26"/>
  <c r="Z65" i="26"/>
  <c r="Z64" i="26"/>
  <c r="Z63" i="26"/>
  <c r="Z62" i="26"/>
  <c r="Z61" i="26"/>
  <c r="Z60" i="26"/>
  <c r="Z59" i="26"/>
  <c r="Z58" i="26"/>
  <c r="Z57" i="26"/>
  <c r="Z56" i="26"/>
  <c r="Z55" i="26"/>
  <c r="Z54" i="26"/>
  <c r="Z53" i="26"/>
  <c r="Z52" i="26"/>
  <c r="Z51" i="26"/>
  <c r="Z50" i="26"/>
  <c r="Z49" i="26"/>
  <c r="Z48" i="26"/>
  <c r="Z47" i="26"/>
  <c r="Z46" i="26"/>
  <c r="Z45" i="26"/>
  <c r="Z44" i="26"/>
  <c r="Z43" i="26"/>
  <c r="Z42" i="26"/>
  <c r="Z41" i="26"/>
  <c r="Z40" i="26"/>
  <c r="Z39" i="26"/>
  <c r="Z38" i="26"/>
  <c r="Z37" i="26"/>
  <c r="Z36" i="26"/>
  <c r="Z35" i="26"/>
  <c r="Z34" i="26"/>
  <c r="Z33" i="26"/>
  <c r="Z32" i="26"/>
  <c r="Z31" i="26"/>
  <c r="Z30" i="26"/>
  <c r="Z29" i="26"/>
  <c r="Z28" i="26"/>
  <c r="Z27" i="26"/>
  <c r="Z26" i="26"/>
  <c r="Z25" i="26"/>
  <c r="Z24" i="26"/>
  <c r="Z23" i="26"/>
  <c r="Z22" i="26"/>
  <c r="Z21" i="26"/>
  <c r="Z20" i="26"/>
  <c r="Z19" i="26"/>
  <c r="Z18" i="26"/>
  <c r="Z17" i="26"/>
  <c r="Z16" i="26"/>
  <c r="Z15" i="26"/>
  <c r="Z14" i="26"/>
  <c r="Z13" i="26"/>
  <c r="Z12" i="26"/>
  <c r="Z11" i="26"/>
  <c r="Z10" i="26"/>
  <c r="Z9" i="26"/>
  <c r="Z8" i="26"/>
  <c r="Z7" i="26"/>
  <c r="Z6" i="26"/>
  <c r="Z5" i="26"/>
  <c r="Z4" i="26"/>
  <c r="Z3" i="26"/>
  <c r="Y558" i="26"/>
  <c r="Y557" i="26"/>
  <c r="Y556" i="26"/>
  <c r="Y555" i="26"/>
  <c r="Y554" i="26"/>
  <c r="Y553" i="26"/>
  <c r="Y552" i="26"/>
  <c r="Y551" i="26"/>
  <c r="Y550" i="26"/>
  <c r="Y549" i="26"/>
  <c r="Y548" i="26"/>
  <c r="Y547" i="26"/>
  <c r="Y546" i="26"/>
  <c r="Y545" i="26"/>
  <c r="Y544" i="26"/>
  <c r="Y543" i="26"/>
  <c r="Y542" i="26"/>
  <c r="Y541" i="26"/>
  <c r="Y540" i="26"/>
  <c r="Y539" i="26"/>
  <c r="Y538" i="26"/>
  <c r="Y537" i="26"/>
  <c r="Y536" i="26"/>
  <c r="Y535" i="26"/>
  <c r="Y534" i="26"/>
  <c r="Y533" i="26"/>
  <c r="Y532" i="26"/>
  <c r="Y531" i="26"/>
  <c r="Y530" i="26"/>
  <c r="Y529" i="26"/>
  <c r="Y528" i="26"/>
  <c r="Y527" i="26"/>
  <c r="Y526" i="26"/>
  <c r="Y525" i="26"/>
  <c r="Y524" i="26"/>
  <c r="Y523" i="26"/>
  <c r="Y522" i="26"/>
  <c r="Y521" i="26"/>
  <c r="Y520" i="26"/>
  <c r="Y519" i="26"/>
  <c r="Y518" i="26"/>
  <c r="Y517" i="26"/>
  <c r="Y516" i="26"/>
  <c r="Y515" i="26"/>
  <c r="Y514" i="26"/>
  <c r="Y513" i="26"/>
  <c r="Y512" i="26"/>
  <c r="Y511" i="26"/>
  <c r="Y510" i="26"/>
  <c r="Y509" i="26"/>
  <c r="Y508" i="26"/>
  <c r="Y507" i="26"/>
  <c r="Y506" i="26"/>
  <c r="Y505" i="26"/>
  <c r="Y504" i="26"/>
  <c r="Y503" i="26"/>
  <c r="Y502" i="26"/>
  <c r="Y501" i="26"/>
  <c r="Y500" i="26"/>
  <c r="Y499" i="26"/>
  <c r="Y498" i="26"/>
  <c r="Y497" i="26"/>
  <c r="Y496" i="26"/>
  <c r="Y495" i="26"/>
  <c r="Y494" i="26"/>
  <c r="Y493" i="26"/>
  <c r="Y492" i="26"/>
  <c r="Y491" i="26"/>
  <c r="Y490" i="26"/>
  <c r="Y489" i="26"/>
  <c r="Y488" i="26"/>
  <c r="Y487" i="26"/>
  <c r="Y486" i="26"/>
  <c r="Y485" i="26"/>
  <c r="Y484" i="26"/>
  <c r="Y483" i="26"/>
  <c r="Y482" i="26"/>
  <c r="Y481" i="26"/>
  <c r="Y480" i="26"/>
  <c r="Y479" i="26"/>
  <c r="Y478" i="26"/>
  <c r="Y477" i="26"/>
  <c r="Y476" i="26"/>
  <c r="Y475" i="26"/>
  <c r="Y474" i="26"/>
  <c r="Y473" i="26"/>
  <c r="Y472" i="26"/>
  <c r="Y471" i="26"/>
  <c r="Y470" i="26"/>
  <c r="Y469" i="26"/>
  <c r="Y468" i="26"/>
  <c r="Y467" i="26"/>
  <c r="Y466" i="26"/>
  <c r="Y465" i="26"/>
  <c r="Y464" i="26"/>
  <c r="Y463" i="26"/>
  <c r="Y462" i="26"/>
  <c r="Y461" i="26"/>
  <c r="Y460" i="26"/>
  <c r="Y459" i="26"/>
  <c r="Y458" i="26"/>
  <c r="Y457" i="26"/>
  <c r="Y456" i="26"/>
  <c r="Y455" i="26"/>
  <c r="Y454" i="26"/>
  <c r="Y453" i="26"/>
  <c r="Y452" i="26"/>
  <c r="Y451" i="26"/>
  <c r="Y450" i="26"/>
  <c r="Y449" i="26"/>
  <c r="Y448" i="26"/>
  <c r="Y447" i="26"/>
  <c r="Y446" i="26"/>
  <c r="Y445" i="26"/>
  <c r="Y444" i="26"/>
  <c r="Y443" i="26"/>
  <c r="Y442" i="26"/>
  <c r="Y441" i="26"/>
  <c r="Y440" i="26"/>
  <c r="Y439" i="26"/>
  <c r="Y438" i="26"/>
  <c r="Y437" i="26"/>
  <c r="Y436" i="26"/>
  <c r="Y435" i="26"/>
  <c r="Y434" i="26"/>
  <c r="Y433" i="26"/>
  <c r="Y432" i="26"/>
  <c r="Y431" i="26"/>
  <c r="Y430" i="26"/>
  <c r="Y429" i="26"/>
  <c r="Y428" i="26"/>
  <c r="Y427" i="26"/>
  <c r="Y426" i="26"/>
  <c r="Y425" i="26"/>
  <c r="Y424" i="26"/>
  <c r="Y423" i="26"/>
  <c r="Y422" i="26"/>
  <c r="Y421" i="26"/>
  <c r="Y420" i="26"/>
  <c r="Y419" i="26"/>
  <c r="Y418" i="26"/>
  <c r="Y417" i="26"/>
  <c r="Y416" i="26"/>
  <c r="Y415" i="26"/>
  <c r="Y414" i="26"/>
  <c r="Y413" i="26"/>
  <c r="Y412" i="26"/>
  <c r="Y411" i="26"/>
  <c r="Y410" i="26"/>
  <c r="Y409" i="26"/>
  <c r="Y408" i="26"/>
  <c r="Y407" i="26"/>
  <c r="Y406" i="26"/>
  <c r="Y405" i="26"/>
  <c r="Y404" i="26"/>
  <c r="Y403" i="26"/>
  <c r="Y402" i="26"/>
  <c r="Y401" i="26"/>
  <c r="Y400" i="26"/>
  <c r="Y399" i="26"/>
  <c r="Y398" i="26"/>
  <c r="Y397" i="26"/>
  <c r="Y396" i="26"/>
  <c r="Y395" i="26"/>
  <c r="Y394" i="26"/>
  <c r="Y393" i="26"/>
  <c r="Y392" i="26"/>
  <c r="Y391" i="26"/>
  <c r="Y390" i="26"/>
  <c r="Y389" i="26"/>
  <c r="Y388" i="26"/>
  <c r="Y387" i="26"/>
  <c r="Y386" i="26"/>
  <c r="Y385" i="26"/>
  <c r="Y384" i="26"/>
  <c r="Y383" i="26"/>
  <c r="Y382" i="26"/>
  <c r="Y381" i="26"/>
  <c r="Y380" i="26"/>
  <c r="Y379" i="26"/>
  <c r="Y378" i="26"/>
  <c r="Y377" i="26"/>
  <c r="Y376" i="26"/>
  <c r="Y375" i="26"/>
  <c r="Y374" i="26"/>
  <c r="Y373" i="26"/>
  <c r="Y372" i="26"/>
  <c r="Y371" i="26"/>
  <c r="Y370" i="26"/>
  <c r="Y369" i="26"/>
  <c r="Y368" i="26"/>
  <c r="Y367" i="26"/>
  <c r="Y366" i="26"/>
  <c r="Y365" i="26"/>
  <c r="Y364" i="26"/>
  <c r="Y363" i="26"/>
  <c r="Y362" i="26"/>
  <c r="Y361" i="26"/>
  <c r="Y360" i="26"/>
  <c r="Y359" i="26"/>
  <c r="Y358" i="26"/>
  <c r="Y357" i="26"/>
  <c r="Y356" i="26"/>
  <c r="Y355" i="26"/>
  <c r="Y354" i="26"/>
  <c r="Y353" i="26"/>
  <c r="Y352" i="26"/>
  <c r="Y351" i="26"/>
  <c r="Y350" i="26"/>
  <c r="Y349" i="26"/>
  <c r="Y348" i="26"/>
  <c r="Y347" i="26"/>
  <c r="Y346" i="26"/>
  <c r="Y345" i="26"/>
  <c r="Y344" i="26"/>
  <c r="Y343" i="26"/>
  <c r="Y342" i="26"/>
  <c r="Y341" i="26"/>
  <c r="Y340" i="26"/>
  <c r="Y339" i="26"/>
  <c r="Y338" i="26"/>
  <c r="Y337" i="26"/>
  <c r="Y336" i="26"/>
  <c r="Y335" i="26"/>
  <c r="Y334" i="26"/>
  <c r="Y333" i="26"/>
  <c r="Y332" i="26"/>
  <c r="Y331" i="26"/>
  <c r="Y330" i="26"/>
  <c r="Y329" i="26"/>
  <c r="Y328" i="26"/>
  <c r="Y327" i="26"/>
  <c r="Y326" i="26"/>
  <c r="Y325" i="26"/>
  <c r="Y324" i="26"/>
  <c r="Y323" i="26"/>
  <c r="Y322" i="26"/>
  <c r="Y321" i="26"/>
  <c r="Y320" i="26"/>
  <c r="Y319" i="26"/>
  <c r="Y318" i="26"/>
  <c r="Y317" i="26"/>
  <c r="Y316" i="26"/>
  <c r="Y315" i="26"/>
  <c r="Y314" i="26"/>
  <c r="Y313" i="26"/>
  <c r="Y312" i="26"/>
  <c r="Y311" i="26"/>
  <c r="Y310" i="26"/>
  <c r="Y309" i="26"/>
  <c r="Y308" i="26"/>
  <c r="Y307" i="26"/>
  <c r="Y306" i="26"/>
  <c r="Y305" i="26"/>
  <c r="Y304" i="26"/>
  <c r="Y303" i="26"/>
  <c r="Y302" i="26"/>
  <c r="Y301" i="26"/>
  <c r="Y300" i="26"/>
  <c r="Y299" i="26"/>
  <c r="Y298" i="26"/>
  <c r="Y297" i="26"/>
  <c r="Y296" i="26"/>
  <c r="Y295" i="26"/>
  <c r="Y294" i="26"/>
  <c r="Y293" i="26"/>
  <c r="Y292" i="26"/>
  <c r="Y291" i="26"/>
  <c r="Y290" i="26"/>
  <c r="Y289" i="26"/>
  <c r="Y288" i="26"/>
  <c r="Y287" i="26"/>
  <c r="Y286" i="26"/>
  <c r="Y285" i="26"/>
  <c r="Y284" i="26"/>
  <c r="Y283" i="26"/>
  <c r="Y282" i="26"/>
  <c r="Y281" i="26"/>
  <c r="Y280" i="26"/>
  <c r="Y279" i="26"/>
  <c r="Y278" i="26"/>
  <c r="Y277" i="26"/>
  <c r="Y276" i="26"/>
  <c r="Y275" i="26"/>
  <c r="Y274" i="26"/>
  <c r="Y273" i="26"/>
  <c r="Y272" i="26"/>
  <c r="Y271" i="26"/>
  <c r="Y270" i="26"/>
  <c r="Y269" i="26"/>
  <c r="Y268" i="26"/>
  <c r="Y267" i="26"/>
  <c r="Y266" i="26"/>
  <c r="Y265" i="26"/>
  <c r="Y264" i="26"/>
  <c r="Y263" i="26"/>
  <c r="Y262" i="26"/>
  <c r="Y261" i="26"/>
  <c r="Y260" i="26"/>
  <c r="Y259" i="26"/>
  <c r="Y258" i="26"/>
  <c r="Y257" i="26"/>
  <c r="Y256" i="26"/>
  <c r="Y255" i="26"/>
  <c r="Y254" i="26"/>
  <c r="Y253" i="26"/>
  <c r="Y252" i="26"/>
  <c r="Y251" i="26"/>
  <c r="Y250" i="26"/>
  <c r="Y249" i="26"/>
  <c r="Y248" i="26"/>
  <c r="Y247" i="26"/>
  <c r="Y246" i="26"/>
  <c r="Y245" i="26"/>
  <c r="Y244" i="26"/>
  <c r="Y243" i="26"/>
  <c r="Y242" i="26"/>
  <c r="Y241" i="26"/>
  <c r="Y240" i="26"/>
  <c r="Y239" i="26"/>
  <c r="Y238" i="26"/>
  <c r="Y237" i="26"/>
  <c r="Y236" i="26"/>
  <c r="Y235" i="26"/>
  <c r="Y234" i="26"/>
  <c r="Y233" i="26"/>
  <c r="Y232" i="26"/>
  <c r="Y231" i="26"/>
  <c r="Y230" i="26"/>
  <c r="Y229" i="26"/>
  <c r="Y228" i="26"/>
  <c r="Y227" i="26"/>
  <c r="Y226" i="26"/>
  <c r="Y225" i="26"/>
  <c r="Y224" i="26"/>
  <c r="Y223" i="26"/>
  <c r="Y222" i="26"/>
  <c r="Y221" i="26"/>
  <c r="Y220" i="26"/>
  <c r="Y219" i="26"/>
  <c r="Y218" i="26"/>
  <c r="Y217" i="26"/>
  <c r="Y216" i="26"/>
  <c r="Y215" i="26"/>
  <c r="Y214" i="26"/>
  <c r="Y213" i="26"/>
  <c r="Y212" i="26"/>
  <c r="Y211" i="26"/>
  <c r="Y210" i="26"/>
  <c r="Y209" i="26"/>
  <c r="Y208" i="26"/>
  <c r="Y207" i="26"/>
  <c r="Y206" i="26"/>
  <c r="Y205" i="26"/>
  <c r="Y204" i="26"/>
  <c r="Y203" i="26"/>
  <c r="Y202" i="26"/>
  <c r="Y201" i="26"/>
  <c r="Y200" i="26"/>
  <c r="Y199" i="26"/>
  <c r="Y198" i="26"/>
  <c r="Y197" i="26"/>
  <c r="Y196" i="26"/>
  <c r="Y195" i="26"/>
  <c r="Y194" i="26"/>
  <c r="Y193" i="26"/>
  <c r="Y192" i="26"/>
  <c r="Y191" i="26"/>
  <c r="Y190" i="26"/>
  <c r="Y189" i="26"/>
  <c r="Y188" i="26"/>
  <c r="Y187" i="26"/>
  <c r="Y186" i="26"/>
  <c r="Y185" i="26"/>
  <c r="Y184" i="26"/>
  <c r="Y183" i="26"/>
  <c r="Y182" i="26"/>
  <c r="Y181" i="26"/>
  <c r="Y180" i="26"/>
  <c r="Y179" i="26"/>
  <c r="Y178" i="26"/>
  <c r="Y177" i="26"/>
  <c r="Y176" i="26"/>
  <c r="Y175" i="26"/>
  <c r="Y174" i="26"/>
  <c r="Y173" i="26"/>
  <c r="Y172" i="26"/>
  <c r="Y171" i="26"/>
  <c r="Y170" i="26"/>
  <c r="Y169" i="26"/>
  <c r="Y168" i="26"/>
  <c r="Y167" i="26"/>
  <c r="Y166" i="26"/>
  <c r="Y165" i="26"/>
  <c r="Y164" i="26"/>
  <c r="Y163" i="26"/>
  <c r="Y162" i="26"/>
  <c r="Y161" i="26"/>
  <c r="Y160" i="26"/>
  <c r="Y159" i="26"/>
  <c r="Y158" i="26"/>
  <c r="Y157" i="26"/>
  <c r="Y156" i="26"/>
  <c r="Y155" i="26"/>
  <c r="Y154" i="26"/>
  <c r="Y153" i="26"/>
  <c r="Y152" i="26"/>
  <c r="Y151" i="26"/>
  <c r="Y150" i="26"/>
  <c r="Y149" i="26"/>
  <c r="Y148" i="26"/>
  <c r="Y147" i="26"/>
  <c r="Y146" i="26"/>
  <c r="Y145" i="26"/>
  <c r="Y144" i="26"/>
  <c r="Y143" i="26"/>
  <c r="Y142" i="26"/>
  <c r="Y141" i="26"/>
  <c r="Y140" i="26"/>
  <c r="Y139" i="26"/>
  <c r="Y138" i="26"/>
  <c r="Y137" i="26"/>
  <c r="Y136" i="26"/>
  <c r="Y135" i="26"/>
  <c r="Y134" i="26"/>
  <c r="Y133" i="26"/>
  <c r="Y132" i="26"/>
  <c r="Y131" i="26"/>
  <c r="Y130" i="26"/>
  <c r="Y129" i="26"/>
  <c r="Y128" i="26"/>
  <c r="Y127" i="26"/>
  <c r="Y126" i="26"/>
  <c r="Y125" i="26"/>
  <c r="Y124" i="26"/>
  <c r="Y123" i="26"/>
  <c r="Y122" i="26"/>
  <c r="Y121" i="26"/>
  <c r="Y120" i="26"/>
  <c r="Y119" i="26"/>
  <c r="Y118" i="26"/>
  <c r="Y117" i="26"/>
  <c r="Y116" i="26"/>
  <c r="Y115" i="26"/>
  <c r="Y114" i="26"/>
  <c r="Y113" i="26"/>
  <c r="Y112" i="26"/>
  <c r="Y111" i="26"/>
  <c r="Y110" i="26"/>
  <c r="Y109" i="26"/>
  <c r="Y108" i="26"/>
  <c r="Y107" i="26"/>
  <c r="Y106" i="26"/>
  <c r="Y105" i="26"/>
  <c r="Y104" i="26"/>
  <c r="Y103" i="26"/>
  <c r="Y102" i="26"/>
  <c r="Y101" i="26"/>
  <c r="Y100" i="26"/>
  <c r="Y99" i="26"/>
  <c r="Y98" i="26"/>
  <c r="Y97" i="26"/>
  <c r="Y96" i="26"/>
  <c r="Y95" i="26"/>
  <c r="Y94" i="26"/>
  <c r="Y93" i="26"/>
  <c r="Y92" i="26"/>
  <c r="Y91" i="26"/>
  <c r="Y90" i="26"/>
  <c r="Y89" i="26"/>
  <c r="Y88" i="26"/>
  <c r="Y87" i="26"/>
  <c r="Y86" i="26"/>
  <c r="Y85" i="26"/>
  <c r="Y84" i="26"/>
  <c r="Y83" i="26"/>
  <c r="Y82" i="26"/>
  <c r="Y81" i="26"/>
  <c r="Y80" i="26"/>
  <c r="Y79" i="26"/>
  <c r="Y78" i="26"/>
  <c r="Y77" i="26"/>
  <c r="Y76" i="26"/>
  <c r="Y75" i="26"/>
  <c r="Y74" i="26"/>
  <c r="Y73" i="26"/>
  <c r="Y72" i="26"/>
  <c r="Y71" i="26"/>
  <c r="Y70" i="26"/>
  <c r="Y69" i="26"/>
  <c r="Y68" i="26"/>
  <c r="Y67" i="26"/>
  <c r="Y66" i="26"/>
  <c r="Y65" i="26"/>
  <c r="Y64" i="26"/>
  <c r="Y63" i="26"/>
  <c r="Y62" i="26"/>
  <c r="Y61" i="26"/>
  <c r="Y60" i="26"/>
  <c r="Y59" i="26"/>
  <c r="Y58" i="26"/>
  <c r="Y57" i="26"/>
  <c r="Y56" i="26"/>
  <c r="Y55" i="26"/>
  <c r="Y54" i="26"/>
  <c r="Y53" i="26"/>
  <c r="Y52" i="26"/>
  <c r="Y51" i="26"/>
  <c r="Y50" i="26"/>
  <c r="Y49" i="26"/>
  <c r="Y48" i="26"/>
  <c r="Y47" i="26"/>
  <c r="Y46" i="26"/>
  <c r="Y45" i="26"/>
  <c r="Y44" i="26"/>
  <c r="Y43" i="26"/>
  <c r="Y42" i="26"/>
  <c r="Y41" i="26"/>
  <c r="Y40" i="26"/>
  <c r="Y39" i="26"/>
  <c r="Y38" i="26"/>
  <c r="Y37" i="26"/>
  <c r="Y36" i="26"/>
  <c r="Y35" i="26"/>
  <c r="Y34" i="26"/>
  <c r="Y33" i="26"/>
  <c r="Y32" i="26"/>
  <c r="Y31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6" i="26"/>
  <c r="Y5" i="26"/>
  <c r="Y4" i="26"/>
  <c r="Y3" i="26"/>
  <c r="X558" i="26"/>
  <c r="X557" i="26"/>
  <c r="X556" i="26"/>
  <c r="X555" i="26"/>
  <c r="X554" i="26"/>
  <c r="X553" i="26"/>
  <c r="X552" i="26"/>
  <c r="X551" i="26"/>
  <c r="X550" i="26"/>
  <c r="X549" i="26"/>
  <c r="X548" i="26"/>
  <c r="X547" i="26"/>
  <c r="X546" i="26"/>
  <c r="X545" i="26"/>
  <c r="X544" i="26"/>
  <c r="X543" i="26"/>
  <c r="X542" i="26"/>
  <c r="X541" i="26"/>
  <c r="X540" i="26"/>
  <c r="X539" i="26"/>
  <c r="X538" i="26"/>
  <c r="X537" i="26"/>
  <c r="X536" i="26"/>
  <c r="X535" i="26"/>
  <c r="X534" i="26"/>
  <c r="X533" i="26"/>
  <c r="X532" i="26"/>
  <c r="X531" i="26"/>
  <c r="X530" i="26"/>
  <c r="X529" i="26"/>
  <c r="X528" i="26"/>
  <c r="X527" i="26"/>
  <c r="X526" i="26"/>
  <c r="X525" i="26"/>
  <c r="X524" i="26"/>
  <c r="X523" i="26"/>
  <c r="X522" i="26"/>
  <c r="X521" i="26"/>
  <c r="X520" i="26"/>
  <c r="X519" i="26"/>
  <c r="X518" i="26"/>
  <c r="X517" i="26"/>
  <c r="X516" i="26"/>
  <c r="X515" i="26"/>
  <c r="X514" i="26"/>
  <c r="X513" i="26"/>
  <c r="X512" i="26"/>
  <c r="X511" i="26"/>
  <c r="X510" i="26"/>
  <c r="X509" i="26"/>
  <c r="X508" i="26"/>
  <c r="X507" i="26"/>
  <c r="X506" i="26"/>
  <c r="X505" i="26"/>
  <c r="X504" i="26"/>
  <c r="X503" i="26"/>
  <c r="X502" i="26"/>
  <c r="X501" i="26"/>
  <c r="X500" i="26"/>
  <c r="X499" i="26"/>
  <c r="X498" i="26"/>
  <c r="X497" i="26"/>
  <c r="X496" i="26"/>
  <c r="X495" i="26"/>
  <c r="X494" i="26"/>
  <c r="X493" i="26"/>
  <c r="X492" i="26"/>
  <c r="X491" i="26"/>
  <c r="X490" i="26"/>
  <c r="X489" i="26"/>
  <c r="X488" i="26"/>
  <c r="X487" i="26"/>
  <c r="X486" i="26"/>
  <c r="X485" i="26"/>
  <c r="X484" i="26"/>
  <c r="X483" i="26"/>
  <c r="X482" i="26"/>
  <c r="X481" i="26"/>
  <c r="X480" i="26"/>
  <c r="X479" i="26"/>
  <c r="X478" i="26"/>
  <c r="X477" i="26"/>
  <c r="X476" i="26"/>
  <c r="X475" i="26"/>
  <c r="X474" i="26"/>
  <c r="X473" i="26"/>
  <c r="X472" i="26"/>
  <c r="X471" i="26"/>
  <c r="X470" i="26"/>
  <c r="X469" i="26"/>
  <c r="X468" i="26"/>
  <c r="X467" i="26"/>
  <c r="X466" i="26"/>
  <c r="X465" i="26"/>
  <c r="X464" i="26"/>
  <c r="X463" i="26"/>
  <c r="X462" i="26"/>
  <c r="X461" i="26"/>
  <c r="X460" i="26"/>
  <c r="X459" i="26"/>
  <c r="X458" i="26"/>
  <c r="X457" i="26"/>
  <c r="X456" i="26"/>
  <c r="X455" i="26"/>
  <c r="X454" i="26"/>
  <c r="X453" i="26"/>
  <c r="X452" i="26"/>
  <c r="X451" i="26"/>
  <c r="X450" i="26"/>
  <c r="X449" i="26"/>
  <c r="X448" i="26"/>
  <c r="X447" i="26"/>
  <c r="X446" i="26"/>
  <c r="X445" i="26"/>
  <c r="X444" i="26"/>
  <c r="X443" i="26"/>
  <c r="X442" i="26"/>
  <c r="X441" i="26"/>
  <c r="X440" i="26"/>
  <c r="X439" i="26"/>
  <c r="X438" i="26"/>
  <c r="X437" i="26"/>
  <c r="X436" i="26"/>
  <c r="X435" i="26"/>
  <c r="X434" i="26"/>
  <c r="X433" i="26"/>
  <c r="X432" i="26"/>
  <c r="X431" i="26"/>
  <c r="X430" i="26"/>
  <c r="X429" i="26"/>
  <c r="X428" i="26"/>
  <c r="X427" i="26"/>
  <c r="X426" i="26"/>
  <c r="X425" i="26"/>
  <c r="X424" i="26"/>
  <c r="X423" i="26"/>
  <c r="X422" i="26"/>
  <c r="X421" i="26"/>
  <c r="X420" i="26"/>
  <c r="X419" i="26"/>
  <c r="X418" i="26"/>
  <c r="X417" i="26"/>
  <c r="X416" i="26"/>
  <c r="X415" i="26"/>
  <c r="X414" i="26"/>
  <c r="X413" i="26"/>
  <c r="X412" i="26"/>
  <c r="X411" i="26"/>
  <c r="X410" i="26"/>
  <c r="X409" i="26"/>
  <c r="X408" i="26"/>
  <c r="X407" i="26"/>
  <c r="X406" i="26"/>
  <c r="X405" i="26"/>
  <c r="X404" i="26"/>
  <c r="X403" i="26"/>
  <c r="X402" i="26"/>
  <c r="X401" i="26"/>
  <c r="X400" i="26"/>
  <c r="X399" i="26"/>
  <c r="X398" i="26"/>
  <c r="X397" i="26"/>
  <c r="X396" i="26"/>
  <c r="X395" i="26"/>
  <c r="X394" i="26"/>
  <c r="X393" i="26"/>
  <c r="X392" i="26"/>
  <c r="X391" i="26"/>
  <c r="X390" i="26"/>
  <c r="X389" i="26"/>
  <c r="X388" i="26"/>
  <c r="X387" i="26"/>
  <c r="X386" i="26"/>
  <c r="X385" i="26"/>
  <c r="X384" i="26"/>
  <c r="X383" i="26"/>
  <c r="X382" i="26"/>
  <c r="X381" i="26"/>
  <c r="X380" i="26"/>
  <c r="X379" i="26"/>
  <c r="X378" i="26"/>
  <c r="X377" i="26"/>
  <c r="X376" i="26"/>
  <c r="X375" i="26"/>
  <c r="X374" i="26"/>
  <c r="X373" i="26"/>
  <c r="X372" i="26"/>
  <c r="X371" i="26"/>
  <c r="X370" i="26"/>
  <c r="X369" i="26"/>
  <c r="X368" i="26"/>
  <c r="X367" i="26"/>
  <c r="X366" i="26"/>
  <c r="X365" i="26"/>
  <c r="X364" i="26"/>
  <c r="X363" i="26"/>
  <c r="X362" i="26"/>
  <c r="X361" i="26"/>
  <c r="X360" i="26"/>
  <c r="X359" i="26"/>
  <c r="X358" i="26"/>
  <c r="X357" i="26"/>
  <c r="X356" i="26"/>
  <c r="X355" i="26"/>
  <c r="X354" i="26"/>
  <c r="X353" i="26"/>
  <c r="X352" i="26"/>
  <c r="X351" i="26"/>
  <c r="X350" i="26"/>
  <c r="X349" i="26"/>
  <c r="X348" i="26"/>
  <c r="X347" i="26"/>
  <c r="X346" i="26"/>
  <c r="X345" i="26"/>
  <c r="X344" i="26"/>
  <c r="X343" i="26"/>
  <c r="X342" i="26"/>
  <c r="X341" i="26"/>
  <c r="X340" i="26"/>
  <c r="X339" i="26"/>
  <c r="X338" i="26"/>
  <c r="X337" i="26"/>
  <c r="X336" i="26"/>
  <c r="X335" i="26"/>
  <c r="X334" i="26"/>
  <c r="X333" i="26"/>
  <c r="X332" i="26"/>
  <c r="X331" i="26"/>
  <c r="X330" i="26"/>
  <c r="X329" i="26"/>
  <c r="X328" i="26"/>
  <c r="X327" i="26"/>
  <c r="X326" i="26"/>
  <c r="X325" i="26"/>
  <c r="X324" i="26"/>
  <c r="X323" i="26"/>
  <c r="X322" i="26"/>
  <c r="X321" i="26"/>
  <c r="X320" i="26"/>
  <c r="X319" i="26"/>
  <c r="X318" i="26"/>
  <c r="X317" i="26"/>
  <c r="X316" i="26"/>
  <c r="X315" i="26"/>
  <c r="X314" i="26"/>
  <c r="X313" i="26"/>
  <c r="X312" i="26"/>
  <c r="X311" i="26"/>
  <c r="X310" i="26"/>
  <c r="X309" i="26"/>
  <c r="X308" i="26"/>
  <c r="X307" i="26"/>
  <c r="X306" i="26"/>
  <c r="X305" i="26"/>
  <c r="X304" i="26"/>
  <c r="X303" i="26"/>
  <c r="X302" i="26"/>
  <c r="X301" i="26"/>
  <c r="X300" i="26"/>
  <c r="X299" i="26"/>
  <c r="X298" i="26"/>
  <c r="X297" i="26"/>
  <c r="X296" i="26"/>
  <c r="X295" i="26"/>
  <c r="X294" i="26"/>
  <c r="X293" i="26"/>
  <c r="X292" i="26"/>
  <c r="X291" i="26"/>
  <c r="X290" i="26"/>
  <c r="X289" i="26"/>
  <c r="X288" i="26"/>
  <c r="X287" i="26"/>
  <c r="X286" i="26"/>
  <c r="X285" i="26"/>
  <c r="X284" i="26"/>
  <c r="X283" i="26"/>
  <c r="X282" i="26"/>
  <c r="X281" i="26"/>
  <c r="X280" i="26"/>
  <c r="X279" i="26"/>
  <c r="X278" i="26"/>
  <c r="X277" i="26"/>
  <c r="X276" i="26"/>
  <c r="X275" i="26"/>
  <c r="X274" i="26"/>
  <c r="X273" i="26"/>
  <c r="X272" i="26"/>
  <c r="X271" i="26"/>
  <c r="X270" i="26"/>
  <c r="X269" i="26"/>
  <c r="X268" i="26"/>
  <c r="X267" i="26"/>
  <c r="X266" i="26"/>
  <c r="X265" i="26"/>
  <c r="X264" i="26"/>
  <c r="X263" i="26"/>
  <c r="X262" i="26"/>
  <c r="X261" i="26"/>
  <c r="X260" i="26"/>
  <c r="X259" i="26"/>
  <c r="X258" i="26"/>
  <c r="X257" i="26"/>
  <c r="X256" i="26"/>
  <c r="X255" i="26"/>
  <c r="X254" i="26"/>
  <c r="X253" i="26"/>
  <c r="X252" i="26"/>
  <c r="X251" i="26"/>
  <c r="X250" i="26"/>
  <c r="X249" i="26"/>
  <c r="X248" i="26"/>
  <c r="X247" i="26"/>
  <c r="X246" i="26"/>
  <c r="X245" i="26"/>
  <c r="X244" i="26"/>
  <c r="X243" i="26"/>
  <c r="X242" i="26"/>
  <c r="X241" i="26"/>
  <c r="X240" i="26"/>
  <c r="X239" i="26"/>
  <c r="X238" i="26"/>
  <c r="X237" i="26"/>
  <c r="X236" i="26"/>
  <c r="X235" i="26"/>
  <c r="X234" i="26"/>
  <c r="X233" i="26"/>
  <c r="X232" i="26"/>
  <c r="X231" i="26"/>
  <c r="X230" i="26"/>
  <c r="X229" i="26"/>
  <c r="X228" i="26"/>
  <c r="X227" i="26"/>
  <c r="X226" i="26"/>
  <c r="X225" i="26"/>
  <c r="X224" i="26"/>
  <c r="X223" i="26"/>
  <c r="X222" i="26"/>
  <c r="X221" i="26"/>
  <c r="X220" i="26"/>
  <c r="X219" i="26"/>
  <c r="X218" i="26"/>
  <c r="X217" i="26"/>
  <c r="X216" i="26"/>
  <c r="X215" i="26"/>
  <c r="X214" i="26"/>
  <c r="X213" i="26"/>
  <c r="X212" i="26"/>
  <c r="X211" i="26"/>
  <c r="X210" i="26"/>
  <c r="X209" i="26"/>
  <c r="X208" i="26"/>
  <c r="X207" i="26"/>
  <c r="X206" i="26"/>
  <c r="X205" i="26"/>
  <c r="X204" i="26"/>
  <c r="X203" i="26"/>
  <c r="X202" i="26"/>
  <c r="X201" i="26"/>
  <c r="X200" i="26"/>
  <c r="X199" i="26"/>
  <c r="X198" i="26"/>
  <c r="X197" i="26"/>
  <c r="X196" i="26"/>
  <c r="X195" i="26"/>
  <c r="X194" i="26"/>
  <c r="X193" i="26"/>
  <c r="X192" i="26"/>
  <c r="X191" i="26"/>
  <c r="X190" i="26"/>
  <c r="X189" i="26"/>
  <c r="X188" i="26"/>
  <c r="X187" i="26"/>
  <c r="X186" i="26"/>
  <c r="X185" i="26"/>
  <c r="X184" i="26"/>
  <c r="X183" i="26"/>
  <c r="X182" i="26"/>
  <c r="X181" i="26"/>
  <c r="X180" i="26"/>
  <c r="X179" i="26"/>
  <c r="X178" i="26"/>
  <c r="X177" i="26"/>
  <c r="X176" i="26"/>
  <c r="X175" i="26"/>
  <c r="X174" i="26"/>
  <c r="X173" i="26"/>
  <c r="X172" i="26"/>
  <c r="X171" i="26"/>
  <c r="X170" i="26"/>
  <c r="X169" i="26"/>
  <c r="X168" i="26"/>
  <c r="X167" i="26"/>
  <c r="X166" i="26"/>
  <c r="X165" i="26"/>
  <c r="X164" i="26"/>
  <c r="X163" i="26"/>
  <c r="X162" i="26"/>
  <c r="X161" i="26"/>
  <c r="X160" i="26"/>
  <c r="X159" i="26"/>
  <c r="X158" i="26"/>
  <c r="X157" i="26"/>
  <c r="X156" i="26"/>
  <c r="X155" i="26"/>
  <c r="X154" i="26"/>
  <c r="X153" i="26"/>
  <c r="X152" i="26"/>
  <c r="X151" i="26"/>
  <c r="X150" i="26"/>
  <c r="X149" i="26"/>
  <c r="X148" i="26"/>
  <c r="X147" i="26"/>
  <c r="X146" i="26"/>
  <c r="X145" i="26"/>
  <c r="X144" i="26"/>
  <c r="X143" i="26"/>
  <c r="X142" i="26"/>
  <c r="X141" i="26"/>
  <c r="X140" i="26"/>
  <c r="X139" i="26"/>
  <c r="X138" i="26"/>
  <c r="X137" i="26"/>
  <c r="X136" i="26"/>
  <c r="X135" i="26"/>
  <c r="X134" i="26"/>
  <c r="X133" i="26"/>
  <c r="X132" i="26"/>
  <c r="X131" i="26"/>
  <c r="X130" i="26"/>
  <c r="X129" i="26"/>
  <c r="X128" i="26"/>
  <c r="X127" i="26"/>
  <c r="X126" i="26"/>
  <c r="X125" i="26"/>
  <c r="X124" i="26"/>
  <c r="X123" i="26"/>
  <c r="X122" i="26"/>
  <c r="X121" i="26"/>
  <c r="X120" i="26"/>
  <c r="X119" i="26"/>
  <c r="X118" i="26"/>
  <c r="X117" i="26"/>
  <c r="X116" i="26"/>
  <c r="X115" i="26"/>
  <c r="X114" i="26"/>
  <c r="X113" i="26"/>
  <c r="X112" i="26"/>
  <c r="X111" i="26"/>
  <c r="X110" i="26"/>
  <c r="X109" i="26"/>
  <c r="X108" i="26"/>
  <c r="X107" i="26"/>
  <c r="X106" i="26"/>
  <c r="X105" i="26"/>
  <c r="X104" i="26"/>
  <c r="X103" i="26"/>
  <c r="X102" i="26"/>
  <c r="X101" i="26"/>
  <c r="X100" i="26"/>
  <c r="X99" i="26"/>
  <c r="X98" i="26"/>
  <c r="X97" i="26"/>
  <c r="X96" i="26"/>
  <c r="X95" i="26"/>
  <c r="X94" i="26"/>
  <c r="X93" i="26"/>
  <c r="X92" i="26"/>
  <c r="X91" i="26"/>
  <c r="X90" i="26"/>
  <c r="X89" i="26"/>
  <c r="X88" i="26"/>
  <c r="X87" i="26"/>
  <c r="X86" i="26"/>
  <c r="X85" i="26"/>
  <c r="X84" i="26"/>
  <c r="X83" i="26"/>
  <c r="X82" i="26"/>
  <c r="X81" i="26"/>
  <c r="X80" i="26"/>
  <c r="X79" i="26"/>
  <c r="X78" i="26"/>
  <c r="X77" i="26"/>
  <c r="X76" i="26"/>
  <c r="X75" i="26"/>
  <c r="X74" i="26"/>
  <c r="X73" i="26"/>
  <c r="X72" i="26"/>
  <c r="X71" i="26"/>
  <c r="X70" i="26"/>
  <c r="X69" i="26"/>
  <c r="X68" i="26"/>
  <c r="X67" i="26"/>
  <c r="X66" i="26"/>
  <c r="X65" i="26"/>
  <c r="X64" i="26"/>
  <c r="X63" i="26"/>
  <c r="X62" i="26"/>
  <c r="X61" i="26"/>
  <c r="X60" i="26"/>
  <c r="X59" i="26"/>
  <c r="X58" i="26"/>
  <c r="X57" i="26"/>
  <c r="X56" i="26"/>
  <c r="X55" i="26"/>
  <c r="X54" i="26"/>
  <c r="X53" i="26"/>
  <c r="X52" i="26"/>
  <c r="X51" i="26"/>
  <c r="X50" i="26"/>
  <c r="X49" i="26"/>
  <c r="X48" i="26"/>
  <c r="X47" i="26"/>
  <c r="X46" i="26"/>
  <c r="X45" i="26"/>
  <c r="X44" i="26"/>
  <c r="X43" i="26"/>
  <c r="X42" i="26"/>
  <c r="X41" i="26"/>
  <c r="X40" i="26"/>
  <c r="X39" i="26"/>
  <c r="X38" i="26"/>
  <c r="X37" i="26"/>
  <c r="X36" i="26"/>
  <c r="X35" i="26"/>
  <c r="X34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20" i="26"/>
  <c r="X19" i="26"/>
  <c r="X18" i="26"/>
  <c r="X17" i="26"/>
  <c r="X16" i="26"/>
  <c r="X15" i="26"/>
  <c r="X14" i="26"/>
  <c r="X13" i="26"/>
  <c r="X12" i="26"/>
  <c r="X11" i="26"/>
  <c r="X10" i="26"/>
  <c r="X9" i="26"/>
  <c r="X8" i="26"/>
  <c r="X7" i="26"/>
  <c r="X6" i="26"/>
  <c r="X5" i="26"/>
  <c r="X4" i="26"/>
  <c r="X3" i="26"/>
  <c r="W558" i="26"/>
  <c r="W557" i="26"/>
  <c r="W556" i="26"/>
  <c r="W555" i="26"/>
  <c r="W554" i="26"/>
  <c r="W553" i="26"/>
  <c r="W552" i="26"/>
  <c r="W551" i="26"/>
  <c r="W550" i="26"/>
  <c r="W549" i="26"/>
  <c r="W548" i="26"/>
  <c r="W547" i="26"/>
  <c r="W546" i="26"/>
  <c r="W545" i="26"/>
  <c r="W544" i="26"/>
  <c r="W543" i="26"/>
  <c r="W542" i="26"/>
  <c r="W541" i="26"/>
  <c r="W540" i="26"/>
  <c r="W539" i="26"/>
  <c r="W538" i="26"/>
  <c r="W537" i="26"/>
  <c r="W536" i="26"/>
  <c r="W535" i="26"/>
  <c r="W534" i="26"/>
  <c r="W533" i="26"/>
  <c r="W532" i="26"/>
  <c r="W531" i="26"/>
  <c r="W530" i="26"/>
  <c r="W529" i="26"/>
  <c r="W528" i="26"/>
  <c r="W527" i="26"/>
  <c r="W526" i="26"/>
  <c r="W525" i="26"/>
  <c r="W524" i="26"/>
  <c r="W523" i="26"/>
  <c r="W522" i="26"/>
  <c r="W521" i="26"/>
  <c r="W520" i="26"/>
  <c r="W519" i="26"/>
  <c r="W518" i="26"/>
  <c r="W517" i="26"/>
  <c r="W516" i="26"/>
  <c r="W515" i="26"/>
  <c r="W514" i="26"/>
  <c r="W513" i="26"/>
  <c r="W512" i="26"/>
  <c r="W511" i="26"/>
  <c r="W510" i="26"/>
  <c r="W509" i="26"/>
  <c r="W508" i="26"/>
  <c r="W507" i="26"/>
  <c r="W506" i="26"/>
  <c r="W505" i="26"/>
  <c r="W504" i="26"/>
  <c r="W503" i="26"/>
  <c r="W502" i="26"/>
  <c r="W501" i="26"/>
  <c r="W500" i="26"/>
  <c r="W499" i="26"/>
  <c r="W498" i="26"/>
  <c r="W497" i="26"/>
  <c r="W496" i="26"/>
  <c r="W495" i="26"/>
  <c r="W494" i="26"/>
  <c r="W493" i="26"/>
  <c r="W492" i="26"/>
  <c r="W491" i="26"/>
  <c r="W490" i="26"/>
  <c r="W489" i="26"/>
  <c r="W488" i="26"/>
  <c r="W487" i="26"/>
  <c r="W486" i="26"/>
  <c r="W485" i="26"/>
  <c r="W484" i="26"/>
  <c r="W483" i="26"/>
  <c r="W482" i="26"/>
  <c r="W481" i="26"/>
  <c r="W480" i="26"/>
  <c r="W479" i="26"/>
  <c r="W478" i="26"/>
  <c r="W477" i="26"/>
  <c r="W476" i="26"/>
  <c r="W475" i="26"/>
  <c r="W474" i="26"/>
  <c r="W473" i="26"/>
  <c r="W472" i="26"/>
  <c r="W471" i="26"/>
  <c r="W470" i="26"/>
  <c r="W469" i="26"/>
  <c r="W468" i="26"/>
  <c r="W467" i="26"/>
  <c r="W466" i="26"/>
  <c r="W465" i="26"/>
  <c r="W464" i="26"/>
  <c r="W463" i="26"/>
  <c r="W462" i="26"/>
  <c r="W461" i="26"/>
  <c r="W460" i="26"/>
  <c r="W459" i="26"/>
  <c r="W458" i="26"/>
  <c r="W457" i="26"/>
  <c r="W456" i="26"/>
  <c r="W455" i="26"/>
  <c r="W454" i="26"/>
  <c r="W453" i="26"/>
  <c r="W452" i="26"/>
  <c r="W451" i="26"/>
  <c r="W450" i="26"/>
  <c r="W449" i="26"/>
  <c r="W448" i="26"/>
  <c r="W447" i="26"/>
  <c r="W446" i="26"/>
  <c r="W445" i="26"/>
  <c r="W444" i="26"/>
  <c r="W443" i="26"/>
  <c r="W442" i="26"/>
  <c r="W441" i="26"/>
  <c r="W440" i="26"/>
  <c r="W439" i="26"/>
  <c r="W438" i="26"/>
  <c r="W437" i="26"/>
  <c r="W436" i="26"/>
  <c r="W435" i="26"/>
  <c r="W434" i="26"/>
  <c r="W433" i="26"/>
  <c r="W432" i="26"/>
  <c r="W431" i="26"/>
  <c r="W430" i="26"/>
  <c r="W429" i="26"/>
  <c r="W428" i="26"/>
  <c r="W427" i="26"/>
  <c r="W426" i="26"/>
  <c r="W425" i="26"/>
  <c r="W424" i="26"/>
  <c r="W423" i="26"/>
  <c r="W422" i="26"/>
  <c r="W421" i="26"/>
  <c r="W420" i="26"/>
  <c r="W419" i="26"/>
  <c r="W418" i="26"/>
  <c r="W417" i="26"/>
  <c r="W416" i="26"/>
  <c r="W415" i="26"/>
  <c r="W414" i="26"/>
  <c r="W413" i="26"/>
  <c r="W412" i="26"/>
  <c r="W411" i="26"/>
  <c r="W410" i="26"/>
  <c r="W409" i="26"/>
  <c r="W408" i="26"/>
  <c r="W407" i="26"/>
  <c r="W406" i="26"/>
  <c r="W405" i="26"/>
  <c r="W404" i="26"/>
  <c r="W403" i="26"/>
  <c r="W402" i="26"/>
  <c r="W401" i="26"/>
  <c r="W400" i="26"/>
  <c r="W399" i="26"/>
  <c r="W398" i="26"/>
  <c r="W397" i="26"/>
  <c r="W396" i="26"/>
  <c r="W395" i="26"/>
  <c r="W394" i="26"/>
  <c r="W393" i="26"/>
  <c r="W392" i="26"/>
  <c r="W391" i="26"/>
  <c r="W390" i="26"/>
  <c r="W389" i="26"/>
  <c r="W388" i="26"/>
  <c r="W387" i="26"/>
  <c r="W386" i="26"/>
  <c r="W385" i="26"/>
  <c r="W384" i="26"/>
  <c r="W383" i="26"/>
  <c r="W382" i="26"/>
  <c r="W381" i="26"/>
  <c r="W380" i="26"/>
  <c r="W379" i="26"/>
  <c r="W378" i="26"/>
  <c r="W377" i="26"/>
  <c r="W376" i="26"/>
  <c r="W375" i="26"/>
  <c r="W374" i="26"/>
  <c r="W373" i="26"/>
  <c r="W372" i="26"/>
  <c r="W371" i="26"/>
  <c r="W370" i="26"/>
  <c r="W369" i="26"/>
  <c r="W368" i="26"/>
  <c r="W367" i="26"/>
  <c r="W366" i="26"/>
  <c r="W365" i="26"/>
  <c r="W364" i="26"/>
  <c r="W363" i="26"/>
  <c r="W362" i="26"/>
  <c r="W361" i="26"/>
  <c r="W360" i="26"/>
  <c r="W359" i="26"/>
  <c r="W358" i="26"/>
  <c r="W357" i="26"/>
  <c r="W356" i="26"/>
  <c r="W355" i="26"/>
  <c r="W354" i="26"/>
  <c r="W353" i="26"/>
  <c r="W352" i="26"/>
  <c r="W351" i="26"/>
  <c r="W350" i="26"/>
  <c r="W349" i="26"/>
  <c r="W348" i="26"/>
  <c r="W347" i="26"/>
  <c r="W346" i="26"/>
  <c r="W345" i="26"/>
  <c r="W344" i="26"/>
  <c r="W343" i="26"/>
  <c r="W342" i="26"/>
  <c r="W341" i="26"/>
  <c r="W340" i="26"/>
  <c r="W339" i="26"/>
  <c r="W338" i="26"/>
  <c r="W337" i="26"/>
  <c r="W336" i="26"/>
  <c r="W335" i="26"/>
  <c r="W334" i="26"/>
  <c r="W333" i="26"/>
  <c r="W332" i="26"/>
  <c r="W331" i="26"/>
  <c r="W330" i="26"/>
  <c r="W329" i="26"/>
  <c r="W328" i="26"/>
  <c r="W327" i="26"/>
  <c r="W326" i="26"/>
  <c r="W325" i="26"/>
  <c r="W324" i="26"/>
  <c r="W323" i="26"/>
  <c r="W322" i="26"/>
  <c r="W321" i="26"/>
  <c r="W320" i="26"/>
  <c r="W319" i="26"/>
  <c r="W318" i="26"/>
  <c r="W317" i="26"/>
  <c r="W316" i="26"/>
  <c r="W315" i="26"/>
  <c r="W314" i="26"/>
  <c r="W313" i="26"/>
  <c r="W312" i="26"/>
  <c r="W311" i="26"/>
  <c r="W310" i="26"/>
  <c r="W309" i="26"/>
  <c r="W308" i="26"/>
  <c r="W307" i="26"/>
  <c r="W306" i="26"/>
  <c r="W305" i="26"/>
  <c r="W304" i="26"/>
  <c r="W303" i="26"/>
  <c r="W302" i="26"/>
  <c r="W301" i="26"/>
  <c r="W300" i="26"/>
  <c r="W299" i="26"/>
  <c r="W298" i="26"/>
  <c r="W297" i="26"/>
  <c r="W296" i="26"/>
  <c r="W295" i="26"/>
  <c r="W294" i="26"/>
  <c r="W293" i="26"/>
  <c r="W292" i="26"/>
  <c r="W291" i="26"/>
  <c r="W290" i="26"/>
  <c r="W289" i="26"/>
  <c r="W288" i="26"/>
  <c r="W287" i="26"/>
  <c r="W286" i="26"/>
  <c r="W285" i="26"/>
  <c r="W284" i="26"/>
  <c r="W283" i="26"/>
  <c r="W282" i="26"/>
  <c r="W281" i="26"/>
  <c r="W280" i="26"/>
  <c r="W279" i="26"/>
  <c r="W278" i="26"/>
  <c r="W277" i="26"/>
  <c r="W276" i="26"/>
  <c r="W275" i="26"/>
  <c r="W274" i="26"/>
  <c r="W273" i="26"/>
  <c r="W272" i="26"/>
  <c r="W271" i="26"/>
  <c r="W270" i="26"/>
  <c r="W269" i="26"/>
  <c r="W268" i="26"/>
  <c r="W267" i="26"/>
  <c r="W266" i="26"/>
  <c r="W265" i="26"/>
  <c r="W264" i="26"/>
  <c r="W263" i="26"/>
  <c r="W262" i="26"/>
  <c r="W261" i="26"/>
  <c r="W260" i="26"/>
  <c r="W259" i="26"/>
  <c r="W258" i="26"/>
  <c r="W257" i="26"/>
  <c r="W256" i="26"/>
  <c r="W255" i="26"/>
  <c r="W254" i="26"/>
  <c r="W253" i="26"/>
  <c r="W252" i="26"/>
  <c r="W251" i="26"/>
  <c r="W250" i="26"/>
  <c r="W249" i="26"/>
  <c r="W248" i="26"/>
  <c r="W247" i="26"/>
  <c r="W246" i="26"/>
  <c r="W245" i="26"/>
  <c r="W244" i="26"/>
  <c r="W243" i="26"/>
  <c r="W242" i="26"/>
  <c r="W241" i="26"/>
  <c r="W240" i="26"/>
  <c r="W239" i="26"/>
  <c r="W238" i="26"/>
  <c r="W237" i="26"/>
  <c r="W236" i="26"/>
  <c r="W235" i="26"/>
  <c r="W234" i="26"/>
  <c r="W233" i="26"/>
  <c r="W232" i="26"/>
  <c r="W231" i="26"/>
  <c r="W230" i="26"/>
  <c r="W229" i="26"/>
  <c r="W228" i="26"/>
  <c r="W227" i="26"/>
  <c r="W226" i="26"/>
  <c r="W225" i="26"/>
  <c r="W224" i="26"/>
  <c r="W223" i="26"/>
  <c r="W222" i="26"/>
  <c r="W221" i="26"/>
  <c r="W220" i="26"/>
  <c r="W219" i="26"/>
  <c r="W218" i="26"/>
  <c r="W217" i="26"/>
  <c r="W216" i="26"/>
  <c r="W215" i="26"/>
  <c r="W214" i="26"/>
  <c r="W213" i="26"/>
  <c r="W212" i="26"/>
  <c r="W211" i="26"/>
  <c r="W210" i="26"/>
  <c r="W209" i="26"/>
  <c r="W208" i="26"/>
  <c r="W207" i="26"/>
  <c r="W206" i="26"/>
  <c r="W205" i="26"/>
  <c r="W204" i="26"/>
  <c r="W203" i="26"/>
  <c r="W202" i="26"/>
  <c r="W201" i="26"/>
  <c r="W200" i="26"/>
  <c r="W199" i="26"/>
  <c r="W198" i="26"/>
  <c r="W197" i="26"/>
  <c r="W196" i="26"/>
  <c r="W195" i="26"/>
  <c r="W194" i="26"/>
  <c r="W193" i="26"/>
  <c r="W192" i="26"/>
  <c r="W191" i="26"/>
  <c r="W190" i="26"/>
  <c r="W189" i="26"/>
  <c r="W188" i="26"/>
  <c r="W187" i="26"/>
  <c r="W186" i="26"/>
  <c r="W185" i="26"/>
  <c r="W184" i="26"/>
  <c r="W183" i="26"/>
  <c r="W182" i="26"/>
  <c r="W181" i="26"/>
  <c r="W180" i="26"/>
  <c r="W179" i="26"/>
  <c r="W178" i="26"/>
  <c r="W177" i="26"/>
  <c r="W176" i="26"/>
  <c r="W175" i="26"/>
  <c r="W174" i="26"/>
  <c r="W173" i="26"/>
  <c r="W172" i="26"/>
  <c r="W171" i="26"/>
  <c r="W170" i="26"/>
  <c r="W169" i="26"/>
  <c r="W168" i="26"/>
  <c r="W167" i="26"/>
  <c r="W166" i="26"/>
  <c r="W165" i="26"/>
  <c r="W164" i="26"/>
  <c r="W163" i="26"/>
  <c r="W162" i="26"/>
  <c r="W161" i="26"/>
  <c r="W160" i="26"/>
  <c r="W159" i="26"/>
  <c r="W158" i="26"/>
  <c r="W157" i="26"/>
  <c r="W156" i="26"/>
  <c r="W155" i="26"/>
  <c r="W154" i="26"/>
  <c r="W153" i="26"/>
  <c r="W152" i="26"/>
  <c r="W151" i="26"/>
  <c r="W150" i="26"/>
  <c r="W149" i="26"/>
  <c r="W148" i="26"/>
  <c r="W147" i="26"/>
  <c r="W146" i="26"/>
  <c r="W145" i="26"/>
  <c r="W144" i="26"/>
  <c r="W143" i="26"/>
  <c r="W142" i="26"/>
  <c r="W141" i="26"/>
  <c r="W140" i="26"/>
  <c r="W139" i="26"/>
  <c r="W138" i="26"/>
  <c r="W137" i="26"/>
  <c r="W136" i="26"/>
  <c r="W135" i="26"/>
  <c r="W134" i="26"/>
  <c r="W133" i="26"/>
  <c r="W132" i="26"/>
  <c r="W131" i="26"/>
  <c r="W130" i="26"/>
  <c r="W129" i="26"/>
  <c r="W128" i="26"/>
  <c r="W127" i="26"/>
  <c r="W126" i="26"/>
  <c r="W125" i="26"/>
  <c r="W124" i="26"/>
  <c r="W123" i="26"/>
  <c r="W122" i="26"/>
  <c r="W121" i="26"/>
  <c r="W120" i="26"/>
  <c r="W119" i="26"/>
  <c r="W118" i="26"/>
  <c r="W117" i="26"/>
  <c r="W116" i="26"/>
  <c r="W115" i="26"/>
  <c r="W114" i="26"/>
  <c r="W113" i="26"/>
  <c r="W112" i="26"/>
  <c r="W111" i="26"/>
  <c r="W110" i="26"/>
  <c r="W109" i="26"/>
  <c r="W108" i="26"/>
  <c r="W107" i="26"/>
  <c r="W106" i="26"/>
  <c r="W105" i="26"/>
  <c r="W104" i="26"/>
  <c r="W103" i="26"/>
  <c r="W102" i="26"/>
  <c r="W101" i="26"/>
  <c r="W100" i="26"/>
  <c r="W99" i="26"/>
  <c r="W98" i="26"/>
  <c r="W97" i="26"/>
  <c r="W96" i="26"/>
  <c r="W95" i="26"/>
  <c r="W94" i="26"/>
  <c r="W93" i="26"/>
  <c r="W92" i="26"/>
  <c r="W91" i="26"/>
  <c r="W90" i="26"/>
  <c r="W89" i="26"/>
  <c r="W88" i="26"/>
  <c r="W87" i="26"/>
  <c r="W86" i="26"/>
  <c r="W85" i="26"/>
  <c r="W84" i="26"/>
  <c r="W83" i="26"/>
  <c r="W82" i="26"/>
  <c r="W81" i="26"/>
  <c r="W80" i="26"/>
  <c r="W79" i="26"/>
  <c r="W78" i="26"/>
  <c r="W77" i="26"/>
  <c r="W76" i="26"/>
  <c r="W75" i="26"/>
  <c r="W74" i="26"/>
  <c r="W73" i="26"/>
  <c r="W72" i="26"/>
  <c r="W71" i="26"/>
  <c r="W70" i="26"/>
  <c r="W69" i="26"/>
  <c r="W68" i="26"/>
  <c r="W67" i="26"/>
  <c r="W66" i="26"/>
  <c r="W65" i="26"/>
  <c r="W64" i="26"/>
  <c r="W63" i="26"/>
  <c r="W62" i="26"/>
  <c r="W61" i="26"/>
  <c r="W60" i="26"/>
  <c r="W59" i="26"/>
  <c r="W58" i="26"/>
  <c r="W57" i="26"/>
  <c r="W56" i="26"/>
  <c r="W55" i="26"/>
  <c r="W54" i="26"/>
  <c r="W53" i="26"/>
  <c r="W52" i="26"/>
  <c r="W51" i="26"/>
  <c r="W50" i="26"/>
  <c r="W49" i="26"/>
  <c r="W48" i="26"/>
  <c r="W47" i="26"/>
  <c r="W46" i="26"/>
  <c r="W45" i="26"/>
  <c r="W44" i="26"/>
  <c r="W43" i="26"/>
  <c r="W42" i="26"/>
  <c r="W41" i="26"/>
  <c r="W40" i="26"/>
  <c r="W39" i="26"/>
  <c r="W38" i="26"/>
  <c r="W37" i="26"/>
  <c r="W36" i="26"/>
  <c r="W35" i="26"/>
  <c r="W34" i="26"/>
  <c r="W33" i="26"/>
  <c r="W32" i="26"/>
  <c r="W31" i="26"/>
  <c r="W30" i="26"/>
  <c r="W29" i="26"/>
  <c r="W28" i="26"/>
  <c r="W27" i="26"/>
  <c r="W26" i="26"/>
  <c r="W25" i="26"/>
  <c r="W24" i="26"/>
  <c r="W23" i="26"/>
  <c r="W22" i="26"/>
  <c r="W21" i="26"/>
  <c r="W20" i="26"/>
  <c r="W19" i="26"/>
  <c r="W18" i="26"/>
  <c r="W17" i="26"/>
  <c r="W16" i="26"/>
  <c r="W15" i="26"/>
  <c r="W14" i="26"/>
  <c r="W13" i="26"/>
  <c r="W12" i="26"/>
  <c r="W11" i="26"/>
  <c r="W10" i="26"/>
  <c r="W9" i="26"/>
  <c r="W8" i="26"/>
  <c r="W7" i="26"/>
  <c r="W6" i="26"/>
  <c r="W5" i="26"/>
  <c r="W4" i="26"/>
  <c r="W3" i="26"/>
  <c r="R558" i="26"/>
  <c r="R557" i="26"/>
  <c r="R556" i="26"/>
  <c r="R555" i="26"/>
  <c r="R554" i="26"/>
  <c r="R553" i="26"/>
  <c r="R552" i="26"/>
  <c r="R551" i="26"/>
  <c r="R550" i="26"/>
  <c r="R549" i="26"/>
  <c r="R548" i="26"/>
  <c r="R547" i="26"/>
  <c r="R546" i="26"/>
  <c r="R545" i="26"/>
  <c r="R544" i="26"/>
  <c r="R543" i="26"/>
  <c r="R542" i="26"/>
  <c r="R541" i="26"/>
  <c r="R540" i="26"/>
  <c r="R539" i="26"/>
  <c r="R538" i="26"/>
  <c r="R537" i="26"/>
  <c r="R536" i="26"/>
  <c r="R535" i="26"/>
  <c r="R534" i="26"/>
  <c r="R533" i="26"/>
  <c r="R532" i="26"/>
  <c r="R531" i="26"/>
  <c r="R530" i="26"/>
  <c r="R529" i="26"/>
  <c r="R528" i="26"/>
  <c r="R527" i="26"/>
  <c r="R526" i="26"/>
  <c r="R525" i="26"/>
  <c r="R524" i="26"/>
  <c r="R523" i="26"/>
  <c r="R522" i="26"/>
  <c r="R521" i="26"/>
  <c r="R520" i="26"/>
  <c r="R519" i="26"/>
  <c r="R518" i="26"/>
  <c r="R517" i="26"/>
  <c r="R516" i="26"/>
  <c r="R515" i="26"/>
  <c r="R514" i="26"/>
  <c r="R513" i="26"/>
  <c r="R512" i="26"/>
  <c r="R511" i="26"/>
  <c r="R510" i="26"/>
  <c r="R509" i="26"/>
  <c r="R508" i="26"/>
  <c r="R507" i="26"/>
  <c r="R506" i="26"/>
  <c r="R505" i="26"/>
  <c r="R504" i="26"/>
  <c r="R503" i="26"/>
  <c r="R502" i="26"/>
  <c r="R501" i="26"/>
  <c r="R500" i="26"/>
  <c r="R499" i="26"/>
  <c r="R498" i="26"/>
  <c r="R497" i="26"/>
  <c r="R496" i="26"/>
  <c r="R495" i="26"/>
  <c r="R494" i="26"/>
  <c r="R493" i="26"/>
  <c r="R492" i="26"/>
  <c r="R491" i="26"/>
  <c r="R490" i="26"/>
  <c r="R489" i="26"/>
  <c r="R488" i="26"/>
  <c r="R487" i="26"/>
  <c r="R486" i="26"/>
  <c r="R485" i="26"/>
  <c r="R484" i="26"/>
  <c r="R483" i="26"/>
  <c r="R482" i="26"/>
  <c r="R481" i="26"/>
  <c r="R480" i="26"/>
  <c r="R479" i="26"/>
  <c r="R478" i="26"/>
  <c r="R477" i="26"/>
  <c r="R476" i="26"/>
  <c r="R475" i="26"/>
  <c r="R474" i="26"/>
  <c r="R473" i="26"/>
  <c r="R472" i="26"/>
  <c r="R471" i="26"/>
  <c r="R470" i="26"/>
  <c r="R469" i="26"/>
  <c r="R468" i="26"/>
  <c r="R467" i="26"/>
  <c r="R466" i="26"/>
  <c r="R465" i="26"/>
  <c r="R464" i="26"/>
  <c r="R463" i="26"/>
  <c r="R462" i="26"/>
  <c r="R461" i="26"/>
  <c r="R460" i="26"/>
  <c r="R459" i="26"/>
  <c r="R458" i="26"/>
  <c r="R457" i="26"/>
  <c r="R456" i="26"/>
  <c r="R455" i="26"/>
  <c r="R454" i="26"/>
  <c r="R453" i="26"/>
  <c r="R452" i="26"/>
  <c r="R451" i="26"/>
  <c r="R450" i="26"/>
  <c r="R449" i="26"/>
  <c r="R448" i="26"/>
  <c r="R447" i="26"/>
  <c r="R446" i="26"/>
  <c r="R445" i="26"/>
  <c r="R444" i="26"/>
  <c r="R443" i="26"/>
  <c r="R442" i="26"/>
  <c r="R441" i="26"/>
  <c r="R440" i="26"/>
  <c r="R439" i="26"/>
  <c r="R438" i="26"/>
  <c r="R437" i="26"/>
  <c r="R436" i="26"/>
  <c r="R435" i="26"/>
  <c r="R434" i="26"/>
  <c r="R433" i="26"/>
  <c r="R432" i="26"/>
  <c r="R431" i="26"/>
  <c r="R430" i="26"/>
  <c r="R429" i="26"/>
  <c r="R428" i="26"/>
  <c r="R427" i="26"/>
  <c r="R426" i="26"/>
  <c r="R425" i="26"/>
  <c r="R424" i="26"/>
  <c r="R423" i="26"/>
  <c r="R422" i="26"/>
  <c r="R421" i="26"/>
  <c r="R420" i="26"/>
  <c r="R419" i="26"/>
  <c r="R418" i="26"/>
  <c r="R417" i="26"/>
  <c r="R416" i="26"/>
  <c r="R415" i="26"/>
  <c r="R414" i="26"/>
  <c r="R413" i="26"/>
  <c r="R412" i="26"/>
  <c r="R411" i="26"/>
  <c r="R410" i="26"/>
  <c r="R409" i="26"/>
  <c r="R408" i="26"/>
  <c r="R407" i="26"/>
  <c r="R406" i="26"/>
  <c r="R405" i="26"/>
  <c r="R404" i="26"/>
  <c r="R403" i="26"/>
  <c r="R402" i="26"/>
  <c r="R401" i="26"/>
  <c r="R400" i="26"/>
  <c r="R399" i="26"/>
  <c r="R398" i="26"/>
  <c r="R397" i="26"/>
  <c r="R396" i="26"/>
  <c r="R395" i="26"/>
  <c r="R394" i="26"/>
  <c r="R393" i="26"/>
  <c r="R392" i="26"/>
  <c r="R391" i="26"/>
  <c r="R390" i="26"/>
  <c r="R389" i="26"/>
  <c r="R388" i="26"/>
  <c r="R387" i="26"/>
  <c r="R386" i="26"/>
  <c r="R385" i="26"/>
  <c r="R384" i="26"/>
  <c r="R383" i="26"/>
  <c r="R382" i="26"/>
  <c r="R381" i="26"/>
  <c r="R380" i="26"/>
  <c r="R379" i="26"/>
  <c r="R378" i="26"/>
  <c r="R377" i="26"/>
  <c r="R376" i="26"/>
  <c r="R375" i="26"/>
  <c r="R374" i="26"/>
  <c r="R373" i="26"/>
  <c r="R372" i="26"/>
  <c r="R371" i="26"/>
  <c r="R370" i="26"/>
  <c r="R369" i="26"/>
  <c r="R368" i="26"/>
  <c r="R367" i="26"/>
  <c r="R366" i="26"/>
  <c r="R365" i="26"/>
  <c r="R364" i="26"/>
  <c r="R363" i="26"/>
  <c r="R362" i="26"/>
  <c r="R361" i="26"/>
  <c r="R360" i="26"/>
  <c r="R359" i="26"/>
  <c r="R358" i="26"/>
  <c r="R357" i="26"/>
  <c r="R356" i="26"/>
  <c r="R355" i="26"/>
  <c r="R354" i="26"/>
  <c r="R353" i="26"/>
  <c r="R352" i="26"/>
  <c r="R351" i="26"/>
  <c r="R350" i="26"/>
  <c r="R349" i="26"/>
  <c r="R348" i="26"/>
  <c r="R347" i="26"/>
  <c r="R346" i="26"/>
  <c r="R345" i="26"/>
  <c r="R344" i="26"/>
  <c r="R343" i="26"/>
  <c r="R342" i="26"/>
  <c r="R341" i="26"/>
  <c r="R340" i="26"/>
  <c r="R339" i="26"/>
  <c r="R338" i="26"/>
  <c r="R337" i="26"/>
  <c r="R336" i="26"/>
  <c r="R335" i="26"/>
  <c r="R334" i="26"/>
  <c r="R333" i="26"/>
  <c r="R332" i="26"/>
  <c r="R331" i="26"/>
  <c r="R330" i="26"/>
  <c r="R329" i="26"/>
  <c r="R328" i="26"/>
  <c r="R327" i="26"/>
  <c r="R326" i="26"/>
  <c r="R325" i="26"/>
  <c r="R324" i="26"/>
  <c r="R323" i="26"/>
  <c r="R322" i="26"/>
  <c r="R321" i="26"/>
  <c r="R320" i="26"/>
  <c r="R319" i="26"/>
  <c r="R318" i="26"/>
  <c r="R317" i="26"/>
  <c r="R316" i="26"/>
  <c r="R315" i="26"/>
  <c r="R314" i="26"/>
  <c r="R313" i="26"/>
  <c r="R312" i="26"/>
  <c r="R311" i="26"/>
  <c r="R310" i="26"/>
  <c r="R309" i="26"/>
  <c r="R308" i="26"/>
  <c r="R307" i="26"/>
  <c r="R306" i="26"/>
  <c r="R305" i="26"/>
  <c r="R304" i="26"/>
  <c r="R303" i="26"/>
  <c r="R302" i="26"/>
  <c r="R301" i="26"/>
  <c r="R300" i="26"/>
  <c r="R299" i="26"/>
  <c r="R298" i="26"/>
  <c r="R297" i="26"/>
  <c r="R296" i="26"/>
  <c r="R295" i="26"/>
  <c r="R294" i="26"/>
  <c r="R293" i="26"/>
  <c r="R292" i="26"/>
  <c r="R291" i="26"/>
  <c r="R290" i="26"/>
  <c r="R289" i="26"/>
  <c r="R288" i="26"/>
  <c r="R287" i="26"/>
  <c r="R286" i="26"/>
  <c r="R285" i="26"/>
  <c r="R284" i="26"/>
  <c r="R283" i="26"/>
  <c r="R282" i="26"/>
  <c r="R281" i="26"/>
  <c r="R280" i="26"/>
  <c r="R279" i="26"/>
  <c r="R278" i="26"/>
  <c r="R277" i="26"/>
  <c r="R276" i="26"/>
  <c r="R275" i="26"/>
  <c r="R274" i="26"/>
  <c r="R273" i="26"/>
  <c r="R272" i="26"/>
  <c r="R271" i="26"/>
  <c r="R270" i="26"/>
  <c r="R269" i="26"/>
  <c r="R268" i="26"/>
  <c r="R267" i="26"/>
  <c r="R266" i="26"/>
  <c r="R265" i="26"/>
  <c r="R264" i="26"/>
  <c r="R263" i="26"/>
  <c r="R262" i="26"/>
  <c r="R261" i="26"/>
  <c r="R260" i="26"/>
  <c r="R259" i="26"/>
  <c r="R258" i="26"/>
  <c r="R257" i="26"/>
  <c r="R256" i="26"/>
  <c r="R255" i="26"/>
  <c r="R254" i="26"/>
  <c r="R253" i="26"/>
  <c r="R252" i="26"/>
  <c r="R251" i="26"/>
  <c r="R250" i="26"/>
  <c r="R249" i="26"/>
  <c r="R248" i="26"/>
  <c r="R247" i="26"/>
  <c r="R246" i="26"/>
  <c r="R245" i="26"/>
  <c r="R244" i="26"/>
  <c r="R243" i="26"/>
  <c r="R242" i="26"/>
  <c r="R241" i="26"/>
  <c r="R240" i="26"/>
  <c r="R239" i="26"/>
  <c r="R238" i="26"/>
  <c r="R237" i="26"/>
  <c r="R236" i="26"/>
  <c r="R235" i="26"/>
  <c r="R234" i="26"/>
  <c r="R233" i="26"/>
  <c r="R232" i="26"/>
  <c r="R231" i="26"/>
  <c r="R230" i="26"/>
  <c r="R229" i="26"/>
  <c r="R228" i="26"/>
  <c r="R227" i="26"/>
  <c r="R226" i="26"/>
  <c r="R225" i="26"/>
  <c r="R224" i="26"/>
  <c r="R223" i="26"/>
  <c r="R222" i="26"/>
  <c r="R221" i="26"/>
  <c r="R220" i="26"/>
  <c r="R219" i="26"/>
  <c r="R218" i="26"/>
  <c r="R217" i="26"/>
  <c r="R216" i="26"/>
  <c r="R215" i="26"/>
  <c r="R214" i="26"/>
  <c r="R213" i="26"/>
  <c r="R212" i="26"/>
  <c r="R211" i="26"/>
  <c r="R210" i="26"/>
  <c r="R209" i="26"/>
  <c r="R208" i="26"/>
  <c r="R207" i="26"/>
  <c r="R206" i="26"/>
  <c r="R205" i="26"/>
  <c r="R204" i="26"/>
  <c r="R203" i="26"/>
  <c r="R202" i="26"/>
  <c r="R201" i="26"/>
  <c r="R200" i="26"/>
  <c r="R199" i="26"/>
  <c r="R198" i="26"/>
  <c r="R197" i="26"/>
  <c r="R196" i="26"/>
  <c r="R195" i="26"/>
  <c r="R194" i="26"/>
  <c r="R193" i="26"/>
  <c r="R192" i="26"/>
  <c r="R191" i="26"/>
  <c r="R190" i="26"/>
  <c r="R189" i="26"/>
  <c r="R188" i="26"/>
  <c r="R187" i="26"/>
  <c r="R186" i="26"/>
  <c r="R185" i="26"/>
  <c r="R184" i="26"/>
  <c r="R183" i="26"/>
  <c r="R182" i="26"/>
  <c r="R181" i="26"/>
  <c r="R180" i="26"/>
  <c r="R179" i="26"/>
  <c r="R178" i="26"/>
  <c r="R177" i="26"/>
  <c r="R176" i="26"/>
  <c r="R175" i="26"/>
  <c r="R174" i="26"/>
  <c r="R173" i="26"/>
  <c r="R172" i="26"/>
  <c r="R171" i="26"/>
  <c r="R170" i="26"/>
  <c r="R169" i="26"/>
  <c r="R168" i="26"/>
  <c r="R167" i="26"/>
  <c r="R166" i="26"/>
  <c r="R165" i="26"/>
  <c r="R164" i="26"/>
  <c r="R163" i="26"/>
  <c r="R162" i="26"/>
  <c r="R161" i="26"/>
  <c r="R160" i="26"/>
  <c r="R159" i="26"/>
  <c r="R158" i="26"/>
  <c r="R157" i="26"/>
  <c r="R156" i="26"/>
  <c r="R155" i="26"/>
  <c r="R154" i="26"/>
  <c r="R153" i="26"/>
  <c r="R152" i="26"/>
  <c r="R151" i="26"/>
  <c r="R150" i="26"/>
  <c r="R149" i="26"/>
  <c r="R148" i="26"/>
  <c r="R147" i="26"/>
  <c r="R146" i="26"/>
  <c r="R145" i="26"/>
  <c r="R144" i="26"/>
  <c r="R143" i="26"/>
  <c r="R142" i="26"/>
  <c r="R141" i="26"/>
  <c r="R140" i="26"/>
  <c r="R139" i="26"/>
  <c r="R138" i="26"/>
  <c r="R137" i="26"/>
  <c r="R136" i="26"/>
  <c r="R135" i="26"/>
  <c r="R134" i="26"/>
  <c r="R133" i="26"/>
  <c r="R132" i="26"/>
  <c r="R131" i="26"/>
  <c r="R130" i="26"/>
  <c r="R129" i="26"/>
  <c r="R128" i="26"/>
  <c r="R127" i="26"/>
  <c r="R126" i="26"/>
  <c r="R125" i="26"/>
  <c r="R124" i="26"/>
  <c r="R123" i="26"/>
  <c r="R122" i="26"/>
  <c r="R121" i="26"/>
  <c r="R120" i="26"/>
  <c r="R119" i="26"/>
  <c r="R118" i="26"/>
  <c r="R117" i="26"/>
  <c r="R116" i="26"/>
  <c r="R115" i="26"/>
  <c r="R114" i="26"/>
  <c r="R113" i="26"/>
  <c r="R112" i="26"/>
  <c r="R111" i="26"/>
  <c r="R110" i="26"/>
  <c r="R109" i="26"/>
  <c r="R108" i="26"/>
  <c r="R107" i="26"/>
  <c r="R106" i="26"/>
  <c r="R105" i="26"/>
  <c r="R104" i="26"/>
  <c r="R103" i="26"/>
  <c r="R102" i="26"/>
  <c r="R101" i="26"/>
  <c r="R100" i="26"/>
  <c r="R99" i="26"/>
  <c r="R98" i="26"/>
  <c r="R97" i="26"/>
  <c r="R96" i="26"/>
  <c r="R95" i="26"/>
  <c r="R94" i="26"/>
  <c r="R93" i="26"/>
  <c r="R92" i="26"/>
  <c r="R91" i="26"/>
  <c r="R90" i="26"/>
  <c r="R89" i="26"/>
  <c r="R88" i="26"/>
  <c r="R87" i="26"/>
  <c r="R86" i="26"/>
  <c r="R85" i="26"/>
  <c r="R84" i="26"/>
  <c r="R83" i="26"/>
  <c r="R82" i="26"/>
  <c r="R81" i="26"/>
  <c r="R80" i="26"/>
  <c r="R79" i="26"/>
  <c r="R78" i="26"/>
  <c r="R77" i="26"/>
  <c r="R76" i="26"/>
  <c r="R75" i="26"/>
  <c r="R74" i="26"/>
  <c r="R73" i="26"/>
  <c r="R72" i="26"/>
  <c r="R71" i="26"/>
  <c r="R70" i="26"/>
  <c r="R69" i="26"/>
  <c r="R68" i="26"/>
  <c r="R67" i="26"/>
  <c r="R66" i="26"/>
  <c r="R65" i="26"/>
  <c r="R64" i="26"/>
  <c r="R63" i="26"/>
  <c r="R62" i="26"/>
  <c r="R61" i="26"/>
  <c r="R60" i="26"/>
  <c r="R59" i="26"/>
  <c r="R58" i="26"/>
  <c r="R57" i="26"/>
  <c r="R56" i="26"/>
  <c r="R55" i="26"/>
  <c r="R54" i="26"/>
  <c r="R53" i="26"/>
  <c r="R52" i="26"/>
  <c r="R51" i="26"/>
  <c r="R50" i="26"/>
  <c r="R49" i="26"/>
  <c r="R48" i="26"/>
  <c r="R47" i="26"/>
  <c r="R46" i="26"/>
  <c r="R45" i="26"/>
  <c r="R44" i="26"/>
  <c r="R43" i="26"/>
  <c r="R42" i="26"/>
  <c r="R41" i="26"/>
  <c r="R40" i="26"/>
  <c r="R39" i="26"/>
  <c r="R38" i="26"/>
  <c r="R37" i="26"/>
  <c r="R36" i="26"/>
  <c r="R35" i="26"/>
  <c r="R34" i="26"/>
  <c r="R33" i="26"/>
  <c r="R32" i="26"/>
  <c r="R31" i="26"/>
  <c r="R30" i="26"/>
  <c r="R29" i="26"/>
  <c r="R28" i="26"/>
  <c r="R27" i="26"/>
  <c r="R26" i="26"/>
  <c r="R25" i="26"/>
  <c r="R24" i="26"/>
  <c r="R23" i="26"/>
  <c r="R22" i="26"/>
  <c r="R21" i="26"/>
  <c r="R20" i="26"/>
  <c r="R19" i="26"/>
  <c r="R18" i="26"/>
  <c r="R17" i="26"/>
  <c r="R16" i="26"/>
  <c r="R15" i="26"/>
  <c r="R14" i="26"/>
  <c r="R13" i="26"/>
  <c r="R12" i="26"/>
  <c r="R11" i="26"/>
  <c r="R10" i="26"/>
  <c r="R9" i="26"/>
  <c r="R8" i="26"/>
  <c r="R7" i="26"/>
  <c r="R6" i="26"/>
  <c r="R5" i="26"/>
  <c r="R4" i="26"/>
  <c r="R3" i="26"/>
  <c r="M558" i="26"/>
  <c r="M557" i="26"/>
  <c r="M556" i="26"/>
  <c r="M555" i="26"/>
  <c r="M554" i="26"/>
  <c r="M553" i="26"/>
  <c r="M552" i="26"/>
  <c r="M551" i="26"/>
  <c r="M550" i="26"/>
  <c r="M549" i="26"/>
  <c r="M548" i="26"/>
  <c r="M547" i="26"/>
  <c r="M546" i="26"/>
  <c r="M545" i="26"/>
  <c r="M544" i="26"/>
  <c r="M543" i="26"/>
  <c r="M542" i="26"/>
  <c r="M541" i="26"/>
  <c r="M540" i="26"/>
  <c r="M539" i="26"/>
  <c r="M538" i="26"/>
  <c r="M537" i="26"/>
  <c r="M536" i="26"/>
  <c r="M535" i="26"/>
  <c r="M534" i="26"/>
  <c r="M533" i="26"/>
  <c r="M532" i="26"/>
  <c r="M531" i="26"/>
  <c r="M530" i="26"/>
  <c r="M529" i="26"/>
  <c r="M528" i="26"/>
  <c r="M527" i="26"/>
  <c r="M526" i="26"/>
  <c r="M525" i="26"/>
  <c r="M524" i="26"/>
  <c r="M523" i="26"/>
  <c r="M522" i="26"/>
  <c r="M521" i="26"/>
  <c r="M520" i="26"/>
  <c r="M519" i="26"/>
  <c r="M518" i="26"/>
  <c r="M517" i="26"/>
  <c r="M516" i="26"/>
  <c r="M515" i="26"/>
  <c r="M514" i="26"/>
  <c r="M513" i="26"/>
  <c r="M512" i="26"/>
  <c r="M511" i="26"/>
  <c r="M510" i="26"/>
  <c r="M509" i="26"/>
  <c r="M508" i="26"/>
  <c r="M507" i="26"/>
  <c r="M506" i="26"/>
  <c r="M505" i="26"/>
  <c r="M504" i="26"/>
  <c r="M503" i="26"/>
  <c r="M502" i="26"/>
  <c r="M501" i="26"/>
  <c r="M500" i="26"/>
  <c r="M499" i="26"/>
  <c r="M498" i="26"/>
  <c r="M497" i="26"/>
  <c r="M496" i="26"/>
  <c r="M495" i="26"/>
  <c r="M494" i="26"/>
  <c r="M493" i="26"/>
  <c r="M492" i="26"/>
  <c r="M491" i="26"/>
  <c r="M490" i="26"/>
  <c r="M489" i="26"/>
  <c r="M488" i="26"/>
  <c r="M487" i="26"/>
  <c r="M486" i="26"/>
  <c r="M485" i="26"/>
  <c r="M484" i="26"/>
  <c r="M483" i="26"/>
  <c r="M482" i="26"/>
  <c r="M481" i="26"/>
  <c r="M480" i="26"/>
  <c r="M479" i="26"/>
  <c r="M478" i="26"/>
  <c r="M477" i="26"/>
  <c r="M476" i="26"/>
  <c r="M475" i="26"/>
  <c r="M474" i="26"/>
  <c r="M473" i="26"/>
  <c r="M472" i="26"/>
  <c r="M471" i="26"/>
  <c r="M470" i="26"/>
  <c r="M469" i="26"/>
  <c r="M468" i="26"/>
  <c r="M467" i="26"/>
  <c r="M466" i="26"/>
  <c r="M465" i="26"/>
  <c r="M464" i="26"/>
  <c r="M463" i="26"/>
  <c r="M462" i="26"/>
  <c r="M461" i="26"/>
  <c r="M460" i="26"/>
  <c r="M459" i="26"/>
  <c r="M458" i="26"/>
  <c r="M457" i="26"/>
  <c r="M456" i="26"/>
  <c r="M455" i="26"/>
  <c r="M454" i="26"/>
  <c r="M453" i="26"/>
  <c r="M452" i="26"/>
  <c r="M451" i="26"/>
  <c r="M450" i="26"/>
  <c r="M449" i="26"/>
  <c r="M448" i="26"/>
  <c r="M447" i="26"/>
  <c r="M446" i="26"/>
  <c r="M445" i="26"/>
  <c r="M444" i="26"/>
  <c r="M443" i="26"/>
  <c r="M442" i="26"/>
  <c r="M441" i="26"/>
  <c r="M440" i="26"/>
  <c r="M439" i="26"/>
  <c r="M438" i="26"/>
  <c r="M437" i="26"/>
  <c r="M436" i="26"/>
  <c r="M435" i="26"/>
  <c r="M434" i="26"/>
  <c r="M433" i="26"/>
  <c r="M432" i="26"/>
  <c r="M431" i="26"/>
  <c r="M430" i="26"/>
  <c r="M429" i="26"/>
  <c r="M428" i="26"/>
  <c r="M427" i="26"/>
  <c r="M426" i="26"/>
  <c r="M425" i="26"/>
  <c r="M424" i="26"/>
  <c r="M423" i="26"/>
  <c r="M422" i="26"/>
  <c r="M421" i="26"/>
  <c r="M420" i="26"/>
  <c r="M419" i="26"/>
  <c r="M418" i="26"/>
  <c r="M417" i="26"/>
  <c r="M416" i="26"/>
  <c r="M415" i="26"/>
  <c r="M414" i="26"/>
  <c r="M413" i="26"/>
  <c r="M412" i="26"/>
  <c r="M411" i="26"/>
  <c r="M410" i="26"/>
  <c r="M409" i="26"/>
  <c r="M408" i="26"/>
  <c r="M407" i="26"/>
  <c r="M406" i="26"/>
  <c r="M405" i="26"/>
  <c r="M404" i="26"/>
  <c r="M403" i="26"/>
  <c r="M402" i="26"/>
  <c r="M401" i="26"/>
  <c r="M400" i="26"/>
  <c r="M399" i="26"/>
  <c r="M398" i="26"/>
  <c r="M397" i="26"/>
  <c r="M396" i="26"/>
  <c r="M395" i="26"/>
  <c r="M394" i="26"/>
  <c r="M393" i="26"/>
  <c r="M392" i="26"/>
  <c r="M391" i="26"/>
  <c r="M390" i="26"/>
  <c r="M389" i="26"/>
  <c r="M388" i="26"/>
  <c r="M387" i="26"/>
  <c r="M386" i="26"/>
  <c r="M385" i="26"/>
  <c r="M384" i="26"/>
  <c r="M383" i="26"/>
  <c r="M382" i="26"/>
  <c r="M381" i="26"/>
  <c r="M380" i="26"/>
  <c r="M379" i="26"/>
  <c r="M378" i="26"/>
  <c r="M377" i="26"/>
  <c r="M376" i="26"/>
  <c r="M375" i="26"/>
  <c r="M374" i="26"/>
  <c r="M373" i="26"/>
  <c r="M372" i="26"/>
  <c r="M371" i="26"/>
  <c r="M370" i="26"/>
  <c r="M369" i="26"/>
  <c r="M368" i="26"/>
  <c r="M367" i="26"/>
  <c r="M366" i="26"/>
  <c r="M365" i="26"/>
  <c r="M364" i="26"/>
  <c r="M363" i="26"/>
  <c r="M362" i="26"/>
  <c r="M361" i="26"/>
  <c r="M360" i="26"/>
  <c r="M359" i="26"/>
  <c r="M358" i="26"/>
  <c r="M357" i="26"/>
  <c r="M356" i="26"/>
  <c r="M355" i="26"/>
  <c r="M354" i="26"/>
  <c r="M353" i="26"/>
  <c r="M352" i="26"/>
  <c r="M351" i="26"/>
  <c r="M350" i="26"/>
  <c r="M349" i="26"/>
  <c r="M348" i="26"/>
  <c r="M347" i="26"/>
  <c r="M346" i="26"/>
  <c r="M345" i="26"/>
  <c r="M344" i="26"/>
  <c r="M343" i="26"/>
  <c r="M342" i="26"/>
  <c r="M341" i="26"/>
  <c r="M340" i="26"/>
  <c r="M339" i="26"/>
  <c r="M338" i="26"/>
  <c r="M337" i="26"/>
  <c r="M336" i="26"/>
  <c r="M335" i="26"/>
  <c r="M334" i="26"/>
  <c r="M333" i="26"/>
  <c r="M332" i="26"/>
  <c r="M331" i="26"/>
  <c r="M330" i="26"/>
  <c r="M329" i="26"/>
  <c r="M328" i="26"/>
  <c r="M327" i="26"/>
  <c r="M326" i="26"/>
  <c r="M325" i="26"/>
  <c r="M324" i="26"/>
  <c r="M323" i="26"/>
  <c r="M322" i="26"/>
  <c r="M321" i="26"/>
  <c r="M320" i="26"/>
  <c r="M319" i="26"/>
  <c r="M318" i="26"/>
  <c r="M317" i="26"/>
  <c r="M316" i="26"/>
  <c r="M315" i="26"/>
  <c r="M314" i="26"/>
  <c r="M313" i="26"/>
  <c r="M312" i="26"/>
  <c r="M311" i="26"/>
  <c r="M310" i="26"/>
  <c r="M309" i="26"/>
  <c r="M308" i="26"/>
  <c r="M307" i="26"/>
  <c r="M306" i="26"/>
  <c r="M305" i="26"/>
  <c r="M304" i="26"/>
  <c r="M303" i="26"/>
  <c r="M302" i="26"/>
  <c r="M301" i="26"/>
  <c r="M300" i="26"/>
  <c r="M299" i="26"/>
  <c r="M298" i="26"/>
  <c r="M297" i="26"/>
  <c r="M296" i="26"/>
  <c r="M295" i="26"/>
  <c r="M294" i="26"/>
  <c r="M293" i="26"/>
  <c r="M292" i="26"/>
  <c r="M291" i="26"/>
  <c r="M290" i="26"/>
  <c r="M289" i="26"/>
  <c r="M288" i="26"/>
  <c r="M287" i="26"/>
  <c r="M286" i="26"/>
  <c r="M285" i="26"/>
  <c r="M284" i="26"/>
  <c r="M283" i="26"/>
  <c r="M282" i="26"/>
  <c r="M281" i="26"/>
  <c r="M280" i="26"/>
  <c r="M279" i="26"/>
  <c r="M278" i="26"/>
  <c r="M277" i="26"/>
  <c r="M276" i="26"/>
  <c r="M275" i="26"/>
  <c r="M274" i="26"/>
  <c r="M273" i="26"/>
  <c r="M272" i="26"/>
  <c r="M271" i="26"/>
  <c r="M270" i="26"/>
  <c r="M269" i="26"/>
  <c r="M268" i="26"/>
  <c r="M267" i="26"/>
  <c r="M266" i="26"/>
  <c r="M265" i="26"/>
  <c r="M264" i="26"/>
  <c r="M263" i="26"/>
  <c r="M262" i="26"/>
  <c r="M261" i="26"/>
  <c r="M260" i="26"/>
  <c r="M259" i="26"/>
  <c r="M258" i="26"/>
  <c r="M257" i="26"/>
  <c r="M256" i="26"/>
  <c r="M255" i="26"/>
  <c r="M254" i="26"/>
  <c r="M253" i="26"/>
  <c r="M252" i="26"/>
  <c r="M251" i="26"/>
  <c r="M250" i="26"/>
  <c r="M249" i="26"/>
  <c r="M248" i="26"/>
  <c r="M247" i="26"/>
  <c r="M246" i="26"/>
  <c r="M245" i="26"/>
  <c r="M244" i="26"/>
  <c r="M243" i="26"/>
  <c r="M242" i="26"/>
  <c r="M241" i="26"/>
  <c r="M240" i="26"/>
  <c r="M239" i="26"/>
  <c r="M238" i="26"/>
  <c r="M237" i="26"/>
  <c r="M236" i="26"/>
  <c r="M235" i="26"/>
  <c r="M234" i="26"/>
  <c r="M233" i="26"/>
  <c r="M232" i="26"/>
  <c r="M231" i="26"/>
  <c r="M230" i="26"/>
  <c r="M229" i="26"/>
  <c r="M228" i="26"/>
  <c r="M227" i="26"/>
  <c r="M226" i="26"/>
  <c r="M225" i="26"/>
  <c r="M224" i="26"/>
  <c r="M223" i="26"/>
  <c r="M222" i="26"/>
  <c r="M221" i="26"/>
  <c r="M220" i="26"/>
  <c r="M219" i="26"/>
  <c r="M218" i="26"/>
  <c r="M217" i="26"/>
  <c r="M216" i="26"/>
  <c r="M215" i="26"/>
  <c r="M214" i="26"/>
  <c r="M213" i="26"/>
  <c r="M212" i="26"/>
  <c r="M211" i="26"/>
  <c r="M210" i="26"/>
  <c r="M209" i="26"/>
  <c r="M208" i="26"/>
  <c r="M207" i="26"/>
  <c r="M206" i="26"/>
  <c r="M205" i="26"/>
  <c r="M204" i="26"/>
  <c r="M203" i="26"/>
  <c r="M202" i="26"/>
  <c r="M201" i="26"/>
  <c r="M200" i="26"/>
  <c r="M199" i="26"/>
  <c r="M198" i="26"/>
  <c r="M197" i="26"/>
  <c r="M196" i="26"/>
  <c r="M195" i="26"/>
  <c r="M194" i="26"/>
  <c r="M193" i="26"/>
  <c r="M192" i="26"/>
  <c r="M191" i="26"/>
  <c r="M190" i="26"/>
  <c r="M189" i="26"/>
  <c r="M188" i="26"/>
  <c r="M187" i="26"/>
  <c r="M186" i="26"/>
  <c r="M185" i="26"/>
  <c r="M184" i="26"/>
  <c r="M183" i="26"/>
  <c r="M182" i="26"/>
  <c r="M181" i="26"/>
  <c r="M180" i="26"/>
  <c r="M179" i="26"/>
  <c r="M178" i="26"/>
  <c r="M177" i="26"/>
  <c r="M176" i="26"/>
  <c r="M175" i="26"/>
  <c r="M174" i="26"/>
  <c r="M173" i="26"/>
  <c r="M172" i="26"/>
  <c r="M171" i="26"/>
  <c r="M170" i="26"/>
  <c r="M169" i="26"/>
  <c r="M168" i="26"/>
  <c r="M167" i="26"/>
  <c r="M166" i="26"/>
  <c r="M165" i="26"/>
  <c r="M164" i="26"/>
  <c r="M163" i="26"/>
  <c r="M162" i="26"/>
  <c r="M161" i="26"/>
  <c r="M160" i="26"/>
  <c r="M159" i="26"/>
  <c r="M158" i="26"/>
  <c r="M157" i="26"/>
  <c r="M156" i="26"/>
  <c r="M155" i="26"/>
  <c r="M154" i="26"/>
  <c r="M153" i="26"/>
  <c r="M152" i="26"/>
  <c r="M151" i="26"/>
  <c r="M150" i="26"/>
  <c r="M149" i="26"/>
  <c r="M148" i="26"/>
  <c r="M147" i="26"/>
  <c r="M146" i="26"/>
  <c r="M145" i="26"/>
  <c r="M144" i="26"/>
  <c r="M143" i="26"/>
  <c r="M142" i="26"/>
  <c r="M141" i="26"/>
  <c r="M140" i="26"/>
  <c r="M139" i="26"/>
  <c r="M138" i="26"/>
  <c r="M137" i="26"/>
  <c r="M136" i="26"/>
  <c r="M135" i="26"/>
  <c r="M134" i="26"/>
  <c r="M133" i="26"/>
  <c r="M132" i="26"/>
  <c r="M131" i="26"/>
  <c r="M130" i="26"/>
  <c r="M129" i="26"/>
  <c r="M128" i="26"/>
  <c r="M127" i="26"/>
  <c r="M126" i="26"/>
  <c r="M125" i="26"/>
  <c r="M124" i="26"/>
  <c r="M123" i="26"/>
  <c r="M122" i="26"/>
  <c r="M121" i="26"/>
  <c r="M120" i="26"/>
  <c r="M119" i="26"/>
  <c r="M118" i="26"/>
  <c r="M117" i="26"/>
  <c r="M116" i="26"/>
  <c r="M115" i="26"/>
  <c r="M114" i="26"/>
  <c r="M113" i="26"/>
  <c r="M112" i="26"/>
  <c r="M111" i="26"/>
  <c r="M110" i="26"/>
  <c r="M109" i="26"/>
  <c r="M108" i="26"/>
  <c r="M107" i="26"/>
  <c r="M106" i="26"/>
  <c r="M105" i="26"/>
  <c r="M104" i="26"/>
  <c r="M103" i="26"/>
  <c r="M102" i="26"/>
  <c r="M101" i="26"/>
  <c r="M100" i="26"/>
  <c r="M99" i="26"/>
  <c r="M98" i="26"/>
  <c r="M97" i="26"/>
  <c r="M96" i="26"/>
  <c r="M95" i="26"/>
  <c r="M94" i="26"/>
  <c r="M93" i="26"/>
  <c r="M92" i="26"/>
  <c r="M91" i="26"/>
  <c r="M90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M5" i="26"/>
  <c r="M4" i="26"/>
  <c r="M3" i="26"/>
  <c r="H558" i="26"/>
  <c r="I558" i="26" s="1"/>
  <c r="H557" i="26"/>
  <c r="I557" i="26" s="1"/>
  <c r="H556" i="26"/>
  <c r="I556" i="26" s="1"/>
  <c r="H555" i="26"/>
  <c r="I555" i="26" s="1"/>
  <c r="H554" i="26"/>
  <c r="I554" i="26" s="1"/>
  <c r="H553" i="26"/>
  <c r="I553" i="26" s="1"/>
  <c r="H552" i="26"/>
  <c r="I552" i="26" s="1"/>
  <c r="H551" i="26"/>
  <c r="I551" i="26" s="1"/>
  <c r="H550" i="26"/>
  <c r="I550" i="26" s="1"/>
  <c r="H549" i="26"/>
  <c r="I549" i="26" s="1"/>
  <c r="H548" i="26"/>
  <c r="I548" i="26" s="1"/>
  <c r="H547" i="26"/>
  <c r="I547" i="26" s="1"/>
  <c r="H546" i="26"/>
  <c r="I546" i="26" s="1"/>
  <c r="H545" i="26"/>
  <c r="I545" i="26" s="1"/>
  <c r="H544" i="26"/>
  <c r="I544" i="26" s="1"/>
  <c r="H543" i="26"/>
  <c r="I543" i="26" s="1"/>
  <c r="H542" i="26"/>
  <c r="I542" i="26" s="1"/>
  <c r="H541" i="26"/>
  <c r="I541" i="26" s="1"/>
  <c r="H540" i="26"/>
  <c r="I540" i="26" s="1"/>
  <c r="H539" i="26"/>
  <c r="I539" i="26" s="1"/>
  <c r="H538" i="26"/>
  <c r="I538" i="26" s="1"/>
  <c r="H537" i="26"/>
  <c r="I537" i="26" s="1"/>
  <c r="H536" i="26"/>
  <c r="I536" i="26" s="1"/>
  <c r="H535" i="26"/>
  <c r="I535" i="26" s="1"/>
  <c r="H534" i="26"/>
  <c r="I534" i="26" s="1"/>
  <c r="H533" i="26"/>
  <c r="I533" i="26" s="1"/>
  <c r="H532" i="26"/>
  <c r="I532" i="26" s="1"/>
  <c r="H531" i="26"/>
  <c r="I531" i="26" s="1"/>
  <c r="H530" i="26"/>
  <c r="I530" i="26" s="1"/>
  <c r="H529" i="26"/>
  <c r="I529" i="26" s="1"/>
  <c r="H528" i="26"/>
  <c r="I528" i="26" s="1"/>
  <c r="H527" i="26"/>
  <c r="I527" i="26" s="1"/>
  <c r="H526" i="26"/>
  <c r="I526" i="26" s="1"/>
  <c r="H525" i="26"/>
  <c r="I525" i="26" s="1"/>
  <c r="H524" i="26"/>
  <c r="I524" i="26" s="1"/>
  <c r="H523" i="26"/>
  <c r="I523" i="26" s="1"/>
  <c r="H522" i="26"/>
  <c r="I522" i="26" s="1"/>
  <c r="H521" i="26"/>
  <c r="I521" i="26" s="1"/>
  <c r="H520" i="26"/>
  <c r="I520" i="26" s="1"/>
  <c r="H519" i="26"/>
  <c r="I519" i="26" s="1"/>
  <c r="H518" i="26"/>
  <c r="I518" i="26" s="1"/>
  <c r="H517" i="26"/>
  <c r="I517" i="26" s="1"/>
  <c r="H516" i="26"/>
  <c r="I516" i="26" s="1"/>
  <c r="H515" i="26"/>
  <c r="I515" i="26" s="1"/>
  <c r="H514" i="26"/>
  <c r="I514" i="26" s="1"/>
  <c r="H513" i="26"/>
  <c r="I513" i="26" s="1"/>
  <c r="H512" i="26"/>
  <c r="I512" i="26" s="1"/>
  <c r="H511" i="26"/>
  <c r="I511" i="26" s="1"/>
  <c r="H510" i="26"/>
  <c r="I510" i="26" s="1"/>
  <c r="H509" i="26"/>
  <c r="I509" i="26" s="1"/>
  <c r="H508" i="26"/>
  <c r="I508" i="26" s="1"/>
  <c r="H507" i="26"/>
  <c r="I507" i="26" s="1"/>
  <c r="H506" i="26"/>
  <c r="I506" i="26" s="1"/>
  <c r="H505" i="26"/>
  <c r="I505" i="26" s="1"/>
  <c r="H504" i="26"/>
  <c r="I504" i="26" s="1"/>
  <c r="H503" i="26"/>
  <c r="I503" i="26" s="1"/>
  <c r="H502" i="26"/>
  <c r="I502" i="26" s="1"/>
  <c r="H501" i="26"/>
  <c r="I501" i="26" s="1"/>
  <c r="H500" i="26"/>
  <c r="I500" i="26" s="1"/>
  <c r="H499" i="26"/>
  <c r="I499" i="26" s="1"/>
  <c r="H498" i="26"/>
  <c r="I498" i="26" s="1"/>
  <c r="H497" i="26"/>
  <c r="I497" i="26" s="1"/>
  <c r="H496" i="26"/>
  <c r="I496" i="26" s="1"/>
  <c r="H495" i="26"/>
  <c r="I495" i="26" s="1"/>
  <c r="H494" i="26"/>
  <c r="I494" i="26" s="1"/>
  <c r="H493" i="26"/>
  <c r="I493" i="26" s="1"/>
  <c r="H492" i="26"/>
  <c r="I492" i="26" s="1"/>
  <c r="H491" i="26"/>
  <c r="I491" i="26" s="1"/>
  <c r="H490" i="26"/>
  <c r="I490" i="26" s="1"/>
  <c r="H489" i="26"/>
  <c r="I489" i="26" s="1"/>
  <c r="H488" i="26"/>
  <c r="I488" i="26" s="1"/>
  <c r="H487" i="26"/>
  <c r="I487" i="26" s="1"/>
  <c r="H486" i="26"/>
  <c r="I486" i="26" s="1"/>
  <c r="H485" i="26"/>
  <c r="I485" i="26" s="1"/>
  <c r="H484" i="26"/>
  <c r="I484" i="26" s="1"/>
  <c r="H483" i="26"/>
  <c r="I483" i="26" s="1"/>
  <c r="H482" i="26"/>
  <c r="I482" i="26" s="1"/>
  <c r="H481" i="26"/>
  <c r="I481" i="26" s="1"/>
  <c r="H480" i="26"/>
  <c r="I480" i="26" s="1"/>
  <c r="H479" i="26"/>
  <c r="I479" i="26" s="1"/>
  <c r="H478" i="26"/>
  <c r="I478" i="26" s="1"/>
  <c r="H477" i="26"/>
  <c r="I477" i="26" s="1"/>
  <c r="H476" i="26"/>
  <c r="I476" i="26" s="1"/>
  <c r="H475" i="26"/>
  <c r="I475" i="26" s="1"/>
  <c r="H474" i="26"/>
  <c r="I474" i="26" s="1"/>
  <c r="H473" i="26"/>
  <c r="I473" i="26" s="1"/>
  <c r="H472" i="26"/>
  <c r="I472" i="26" s="1"/>
  <c r="H471" i="26"/>
  <c r="I471" i="26" s="1"/>
  <c r="H470" i="26"/>
  <c r="I470" i="26" s="1"/>
  <c r="H469" i="26"/>
  <c r="I469" i="26" s="1"/>
  <c r="H468" i="26"/>
  <c r="I468" i="26" s="1"/>
  <c r="H467" i="26"/>
  <c r="I467" i="26" s="1"/>
  <c r="H466" i="26"/>
  <c r="I466" i="26" s="1"/>
  <c r="H465" i="26"/>
  <c r="I465" i="26" s="1"/>
  <c r="H464" i="26"/>
  <c r="I464" i="26" s="1"/>
  <c r="H463" i="26"/>
  <c r="I463" i="26" s="1"/>
  <c r="H462" i="26"/>
  <c r="I462" i="26" s="1"/>
  <c r="H461" i="26"/>
  <c r="I461" i="26" s="1"/>
  <c r="H460" i="26"/>
  <c r="I460" i="26" s="1"/>
  <c r="H459" i="26"/>
  <c r="I459" i="26" s="1"/>
  <c r="H458" i="26"/>
  <c r="I458" i="26" s="1"/>
  <c r="H457" i="26"/>
  <c r="I457" i="26" s="1"/>
  <c r="H456" i="26"/>
  <c r="I456" i="26" s="1"/>
  <c r="H455" i="26"/>
  <c r="I455" i="26" s="1"/>
  <c r="H454" i="26"/>
  <c r="I454" i="26" s="1"/>
  <c r="H453" i="26"/>
  <c r="I453" i="26" s="1"/>
  <c r="H452" i="26"/>
  <c r="I452" i="26" s="1"/>
  <c r="H451" i="26"/>
  <c r="I451" i="26" s="1"/>
  <c r="H450" i="26"/>
  <c r="I450" i="26" s="1"/>
  <c r="H449" i="26"/>
  <c r="I449" i="26" s="1"/>
  <c r="H448" i="26"/>
  <c r="I448" i="26" s="1"/>
  <c r="H447" i="26"/>
  <c r="I447" i="26" s="1"/>
  <c r="H446" i="26"/>
  <c r="I446" i="26" s="1"/>
  <c r="H445" i="26"/>
  <c r="I445" i="26" s="1"/>
  <c r="H444" i="26"/>
  <c r="I444" i="26" s="1"/>
  <c r="H443" i="26"/>
  <c r="I443" i="26" s="1"/>
  <c r="H442" i="26"/>
  <c r="I442" i="26" s="1"/>
  <c r="H441" i="26"/>
  <c r="I441" i="26" s="1"/>
  <c r="H440" i="26"/>
  <c r="I440" i="26" s="1"/>
  <c r="H439" i="26"/>
  <c r="I439" i="26" s="1"/>
  <c r="H438" i="26"/>
  <c r="I438" i="26" s="1"/>
  <c r="H437" i="26"/>
  <c r="I437" i="26" s="1"/>
  <c r="H436" i="26"/>
  <c r="I436" i="26" s="1"/>
  <c r="H435" i="26"/>
  <c r="I435" i="26" s="1"/>
  <c r="H434" i="26"/>
  <c r="I434" i="26" s="1"/>
  <c r="H433" i="26"/>
  <c r="I433" i="26" s="1"/>
  <c r="H432" i="26"/>
  <c r="I432" i="26" s="1"/>
  <c r="H431" i="26"/>
  <c r="I431" i="26" s="1"/>
  <c r="H430" i="26"/>
  <c r="I430" i="26" s="1"/>
  <c r="H429" i="26"/>
  <c r="I429" i="26" s="1"/>
  <c r="H428" i="26"/>
  <c r="I428" i="26" s="1"/>
  <c r="H427" i="26"/>
  <c r="I427" i="26" s="1"/>
  <c r="H426" i="26"/>
  <c r="I426" i="26" s="1"/>
  <c r="H425" i="26"/>
  <c r="I425" i="26" s="1"/>
  <c r="H424" i="26"/>
  <c r="I424" i="26" s="1"/>
  <c r="H423" i="26"/>
  <c r="I423" i="26" s="1"/>
  <c r="H422" i="26"/>
  <c r="I422" i="26" s="1"/>
  <c r="H421" i="26"/>
  <c r="I421" i="26" s="1"/>
  <c r="H420" i="26"/>
  <c r="I420" i="26" s="1"/>
  <c r="H419" i="26"/>
  <c r="I419" i="26" s="1"/>
  <c r="H418" i="26"/>
  <c r="I418" i="26" s="1"/>
  <c r="H417" i="26"/>
  <c r="I417" i="26" s="1"/>
  <c r="H416" i="26"/>
  <c r="I416" i="26" s="1"/>
  <c r="H415" i="26"/>
  <c r="I415" i="26" s="1"/>
  <c r="H414" i="26"/>
  <c r="I414" i="26" s="1"/>
  <c r="H413" i="26"/>
  <c r="I413" i="26" s="1"/>
  <c r="H412" i="26"/>
  <c r="I412" i="26" s="1"/>
  <c r="H411" i="26"/>
  <c r="I411" i="26" s="1"/>
  <c r="H410" i="26"/>
  <c r="I410" i="26" s="1"/>
  <c r="H409" i="26"/>
  <c r="I409" i="26" s="1"/>
  <c r="H408" i="26"/>
  <c r="I408" i="26" s="1"/>
  <c r="H407" i="26"/>
  <c r="I407" i="26" s="1"/>
  <c r="H406" i="26"/>
  <c r="I406" i="26" s="1"/>
  <c r="H405" i="26"/>
  <c r="I405" i="26" s="1"/>
  <c r="H404" i="26"/>
  <c r="I404" i="26" s="1"/>
  <c r="H403" i="26"/>
  <c r="I403" i="26" s="1"/>
  <c r="H402" i="26"/>
  <c r="I402" i="26" s="1"/>
  <c r="H401" i="26"/>
  <c r="I401" i="26" s="1"/>
  <c r="H400" i="26"/>
  <c r="I400" i="26" s="1"/>
  <c r="H399" i="26"/>
  <c r="I399" i="26" s="1"/>
  <c r="H398" i="26"/>
  <c r="I398" i="26" s="1"/>
  <c r="H397" i="26"/>
  <c r="I397" i="26" s="1"/>
  <c r="H396" i="26"/>
  <c r="I396" i="26" s="1"/>
  <c r="H395" i="26"/>
  <c r="I395" i="26" s="1"/>
  <c r="H394" i="26"/>
  <c r="I394" i="26" s="1"/>
  <c r="H393" i="26"/>
  <c r="I393" i="26" s="1"/>
  <c r="H392" i="26"/>
  <c r="I392" i="26" s="1"/>
  <c r="H391" i="26"/>
  <c r="I391" i="26" s="1"/>
  <c r="H390" i="26"/>
  <c r="I390" i="26" s="1"/>
  <c r="H389" i="26"/>
  <c r="I389" i="26" s="1"/>
  <c r="H388" i="26"/>
  <c r="I388" i="26" s="1"/>
  <c r="H387" i="26"/>
  <c r="I387" i="26" s="1"/>
  <c r="H386" i="26"/>
  <c r="I386" i="26" s="1"/>
  <c r="H385" i="26"/>
  <c r="I385" i="26" s="1"/>
  <c r="H384" i="26"/>
  <c r="I384" i="26" s="1"/>
  <c r="H383" i="26"/>
  <c r="I383" i="26" s="1"/>
  <c r="H382" i="26"/>
  <c r="I382" i="26" s="1"/>
  <c r="H381" i="26"/>
  <c r="I381" i="26" s="1"/>
  <c r="H380" i="26"/>
  <c r="I380" i="26" s="1"/>
  <c r="H379" i="26"/>
  <c r="I379" i="26" s="1"/>
  <c r="H378" i="26"/>
  <c r="I378" i="26" s="1"/>
  <c r="H377" i="26"/>
  <c r="I377" i="26" s="1"/>
  <c r="H376" i="26"/>
  <c r="I376" i="26" s="1"/>
  <c r="H375" i="26"/>
  <c r="I375" i="26" s="1"/>
  <c r="H374" i="26"/>
  <c r="I374" i="26" s="1"/>
  <c r="H373" i="26"/>
  <c r="I373" i="26" s="1"/>
  <c r="H372" i="26"/>
  <c r="I372" i="26" s="1"/>
  <c r="H371" i="26"/>
  <c r="I371" i="26" s="1"/>
  <c r="H370" i="26"/>
  <c r="I370" i="26" s="1"/>
  <c r="H369" i="26"/>
  <c r="I369" i="26" s="1"/>
  <c r="H368" i="26"/>
  <c r="I368" i="26" s="1"/>
  <c r="H367" i="26"/>
  <c r="I367" i="26" s="1"/>
  <c r="H366" i="26"/>
  <c r="I366" i="26" s="1"/>
  <c r="H365" i="26"/>
  <c r="I365" i="26" s="1"/>
  <c r="H364" i="26"/>
  <c r="I364" i="26" s="1"/>
  <c r="H363" i="26"/>
  <c r="I363" i="26" s="1"/>
  <c r="H362" i="26"/>
  <c r="I362" i="26" s="1"/>
  <c r="H361" i="26"/>
  <c r="I361" i="26" s="1"/>
  <c r="H360" i="26"/>
  <c r="I360" i="26" s="1"/>
  <c r="H359" i="26"/>
  <c r="I359" i="26" s="1"/>
  <c r="H358" i="26"/>
  <c r="I358" i="26" s="1"/>
  <c r="H357" i="26"/>
  <c r="I357" i="26" s="1"/>
  <c r="H356" i="26"/>
  <c r="I356" i="26" s="1"/>
  <c r="H355" i="26"/>
  <c r="I355" i="26" s="1"/>
  <c r="H354" i="26"/>
  <c r="I354" i="26" s="1"/>
  <c r="H353" i="26"/>
  <c r="I353" i="26" s="1"/>
  <c r="H352" i="26"/>
  <c r="I352" i="26" s="1"/>
  <c r="H351" i="26"/>
  <c r="I351" i="26" s="1"/>
  <c r="H350" i="26"/>
  <c r="I350" i="26" s="1"/>
  <c r="H349" i="26"/>
  <c r="I349" i="26" s="1"/>
  <c r="H348" i="26"/>
  <c r="I348" i="26" s="1"/>
  <c r="H347" i="26"/>
  <c r="I347" i="26" s="1"/>
  <c r="H346" i="26"/>
  <c r="I346" i="26" s="1"/>
  <c r="H345" i="26"/>
  <c r="I345" i="26" s="1"/>
  <c r="H344" i="26"/>
  <c r="I344" i="26" s="1"/>
  <c r="H343" i="26"/>
  <c r="I343" i="26" s="1"/>
  <c r="H342" i="26"/>
  <c r="I342" i="26" s="1"/>
  <c r="H341" i="26"/>
  <c r="I341" i="26" s="1"/>
  <c r="H340" i="26"/>
  <c r="I340" i="26" s="1"/>
  <c r="H339" i="26"/>
  <c r="I339" i="26" s="1"/>
  <c r="H338" i="26"/>
  <c r="I338" i="26" s="1"/>
  <c r="H337" i="26"/>
  <c r="I337" i="26" s="1"/>
  <c r="H336" i="26"/>
  <c r="I336" i="26" s="1"/>
  <c r="H335" i="26"/>
  <c r="I335" i="26" s="1"/>
  <c r="H334" i="26"/>
  <c r="I334" i="26" s="1"/>
  <c r="H333" i="26"/>
  <c r="I333" i="26" s="1"/>
  <c r="H332" i="26"/>
  <c r="I332" i="26" s="1"/>
  <c r="H331" i="26"/>
  <c r="I331" i="26" s="1"/>
  <c r="H330" i="26"/>
  <c r="I330" i="26" s="1"/>
  <c r="H329" i="26"/>
  <c r="I329" i="26" s="1"/>
  <c r="H328" i="26"/>
  <c r="I328" i="26" s="1"/>
  <c r="H327" i="26"/>
  <c r="I327" i="26" s="1"/>
  <c r="H326" i="26"/>
  <c r="I326" i="26" s="1"/>
  <c r="H325" i="26"/>
  <c r="I325" i="26" s="1"/>
  <c r="H324" i="26"/>
  <c r="I324" i="26" s="1"/>
  <c r="H323" i="26"/>
  <c r="I323" i="26" s="1"/>
  <c r="H322" i="26"/>
  <c r="I322" i="26" s="1"/>
  <c r="H321" i="26"/>
  <c r="I321" i="26" s="1"/>
  <c r="H320" i="26"/>
  <c r="I320" i="26" s="1"/>
  <c r="H319" i="26"/>
  <c r="I319" i="26" s="1"/>
  <c r="H318" i="26"/>
  <c r="I318" i="26" s="1"/>
  <c r="H317" i="26"/>
  <c r="I317" i="26" s="1"/>
  <c r="H316" i="26"/>
  <c r="I316" i="26" s="1"/>
  <c r="H315" i="26"/>
  <c r="I315" i="26" s="1"/>
  <c r="H314" i="26"/>
  <c r="I314" i="26" s="1"/>
  <c r="H313" i="26"/>
  <c r="I313" i="26" s="1"/>
  <c r="H312" i="26"/>
  <c r="I312" i="26" s="1"/>
  <c r="H311" i="26"/>
  <c r="I311" i="26" s="1"/>
  <c r="H310" i="26"/>
  <c r="I310" i="26" s="1"/>
  <c r="H309" i="26"/>
  <c r="I309" i="26" s="1"/>
  <c r="H308" i="26"/>
  <c r="I308" i="26" s="1"/>
  <c r="H307" i="26"/>
  <c r="I307" i="26" s="1"/>
  <c r="H306" i="26"/>
  <c r="I306" i="26" s="1"/>
  <c r="H305" i="26"/>
  <c r="I305" i="26" s="1"/>
  <c r="H304" i="26"/>
  <c r="I304" i="26" s="1"/>
  <c r="H303" i="26"/>
  <c r="I303" i="26" s="1"/>
  <c r="H302" i="26"/>
  <c r="I302" i="26" s="1"/>
  <c r="H301" i="26"/>
  <c r="I301" i="26" s="1"/>
  <c r="H300" i="26"/>
  <c r="I300" i="26" s="1"/>
  <c r="H299" i="26"/>
  <c r="I299" i="26" s="1"/>
  <c r="H298" i="26"/>
  <c r="I298" i="26" s="1"/>
  <c r="H297" i="26"/>
  <c r="I297" i="26" s="1"/>
  <c r="H296" i="26"/>
  <c r="I296" i="26" s="1"/>
  <c r="H295" i="26"/>
  <c r="I295" i="26" s="1"/>
  <c r="H294" i="26"/>
  <c r="I294" i="26" s="1"/>
  <c r="H293" i="26"/>
  <c r="I293" i="26" s="1"/>
  <c r="H292" i="26"/>
  <c r="I292" i="26" s="1"/>
  <c r="H291" i="26"/>
  <c r="I291" i="26" s="1"/>
  <c r="H290" i="26"/>
  <c r="I290" i="26" s="1"/>
  <c r="H289" i="26"/>
  <c r="I289" i="26" s="1"/>
  <c r="H288" i="26"/>
  <c r="I288" i="26" s="1"/>
  <c r="H287" i="26"/>
  <c r="I287" i="26" s="1"/>
  <c r="H286" i="26"/>
  <c r="I286" i="26" s="1"/>
  <c r="H285" i="26"/>
  <c r="I285" i="26" s="1"/>
  <c r="H284" i="26"/>
  <c r="I284" i="26" s="1"/>
  <c r="H283" i="26"/>
  <c r="I283" i="26" s="1"/>
  <c r="H282" i="26"/>
  <c r="I282" i="26" s="1"/>
  <c r="H281" i="26"/>
  <c r="I281" i="26" s="1"/>
  <c r="H280" i="26"/>
  <c r="I280" i="26" s="1"/>
  <c r="H279" i="26"/>
  <c r="I279" i="26" s="1"/>
  <c r="H278" i="26"/>
  <c r="I278" i="26" s="1"/>
  <c r="H277" i="26"/>
  <c r="I277" i="26" s="1"/>
  <c r="H276" i="26"/>
  <c r="I276" i="26" s="1"/>
  <c r="H275" i="26"/>
  <c r="I275" i="26" s="1"/>
  <c r="H274" i="26"/>
  <c r="I274" i="26" s="1"/>
  <c r="H273" i="26"/>
  <c r="I273" i="26" s="1"/>
  <c r="H272" i="26"/>
  <c r="I272" i="26" s="1"/>
  <c r="H271" i="26"/>
  <c r="I271" i="26" s="1"/>
  <c r="H270" i="26"/>
  <c r="I270" i="26" s="1"/>
  <c r="H269" i="26"/>
  <c r="I269" i="26" s="1"/>
  <c r="H268" i="26"/>
  <c r="I268" i="26" s="1"/>
  <c r="H267" i="26"/>
  <c r="I267" i="26" s="1"/>
  <c r="H266" i="26"/>
  <c r="I266" i="26" s="1"/>
  <c r="H265" i="26"/>
  <c r="I265" i="26" s="1"/>
  <c r="H264" i="26"/>
  <c r="I264" i="26" s="1"/>
  <c r="H263" i="26"/>
  <c r="I263" i="26" s="1"/>
  <c r="H262" i="26"/>
  <c r="I262" i="26" s="1"/>
  <c r="H261" i="26"/>
  <c r="I261" i="26" s="1"/>
  <c r="H260" i="26"/>
  <c r="I260" i="26" s="1"/>
  <c r="H259" i="26"/>
  <c r="I259" i="26" s="1"/>
  <c r="H258" i="26"/>
  <c r="I258" i="26" s="1"/>
  <c r="H257" i="26"/>
  <c r="I257" i="26" s="1"/>
  <c r="H256" i="26"/>
  <c r="I256" i="26" s="1"/>
  <c r="H255" i="26"/>
  <c r="I255" i="26" s="1"/>
  <c r="H254" i="26"/>
  <c r="I254" i="26" s="1"/>
  <c r="H253" i="26"/>
  <c r="I253" i="26" s="1"/>
  <c r="H252" i="26"/>
  <c r="I252" i="26" s="1"/>
  <c r="H251" i="26"/>
  <c r="I251" i="26" s="1"/>
  <c r="H250" i="26"/>
  <c r="I250" i="26" s="1"/>
  <c r="H249" i="26"/>
  <c r="I249" i="26" s="1"/>
  <c r="H248" i="26"/>
  <c r="I248" i="26" s="1"/>
  <c r="H247" i="26"/>
  <c r="I247" i="26" s="1"/>
  <c r="H246" i="26"/>
  <c r="I246" i="26" s="1"/>
  <c r="H245" i="26"/>
  <c r="I245" i="26" s="1"/>
  <c r="H244" i="26"/>
  <c r="I244" i="26" s="1"/>
  <c r="H243" i="26"/>
  <c r="I243" i="26" s="1"/>
  <c r="H242" i="26"/>
  <c r="I242" i="26" s="1"/>
  <c r="H241" i="26"/>
  <c r="I241" i="26" s="1"/>
  <c r="H240" i="26"/>
  <c r="I240" i="26" s="1"/>
  <c r="H239" i="26"/>
  <c r="I239" i="26" s="1"/>
  <c r="H238" i="26"/>
  <c r="I238" i="26" s="1"/>
  <c r="H237" i="26"/>
  <c r="I237" i="26" s="1"/>
  <c r="H236" i="26"/>
  <c r="I236" i="26" s="1"/>
  <c r="H235" i="26"/>
  <c r="I235" i="26" s="1"/>
  <c r="H234" i="26"/>
  <c r="I234" i="26" s="1"/>
  <c r="H233" i="26"/>
  <c r="I233" i="26" s="1"/>
  <c r="H232" i="26"/>
  <c r="I232" i="26" s="1"/>
  <c r="H231" i="26"/>
  <c r="I231" i="26" s="1"/>
  <c r="H230" i="26"/>
  <c r="I230" i="26" s="1"/>
  <c r="H229" i="26"/>
  <c r="I229" i="26" s="1"/>
  <c r="H228" i="26"/>
  <c r="I228" i="26" s="1"/>
  <c r="H227" i="26"/>
  <c r="I227" i="26" s="1"/>
  <c r="H226" i="26"/>
  <c r="I226" i="26" s="1"/>
  <c r="H225" i="26"/>
  <c r="I225" i="26" s="1"/>
  <c r="H224" i="26"/>
  <c r="I224" i="26" s="1"/>
  <c r="H223" i="26"/>
  <c r="I223" i="26" s="1"/>
  <c r="H222" i="26"/>
  <c r="I222" i="26" s="1"/>
  <c r="H221" i="26"/>
  <c r="I221" i="26" s="1"/>
  <c r="H220" i="26"/>
  <c r="I220" i="26" s="1"/>
  <c r="H219" i="26"/>
  <c r="I219" i="26" s="1"/>
  <c r="H218" i="26"/>
  <c r="I218" i="26" s="1"/>
  <c r="H217" i="26"/>
  <c r="I217" i="26" s="1"/>
  <c r="H216" i="26"/>
  <c r="I216" i="26" s="1"/>
  <c r="H215" i="26"/>
  <c r="I215" i="26" s="1"/>
  <c r="H214" i="26"/>
  <c r="I214" i="26" s="1"/>
  <c r="H213" i="26"/>
  <c r="I213" i="26" s="1"/>
  <c r="H212" i="26"/>
  <c r="I212" i="26" s="1"/>
  <c r="H211" i="26"/>
  <c r="I211" i="26" s="1"/>
  <c r="H210" i="26"/>
  <c r="I210" i="26" s="1"/>
  <c r="H209" i="26"/>
  <c r="I209" i="26" s="1"/>
  <c r="H208" i="26"/>
  <c r="I208" i="26" s="1"/>
  <c r="H207" i="26"/>
  <c r="I207" i="26" s="1"/>
  <c r="H206" i="26"/>
  <c r="I206" i="26" s="1"/>
  <c r="H205" i="26"/>
  <c r="I205" i="26" s="1"/>
  <c r="H204" i="26"/>
  <c r="I204" i="26" s="1"/>
  <c r="H203" i="26"/>
  <c r="I203" i="26" s="1"/>
  <c r="H202" i="26"/>
  <c r="I202" i="26" s="1"/>
  <c r="H201" i="26"/>
  <c r="I201" i="26" s="1"/>
  <c r="H200" i="26"/>
  <c r="I200" i="26" s="1"/>
  <c r="H199" i="26"/>
  <c r="I199" i="26" s="1"/>
  <c r="H198" i="26"/>
  <c r="I198" i="26" s="1"/>
  <c r="H197" i="26"/>
  <c r="I197" i="26" s="1"/>
  <c r="H196" i="26"/>
  <c r="I196" i="26" s="1"/>
  <c r="H195" i="26"/>
  <c r="I195" i="26" s="1"/>
  <c r="H194" i="26"/>
  <c r="I194" i="26" s="1"/>
  <c r="H193" i="26"/>
  <c r="I193" i="26" s="1"/>
  <c r="H192" i="26"/>
  <c r="I192" i="26" s="1"/>
  <c r="H191" i="26"/>
  <c r="I191" i="26" s="1"/>
  <c r="H190" i="26"/>
  <c r="I190" i="26" s="1"/>
  <c r="H189" i="26"/>
  <c r="I189" i="26" s="1"/>
  <c r="H188" i="26"/>
  <c r="I188" i="26" s="1"/>
  <c r="H187" i="26"/>
  <c r="I187" i="26" s="1"/>
  <c r="H186" i="26"/>
  <c r="I186" i="26" s="1"/>
  <c r="H185" i="26"/>
  <c r="I185" i="26" s="1"/>
  <c r="H184" i="26"/>
  <c r="I184" i="26" s="1"/>
  <c r="H183" i="26"/>
  <c r="I183" i="26" s="1"/>
  <c r="H182" i="26"/>
  <c r="I182" i="26" s="1"/>
  <c r="H181" i="26"/>
  <c r="I181" i="26" s="1"/>
  <c r="H180" i="26"/>
  <c r="I180" i="26" s="1"/>
  <c r="H179" i="26"/>
  <c r="I179" i="26" s="1"/>
  <c r="H178" i="26"/>
  <c r="I178" i="26" s="1"/>
  <c r="H177" i="26"/>
  <c r="I177" i="26" s="1"/>
  <c r="H176" i="26"/>
  <c r="I176" i="26" s="1"/>
  <c r="H175" i="26"/>
  <c r="I175" i="26" s="1"/>
  <c r="H174" i="26"/>
  <c r="I174" i="26" s="1"/>
  <c r="H173" i="26"/>
  <c r="I173" i="26" s="1"/>
  <c r="H172" i="26"/>
  <c r="I172" i="26" s="1"/>
  <c r="H171" i="26"/>
  <c r="I171" i="26" s="1"/>
  <c r="H170" i="26"/>
  <c r="I170" i="26" s="1"/>
  <c r="H169" i="26"/>
  <c r="I169" i="26" s="1"/>
  <c r="H168" i="26"/>
  <c r="I168" i="26" s="1"/>
  <c r="H167" i="26"/>
  <c r="I167" i="26" s="1"/>
  <c r="H166" i="26"/>
  <c r="I166" i="26" s="1"/>
  <c r="H165" i="26"/>
  <c r="I165" i="26" s="1"/>
  <c r="H164" i="26"/>
  <c r="I164" i="26" s="1"/>
  <c r="H163" i="26"/>
  <c r="I163" i="26" s="1"/>
  <c r="H162" i="26"/>
  <c r="I162" i="26" s="1"/>
  <c r="H161" i="26"/>
  <c r="I161" i="26" s="1"/>
  <c r="H160" i="26"/>
  <c r="I160" i="26" s="1"/>
  <c r="H159" i="26"/>
  <c r="I159" i="26" s="1"/>
  <c r="H158" i="26"/>
  <c r="I158" i="26" s="1"/>
  <c r="H157" i="26"/>
  <c r="I157" i="26" s="1"/>
  <c r="H156" i="26"/>
  <c r="I156" i="26" s="1"/>
  <c r="H155" i="26"/>
  <c r="I155" i="26" s="1"/>
  <c r="H154" i="26"/>
  <c r="I154" i="26" s="1"/>
  <c r="H153" i="26"/>
  <c r="I153" i="26" s="1"/>
  <c r="H152" i="26"/>
  <c r="I152" i="26" s="1"/>
  <c r="H151" i="26"/>
  <c r="I151" i="26" s="1"/>
  <c r="H150" i="26"/>
  <c r="I150" i="26" s="1"/>
  <c r="H149" i="26"/>
  <c r="I149" i="26" s="1"/>
  <c r="H148" i="26"/>
  <c r="I148" i="26" s="1"/>
  <c r="H147" i="26"/>
  <c r="I147" i="26" s="1"/>
  <c r="H146" i="26"/>
  <c r="I146" i="26" s="1"/>
  <c r="H145" i="26"/>
  <c r="I145" i="26" s="1"/>
  <c r="H144" i="26"/>
  <c r="I144" i="26" s="1"/>
  <c r="H143" i="26"/>
  <c r="I143" i="26" s="1"/>
  <c r="H142" i="26"/>
  <c r="I142" i="26" s="1"/>
  <c r="H141" i="26"/>
  <c r="I141" i="26" s="1"/>
  <c r="H140" i="26"/>
  <c r="I140" i="26" s="1"/>
  <c r="H139" i="26"/>
  <c r="I139" i="26" s="1"/>
  <c r="H138" i="26"/>
  <c r="I138" i="26" s="1"/>
  <c r="H137" i="26"/>
  <c r="I137" i="26" s="1"/>
  <c r="H136" i="26"/>
  <c r="I136" i="26" s="1"/>
  <c r="H135" i="26"/>
  <c r="I135" i="26" s="1"/>
  <c r="H134" i="26"/>
  <c r="I134" i="26" s="1"/>
  <c r="H133" i="26"/>
  <c r="I133" i="26" s="1"/>
  <c r="H132" i="26"/>
  <c r="I132" i="26" s="1"/>
  <c r="H131" i="26"/>
  <c r="I131" i="26" s="1"/>
  <c r="H130" i="26"/>
  <c r="I130" i="26" s="1"/>
  <c r="H129" i="26"/>
  <c r="I129" i="26" s="1"/>
  <c r="H128" i="26"/>
  <c r="I128" i="26" s="1"/>
  <c r="H127" i="26"/>
  <c r="I127" i="26" s="1"/>
  <c r="H126" i="26"/>
  <c r="I126" i="26" s="1"/>
  <c r="H125" i="26"/>
  <c r="I125" i="26" s="1"/>
  <c r="H124" i="26"/>
  <c r="I124" i="26" s="1"/>
  <c r="H123" i="26"/>
  <c r="I123" i="26" s="1"/>
  <c r="H122" i="26"/>
  <c r="I122" i="26" s="1"/>
  <c r="H121" i="26"/>
  <c r="I121" i="26" s="1"/>
  <c r="H120" i="26"/>
  <c r="I120" i="26" s="1"/>
  <c r="H119" i="26"/>
  <c r="I119" i="26" s="1"/>
  <c r="H118" i="26"/>
  <c r="I118" i="26" s="1"/>
  <c r="H117" i="26"/>
  <c r="I117" i="26" s="1"/>
  <c r="H116" i="26"/>
  <c r="I116" i="26" s="1"/>
  <c r="H115" i="26"/>
  <c r="I115" i="26" s="1"/>
  <c r="H114" i="26"/>
  <c r="I114" i="26" s="1"/>
  <c r="H113" i="26"/>
  <c r="I113" i="26" s="1"/>
  <c r="H112" i="26"/>
  <c r="I112" i="26" s="1"/>
  <c r="H111" i="26"/>
  <c r="I111" i="26" s="1"/>
  <c r="H110" i="26"/>
  <c r="I110" i="26" s="1"/>
  <c r="H109" i="26"/>
  <c r="I109" i="26" s="1"/>
  <c r="H108" i="26"/>
  <c r="I108" i="26" s="1"/>
  <c r="H107" i="26"/>
  <c r="I107" i="26" s="1"/>
  <c r="H106" i="26"/>
  <c r="I106" i="26" s="1"/>
  <c r="H105" i="26"/>
  <c r="I105" i="26" s="1"/>
  <c r="H104" i="26"/>
  <c r="I104" i="26" s="1"/>
  <c r="H103" i="26"/>
  <c r="I103" i="26" s="1"/>
  <c r="H102" i="26"/>
  <c r="I102" i="26" s="1"/>
  <c r="H101" i="26"/>
  <c r="I101" i="26" s="1"/>
  <c r="H100" i="26"/>
  <c r="I100" i="26" s="1"/>
  <c r="H99" i="26"/>
  <c r="I99" i="26" s="1"/>
  <c r="H98" i="26"/>
  <c r="I98" i="26" s="1"/>
  <c r="H97" i="26"/>
  <c r="I97" i="26" s="1"/>
  <c r="H96" i="26"/>
  <c r="I96" i="26" s="1"/>
  <c r="H95" i="26"/>
  <c r="I95" i="26" s="1"/>
  <c r="H94" i="26"/>
  <c r="I94" i="26" s="1"/>
  <c r="H93" i="26"/>
  <c r="I93" i="26" s="1"/>
  <c r="H92" i="26"/>
  <c r="I92" i="26" s="1"/>
  <c r="H91" i="26"/>
  <c r="I91" i="26" s="1"/>
  <c r="H90" i="26"/>
  <c r="I90" i="26" s="1"/>
  <c r="H89" i="26"/>
  <c r="I89" i="26" s="1"/>
  <c r="H88" i="26"/>
  <c r="I88" i="26" s="1"/>
  <c r="H87" i="26"/>
  <c r="I87" i="26" s="1"/>
  <c r="H86" i="26"/>
  <c r="I86" i="26" s="1"/>
  <c r="H85" i="26"/>
  <c r="I85" i="26" s="1"/>
  <c r="H84" i="26"/>
  <c r="I84" i="26" s="1"/>
  <c r="H83" i="26"/>
  <c r="I83" i="26" s="1"/>
  <c r="H82" i="26"/>
  <c r="I82" i="26" s="1"/>
  <c r="H81" i="26"/>
  <c r="I81" i="26" s="1"/>
  <c r="H80" i="26"/>
  <c r="I80" i="26" s="1"/>
  <c r="H79" i="26"/>
  <c r="I79" i="26" s="1"/>
  <c r="H78" i="26"/>
  <c r="I78" i="26" s="1"/>
  <c r="H77" i="26"/>
  <c r="I77" i="26" s="1"/>
  <c r="H76" i="26"/>
  <c r="I76" i="26" s="1"/>
  <c r="H75" i="26"/>
  <c r="I75" i="26" s="1"/>
  <c r="H74" i="26"/>
  <c r="I74" i="26" s="1"/>
  <c r="H73" i="26"/>
  <c r="I73" i="26" s="1"/>
  <c r="H72" i="26"/>
  <c r="I72" i="26" s="1"/>
  <c r="H71" i="26"/>
  <c r="I71" i="26" s="1"/>
  <c r="H70" i="26"/>
  <c r="I70" i="26" s="1"/>
  <c r="H69" i="26"/>
  <c r="I69" i="26" s="1"/>
  <c r="H68" i="26"/>
  <c r="I68" i="26" s="1"/>
  <c r="H67" i="26"/>
  <c r="I67" i="26" s="1"/>
  <c r="H66" i="26"/>
  <c r="I66" i="26" s="1"/>
  <c r="H65" i="26"/>
  <c r="I65" i="26" s="1"/>
  <c r="H64" i="26"/>
  <c r="I64" i="26" s="1"/>
  <c r="H63" i="26"/>
  <c r="I63" i="26" s="1"/>
  <c r="H62" i="26"/>
  <c r="I62" i="26" s="1"/>
  <c r="H61" i="26"/>
  <c r="I61" i="26" s="1"/>
  <c r="H60" i="26"/>
  <c r="I60" i="26" s="1"/>
  <c r="H59" i="26"/>
  <c r="I59" i="26" s="1"/>
  <c r="H58" i="26"/>
  <c r="I58" i="26" s="1"/>
  <c r="H57" i="26"/>
  <c r="I57" i="26" s="1"/>
  <c r="H56" i="26"/>
  <c r="I56" i="26" s="1"/>
  <c r="H55" i="26"/>
  <c r="I55" i="26" s="1"/>
  <c r="H54" i="26"/>
  <c r="I54" i="26" s="1"/>
  <c r="H53" i="26"/>
  <c r="I53" i="26" s="1"/>
  <c r="H52" i="26"/>
  <c r="I52" i="26" s="1"/>
  <c r="H51" i="26"/>
  <c r="I51" i="26" s="1"/>
  <c r="H50" i="26"/>
  <c r="I50" i="26" s="1"/>
  <c r="H49" i="26"/>
  <c r="I49" i="26" s="1"/>
  <c r="H48" i="26"/>
  <c r="I48" i="26" s="1"/>
  <c r="H47" i="26"/>
  <c r="I47" i="26" s="1"/>
  <c r="H46" i="26"/>
  <c r="I46" i="26" s="1"/>
  <c r="H45" i="26"/>
  <c r="I45" i="26" s="1"/>
  <c r="H44" i="26"/>
  <c r="I44" i="26" s="1"/>
  <c r="H43" i="26"/>
  <c r="I43" i="26" s="1"/>
  <c r="H42" i="26"/>
  <c r="I42" i="26" s="1"/>
  <c r="H41" i="26"/>
  <c r="I41" i="26" s="1"/>
  <c r="H40" i="26"/>
  <c r="I40" i="26" s="1"/>
  <c r="H39" i="26"/>
  <c r="I39" i="26" s="1"/>
  <c r="H38" i="26"/>
  <c r="I38" i="26" s="1"/>
  <c r="H37" i="26"/>
  <c r="I37" i="26" s="1"/>
  <c r="H36" i="26"/>
  <c r="I36" i="26" s="1"/>
  <c r="H35" i="26"/>
  <c r="I35" i="26" s="1"/>
  <c r="H34" i="26"/>
  <c r="I34" i="26" s="1"/>
  <c r="H33" i="26"/>
  <c r="I33" i="26" s="1"/>
  <c r="H32" i="26"/>
  <c r="I32" i="26" s="1"/>
  <c r="H31" i="26"/>
  <c r="I31" i="26" s="1"/>
  <c r="H30" i="26"/>
  <c r="I30" i="26" s="1"/>
  <c r="H29" i="26"/>
  <c r="I29" i="26" s="1"/>
  <c r="H28" i="26"/>
  <c r="I28" i="26" s="1"/>
  <c r="H27" i="26"/>
  <c r="I27" i="26" s="1"/>
  <c r="H26" i="26"/>
  <c r="I26" i="26" s="1"/>
  <c r="H25" i="26"/>
  <c r="I25" i="26" s="1"/>
  <c r="H24" i="26"/>
  <c r="I24" i="26" s="1"/>
  <c r="H23" i="26"/>
  <c r="I23" i="26" s="1"/>
  <c r="H22" i="26"/>
  <c r="I22" i="26" s="1"/>
  <c r="H21" i="26"/>
  <c r="I21" i="26" s="1"/>
  <c r="H20" i="26"/>
  <c r="I20" i="26" s="1"/>
  <c r="H19" i="26"/>
  <c r="I19" i="26" s="1"/>
  <c r="H18" i="26"/>
  <c r="I18" i="26" s="1"/>
  <c r="H17" i="26"/>
  <c r="I17" i="26" s="1"/>
  <c r="H16" i="26"/>
  <c r="I16" i="26" s="1"/>
  <c r="H15" i="26"/>
  <c r="I15" i="26" s="1"/>
  <c r="H14" i="26"/>
  <c r="I14" i="26" s="1"/>
  <c r="H13" i="26"/>
  <c r="I13" i="26" s="1"/>
  <c r="H12" i="26"/>
  <c r="I12" i="26" s="1"/>
  <c r="H11" i="26"/>
  <c r="I11" i="26" s="1"/>
  <c r="H10" i="26"/>
  <c r="I10" i="26" s="1"/>
  <c r="H9" i="26"/>
  <c r="I9" i="26" s="1"/>
  <c r="H8" i="26"/>
  <c r="I8" i="26" s="1"/>
  <c r="H7" i="26"/>
  <c r="I7" i="26" s="1"/>
  <c r="H6" i="26"/>
  <c r="I6" i="26" s="1"/>
  <c r="H5" i="26"/>
  <c r="I5" i="26" s="1"/>
  <c r="H3" i="26"/>
  <c r="I3" i="26" s="1"/>
  <c r="H4" i="26"/>
  <c r="I4" i="26" s="1"/>
  <c r="BV114" i="24" l="1"/>
  <c r="CT114" i="24"/>
  <c r="DY114" i="24"/>
  <c r="BW117" i="24"/>
  <c r="BO116" i="24"/>
  <c r="CH116" i="24"/>
  <c r="DW116" i="24"/>
  <c r="BA114" i="24"/>
  <c r="BW114" i="24"/>
  <c r="DZ114" i="24"/>
  <c r="BU116" i="24"/>
  <c r="CJ116" i="24"/>
  <c r="DX116" i="24"/>
  <c r="BO114" i="24"/>
  <c r="CH114" i="24"/>
  <c r="DW114" i="24"/>
  <c r="AQ117" i="24"/>
  <c r="BW115" i="24"/>
  <c r="BV116" i="24"/>
  <c r="CT116" i="24"/>
  <c r="DY116" i="24"/>
  <c r="BU114" i="24"/>
  <c r="CJ114" i="24"/>
  <c r="DX114" i="24"/>
  <c r="BA116" i="24"/>
  <c r="BX116" i="24"/>
  <c r="BW116" i="24"/>
  <c r="DZ116" i="24"/>
  <c r="F44" i="25"/>
  <c r="CP102" i="24"/>
  <c r="DX102" i="24"/>
  <c r="DZ102" i="24"/>
  <c r="F45" i="25"/>
  <c r="DY102" i="24"/>
  <c r="CT102" i="24"/>
  <c r="DW102" i="24"/>
  <c r="CT95" i="24"/>
  <c r="C26" i="25"/>
  <c r="F29" i="25"/>
  <c r="AA116" i="24"/>
  <c r="C25" i="25"/>
  <c r="AQ116" i="24"/>
  <c r="M116" i="24"/>
  <c r="C28" i="25"/>
  <c r="R116" i="24"/>
  <c r="BV102" i="24"/>
  <c r="X116" i="24"/>
  <c r="Y116" i="24"/>
  <c r="Z116" i="24"/>
  <c r="M115" i="24"/>
  <c r="W116" i="24"/>
  <c r="AQ115" i="24"/>
  <c r="C27" i="25"/>
  <c r="C24" i="25"/>
  <c r="BX102" i="24"/>
  <c r="F31" i="25"/>
  <c r="BW102" i="24"/>
  <c r="F30" i="25"/>
  <c r="BA102" i="24"/>
  <c r="F14" i="25"/>
  <c r="F28" i="25"/>
  <c r="BU102" i="24"/>
  <c r="F33" i="25"/>
  <c r="BO102" i="24"/>
  <c r="F34" i="25"/>
  <c r="CH102" i="24"/>
  <c r="CJ102" i="24"/>
  <c r="F35" i="25"/>
  <c r="AA115" i="24"/>
  <c r="W115" i="24"/>
  <c r="R115" i="24"/>
  <c r="X115" i="24"/>
  <c r="Y115" i="24"/>
  <c r="Z115" i="24"/>
  <c r="AQ114" i="24"/>
  <c r="M114" i="24"/>
  <c r="R114" i="24"/>
  <c r="W114" i="24"/>
  <c r="X114" i="24"/>
  <c r="Y114" i="24"/>
  <c r="Z114" i="24"/>
  <c r="AA114" i="24"/>
  <c r="Z90" i="24"/>
  <c r="CH90" i="24"/>
  <c r="M92" i="24"/>
  <c r="BA92" i="24"/>
  <c r="R91" i="24"/>
  <c r="BO91" i="24"/>
  <c r="DW91" i="24"/>
  <c r="M93" i="24"/>
  <c r="BA93" i="24"/>
  <c r="X97" i="24"/>
  <c r="AQ95" i="24"/>
  <c r="DX94" i="24"/>
  <c r="AA90" i="24"/>
  <c r="CJ90" i="24"/>
  <c r="R92" i="24"/>
  <c r="BO92" i="24"/>
  <c r="DW92" i="24"/>
  <c r="W91" i="24"/>
  <c r="BU91" i="24"/>
  <c r="DX91" i="24"/>
  <c r="R93" i="24"/>
  <c r="BO93" i="24"/>
  <c r="DW93" i="24"/>
  <c r="Y97" i="24"/>
  <c r="M95" i="24"/>
  <c r="BA95" i="24"/>
  <c r="BU94" i="24"/>
  <c r="DW96" i="24"/>
  <c r="BX104" i="24"/>
  <c r="W94" i="24"/>
  <c r="R90" i="24"/>
  <c r="BO90" i="24"/>
  <c r="DW90" i="24"/>
  <c r="AQ92" i="24"/>
  <c r="CT92" i="24"/>
  <c r="BW90" i="24"/>
  <c r="BW94" i="24"/>
  <c r="BW91" i="24"/>
  <c r="BW92" i="24"/>
  <c r="BW96" i="24"/>
  <c r="BW95" i="24"/>
  <c r="CT104" i="24"/>
  <c r="CT96" i="24"/>
  <c r="W96" i="24"/>
  <c r="W104" i="24"/>
  <c r="BU96" i="24"/>
  <c r="DX96" i="24"/>
  <c r="Z94" i="24"/>
  <c r="CH94" i="24"/>
  <c r="M90" i="24"/>
  <c r="BA90" i="24"/>
  <c r="X92" i="24"/>
  <c r="BV92" i="24"/>
  <c r="DY92" i="24"/>
  <c r="Y91" i="24"/>
  <c r="BX91" i="24"/>
  <c r="DZ91" i="24"/>
  <c r="X93" i="24"/>
  <c r="BV93" i="24"/>
  <c r="DY93" i="24"/>
  <c r="AA97" i="24"/>
  <c r="CJ97" i="24"/>
  <c r="W102" i="24"/>
  <c r="W95" i="24"/>
  <c r="BU95" i="24"/>
  <c r="DX95" i="24"/>
  <c r="X104" i="24"/>
  <c r="X96" i="24"/>
  <c r="Y92" i="24"/>
  <c r="BX92" i="24"/>
  <c r="DZ92" i="24"/>
  <c r="Z91" i="24"/>
  <c r="CH91" i="24"/>
  <c r="Y93" i="24"/>
  <c r="BX93" i="24"/>
  <c r="DZ93" i="24"/>
  <c r="AQ97" i="24"/>
  <c r="CT97" i="24"/>
  <c r="X102" i="24"/>
  <c r="X95" i="24"/>
  <c r="BV95" i="24"/>
  <c r="DY95" i="24"/>
  <c r="BV96" i="24"/>
  <c r="DY96" i="24"/>
  <c r="AA94" i="24"/>
  <c r="CJ94" i="24"/>
  <c r="Y104" i="24"/>
  <c r="Y96" i="24"/>
  <c r="CH104" i="24"/>
  <c r="CH96" i="24"/>
  <c r="DZ96" i="24"/>
  <c r="AQ94" i="24"/>
  <c r="CT94" i="24"/>
  <c r="W90" i="24"/>
  <c r="BU90" i="24"/>
  <c r="DX90" i="24"/>
  <c r="Z92" i="24"/>
  <c r="CH92" i="24"/>
  <c r="AA91" i="24"/>
  <c r="CJ91" i="24"/>
  <c r="Z93" i="24"/>
  <c r="CH93" i="24"/>
  <c r="M97" i="24"/>
  <c r="BA97" i="24"/>
  <c r="Y102" i="24"/>
  <c r="Y95" i="24"/>
  <c r="BX95" i="24"/>
  <c r="DZ95" i="24"/>
  <c r="Z104" i="24"/>
  <c r="Z96" i="24"/>
  <c r="CJ104" i="24"/>
  <c r="CJ96" i="24"/>
  <c r="M94" i="24"/>
  <c r="BA94" i="24"/>
  <c r="X90" i="24"/>
  <c r="BV90" i="24"/>
  <c r="DY90" i="24"/>
  <c r="AA92" i="24"/>
  <c r="CJ92" i="24"/>
  <c r="BX96" i="24"/>
  <c r="AQ91" i="24"/>
  <c r="CT91" i="24"/>
  <c r="AA93" i="24"/>
  <c r="CJ93" i="24"/>
  <c r="R97" i="24"/>
  <c r="BO97" i="24"/>
  <c r="Z102" i="24"/>
  <c r="Z95" i="24"/>
  <c r="CH95" i="24"/>
  <c r="AA104" i="24"/>
  <c r="AA96" i="24"/>
  <c r="CP84" i="24"/>
  <c r="CP104" i="24"/>
  <c r="CP96" i="24"/>
  <c r="R94" i="24"/>
  <c r="BO94" i="24"/>
  <c r="DW94" i="24"/>
  <c r="Y90" i="24"/>
  <c r="BX90" i="24"/>
  <c r="DZ90" i="24"/>
  <c r="M91" i="24"/>
  <c r="BA91" i="24"/>
  <c r="AQ93" i="24"/>
  <c r="CT93" i="24"/>
  <c r="W97" i="24"/>
  <c r="AA102" i="24"/>
  <c r="AA95" i="24"/>
  <c r="CJ95" i="24"/>
  <c r="AQ102" i="24"/>
  <c r="C45" i="25"/>
  <c r="AQ104" i="24"/>
  <c r="AQ96" i="24"/>
  <c r="M96" i="24"/>
  <c r="M104" i="24"/>
  <c r="BA96" i="24"/>
  <c r="BA104" i="24"/>
  <c r="X94" i="24"/>
  <c r="BV94" i="24"/>
  <c r="DY94" i="24"/>
  <c r="M102" i="24"/>
  <c r="C23" i="25"/>
  <c r="R104" i="24"/>
  <c r="R96" i="24"/>
  <c r="BO96" i="24"/>
  <c r="BO104" i="24"/>
  <c r="Y94" i="24"/>
  <c r="BX94" i="24"/>
  <c r="DZ94" i="24"/>
  <c r="AQ90" i="24"/>
  <c r="CT90" i="24"/>
  <c r="W92" i="24"/>
  <c r="BU92" i="24"/>
  <c r="DX92" i="24"/>
  <c r="X91" i="24"/>
  <c r="BV91" i="24"/>
  <c r="DY91" i="24"/>
  <c r="W93" i="24"/>
  <c r="BU93" i="24"/>
  <c r="DX93" i="24"/>
  <c r="Z97" i="24"/>
  <c r="CH97" i="24"/>
  <c r="R102" i="24"/>
  <c r="R95" i="24"/>
  <c r="BO95" i="24"/>
  <c r="DW95" i="24"/>
  <c r="BU104" i="24"/>
  <c r="BU97" i="24"/>
  <c r="BV104" i="24"/>
  <c r="BV97" i="24"/>
  <c r="BX97" i="24"/>
  <c r="DZ104" i="24"/>
  <c r="DZ97" i="24"/>
  <c r="DY104" i="24"/>
  <c r="DY97" i="24"/>
  <c r="DX97" i="24"/>
  <c r="DX104" i="24"/>
  <c r="DW104" i="24"/>
  <c r="DW97" i="24"/>
  <c r="W84" i="24"/>
  <c r="BU84" i="24"/>
  <c r="Z84" i="24"/>
  <c r="CH84" i="24"/>
  <c r="X84" i="24"/>
  <c r="BV84" i="24"/>
  <c r="AA84" i="24"/>
  <c r="CJ84" i="24"/>
  <c r="AQ84" i="24"/>
  <c r="BA84" i="24"/>
  <c r="R84" i="24"/>
  <c r="BO84" i="24"/>
  <c r="DW84" i="24"/>
  <c r="CT84" i="24"/>
  <c r="M84" i="24"/>
  <c r="DY84" i="24"/>
  <c r="DX84" i="24"/>
  <c r="Y84" i="24"/>
  <c r="BX84" i="24"/>
  <c r="DZ84" i="24"/>
  <c r="BW97" i="24" l="1"/>
  <c r="BW93" i="24" l="1"/>
  <c r="BW104" i="24"/>
  <c r="BW84" i="24"/>
  <c r="DW118" i="24"/>
  <c r="DX118" i="24"/>
  <c r="DY118" i="24"/>
  <c r="DZ118" i="24"/>
  <c r="DX103" i="24"/>
  <c r="DY103" i="24"/>
  <c r="DZ103" i="24"/>
  <c r="B103" i="24"/>
  <c r="DL118" i="24"/>
  <c r="DE118" i="24"/>
  <c r="DG118" i="24"/>
  <c r="DH118" i="24"/>
  <c r="DI118" i="24"/>
  <c r="DJ118" i="24"/>
  <c r="DK118" i="24"/>
  <c r="CZ118" i="24"/>
  <c r="DA118" i="24"/>
  <c r="DD118" i="24"/>
  <c r="CW118" i="24"/>
  <c r="CQ118" i="24"/>
  <c r="CR118" i="24"/>
  <c r="CS118" i="24"/>
  <c r="CU118" i="24"/>
  <c r="CV118" i="24"/>
  <c r="CK118" i="24"/>
  <c r="CO118" i="24"/>
  <c r="CB118" i="24"/>
  <c r="CC118" i="24"/>
  <c r="CD118" i="24"/>
  <c r="CE118" i="24"/>
  <c r="CF118" i="24"/>
  <c r="CG118" i="24"/>
  <c r="BZ118" i="24"/>
  <c r="CA118" i="24"/>
  <c r="BP118" i="24"/>
  <c r="BQ118" i="24"/>
  <c r="BR118" i="24"/>
  <c r="BS118" i="24"/>
  <c r="BT118" i="24"/>
  <c r="BM118" i="24"/>
  <c r="BN118" i="24"/>
  <c r="BD118" i="24"/>
  <c r="BE118" i="24"/>
  <c r="BF118" i="24"/>
  <c r="BG118" i="24"/>
  <c r="BH118" i="24"/>
  <c r="BI118" i="24"/>
  <c r="BJ118" i="24"/>
  <c r="BK118" i="24"/>
  <c r="AZ118" i="24"/>
  <c r="BB118" i="24"/>
  <c r="AT118" i="24"/>
  <c r="AU118" i="24"/>
  <c r="AV118" i="24"/>
  <c r="AW118" i="24"/>
  <c r="AX118" i="24"/>
  <c r="AY118" i="24"/>
  <c r="AM118" i="24"/>
  <c r="AN118" i="24"/>
  <c r="AO118" i="24"/>
  <c r="AP118" i="24"/>
  <c r="AR118" i="24"/>
  <c r="AS118" i="24"/>
  <c r="AH118" i="24"/>
  <c r="AI118" i="24"/>
  <c r="AK118" i="24"/>
  <c r="AL118" i="24"/>
  <c r="AB118" i="24"/>
  <c r="AC118" i="24"/>
  <c r="AD118" i="24"/>
  <c r="AE118" i="24"/>
  <c r="AF118" i="24"/>
  <c r="AG118" i="24"/>
  <c r="U118" i="24"/>
  <c r="V118" i="24"/>
  <c r="Q118" i="24"/>
  <c r="S118" i="24"/>
  <c r="T118" i="24"/>
  <c r="K118" i="24"/>
  <c r="L118" i="24"/>
  <c r="N118" i="24"/>
  <c r="O118" i="24"/>
  <c r="P118" i="24"/>
  <c r="J118" i="24"/>
  <c r="G118" i="24"/>
  <c r="F118" i="24"/>
  <c r="E118" i="24"/>
  <c r="D118" i="24"/>
  <c r="C118" i="24"/>
  <c r="DF103" i="24"/>
  <c r="DW103" i="24" l="1"/>
  <c r="CY103" i="24"/>
  <c r="CL103" i="24"/>
  <c r="CN103" i="24"/>
  <c r="DB103" i="24"/>
  <c r="CX103" i="24"/>
  <c r="CM103" i="24"/>
  <c r="DC103" i="24"/>
  <c r="AB98" i="24" l="1"/>
  <c r="DK103" i="24"/>
  <c r="DI103" i="24"/>
  <c r="DG103" i="24"/>
  <c r="CZ103" i="24"/>
  <c r="CV103" i="24"/>
  <c r="CS103" i="24"/>
  <c r="CQ103" i="24"/>
  <c r="CK103" i="24"/>
  <c r="CG103" i="24"/>
  <c r="CE103" i="24"/>
  <c r="CC103" i="24"/>
  <c r="CA103" i="24"/>
  <c r="BT103" i="24"/>
  <c r="BR103" i="24"/>
  <c r="BP103" i="24"/>
  <c r="BK103" i="24"/>
  <c r="BJ103" i="24"/>
  <c r="BH103" i="24"/>
  <c r="BF103" i="24"/>
  <c r="BD103" i="24"/>
  <c r="AX103" i="24"/>
  <c r="AV103" i="24"/>
  <c r="AU103" i="24"/>
  <c r="AS103" i="24"/>
  <c r="AP103" i="24"/>
  <c r="AN103" i="24"/>
  <c r="AI103" i="24"/>
  <c r="AG103" i="24"/>
  <c r="AE103" i="24"/>
  <c r="AC103" i="24"/>
  <c r="V103" i="24"/>
  <c r="T103" i="24"/>
  <c r="Q103" i="24"/>
  <c r="O103" i="24"/>
  <c r="L103" i="24"/>
  <c r="J103" i="24"/>
  <c r="F103" i="24"/>
  <c r="D103" i="24"/>
  <c r="DL103" i="24"/>
  <c r="DJ103" i="24"/>
  <c r="DH103" i="24"/>
  <c r="DE103" i="24"/>
  <c r="DD103" i="24"/>
  <c r="DA103" i="24"/>
  <c r="CW103" i="24"/>
  <c r="CU103" i="24"/>
  <c r="CR103" i="24"/>
  <c r="CO103" i="24"/>
  <c r="CF103" i="24"/>
  <c r="CD103" i="24"/>
  <c r="CB103" i="24"/>
  <c r="BZ103" i="24"/>
  <c r="BS103" i="24"/>
  <c r="BQ103" i="24"/>
  <c r="BN103" i="24"/>
  <c r="BM103" i="24"/>
  <c r="BI103" i="24"/>
  <c r="BG103" i="24"/>
  <c r="BE103" i="24"/>
  <c r="BB103" i="24"/>
  <c r="AZ103" i="24"/>
  <c r="AY103" i="24"/>
  <c r="AW103" i="24"/>
  <c r="AT103" i="24"/>
  <c r="AR103" i="24"/>
  <c r="AO103" i="24"/>
  <c r="AM103" i="24"/>
  <c r="AL103" i="24"/>
  <c r="AK103" i="24"/>
  <c r="AH103" i="24"/>
  <c r="AF103" i="24"/>
  <c r="AD103" i="24"/>
  <c r="AB103" i="24"/>
  <c r="U103" i="24"/>
  <c r="S103" i="24"/>
  <c r="P103" i="24"/>
  <c r="N103" i="24"/>
  <c r="K103" i="24"/>
  <c r="G103" i="24"/>
  <c r="E103" i="24"/>
  <c r="C103" i="24"/>
  <c r="BV118" i="24"/>
  <c r="H118" i="24"/>
  <c r="BY118" i="24"/>
  <c r="BO118" i="24"/>
  <c r="CH118" i="24"/>
  <c r="CJ118" i="24"/>
  <c r="CP118" i="24"/>
  <c r="X118" i="24"/>
  <c r="Y118" i="24"/>
  <c r="Z118" i="24"/>
  <c r="AA118" i="24"/>
  <c r="M118" i="24"/>
  <c r="R118" i="24"/>
  <c r="W118" i="24"/>
  <c r="AJ118" i="24"/>
  <c r="AQ118" i="24"/>
  <c r="BA118" i="24"/>
  <c r="BL118" i="24"/>
  <c r="BU118" i="24"/>
  <c r="CT118" i="24"/>
  <c r="BO103" i="24"/>
  <c r="CH103" i="24"/>
  <c r="AA103" i="24" l="1"/>
  <c r="BY103" i="24"/>
  <c r="H103" i="24"/>
  <c r="BW103" i="24"/>
  <c r="AJ103" i="24"/>
  <c r="BX103" i="24"/>
  <c r="BL103" i="24"/>
  <c r="M103" i="24"/>
  <c r="Z103" i="24"/>
  <c r="I103" i="24"/>
  <c r="BU103" i="24"/>
  <c r="AQ103" i="24"/>
  <c r="W103" i="24"/>
  <c r="R103" i="24"/>
  <c r="BW118" i="24"/>
  <c r="I118" i="24"/>
  <c r="CT103" i="24"/>
  <c r="Y103" i="24"/>
  <c r="CJ103" i="24"/>
  <c r="BA103" i="24"/>
  <c r="X103" i="24"/>
  <c r="BV103" i="24"/>
  <c r="CP103" i="24"/>
  <c r="BX118" i="24" l="1"/>
</calcChain>
</file>

<file path=xl/sharedStrings.xml><?xml version="1.0" encoding="utf-8"?>
<sst xmlns="http://schemas.openxmlformats.org/spreadsheetml/2006/main" count="11794" uniqueCount="3287">
  <si>
    <t>Bridgeport</t>
  </si>
  <si>
    <t>Canton</t>
  </si>
  <si>
    <t>Fairfield</t>
  </si>
  <si>
    <t>Kent</t>
  </si>
  <si>
    <t>Mansfield</t>
  </si>
  <si>
    <t>Morris</t>
  </si>
  <si>
    <t>Portland</t>
  </si>
  <si>
    <t>Seymour</t>
  </si>
  <si>
    <t>Sherman</t>
  </si>
  <si>
    <t>Sterling</t>
  </si>
  <si>
    <t>Stratford</t>
  </si>
  <si>
    <t>Library Name</t>
  </si>
  <si>
    <t>Library Use Charts</t>
  </si>
  <si>
    <t>Collection Charts</t>
  </si>
  <si>
    <t>Expenditure Charts</t>
  </si>
  <si>
    <t>Libraries</t>
  </si>
  <si>
    <t>Average Statewide</t>
  </si>
  <si>
    <t>Franklin</t>
  </si>
  <si>
    <t>Madison</t>
  </si>
  <si>
    <t>Stamford</t>
  </si>
  <si>
    <t>Washington</t>
  </si>
  <si>
    <t>Member</t>
  </si>
  <si>
    <t>Abernathy</t>
  </si>
  <si>
    <t>Abernathy Public Library</t>
  </si>
  <si>
    <t>Hale</t>
  </si>
  <si>
    <t>Yes</t>
  </si>
  <si>
    <t>No</t>
  </si>
  <si>
    <t>TX0001</t>
  </si>
  <si>
    <t>-3</t>
  </si>
  <si>
    <t>Abilene</t>
  </si>
  <si>
    <t>Abilene Public Library</t>
  </si>
  <si>
    <t>Taylor</t>
  </si>
  <si>
    <t>Brown</t>
  </si>
  <si>
    <t>TX0110</t>
  </si>
  <si>
    <t>Alamo</t>
  </si>
  <si>
    <t>Hidalgo</t>
  </si>
  <si>
    <t>Sergeant Fernando de la Rosa Memorial Library</t>
  </si>
  <si>
    <t>Victoria</t>
  </si>
  <si>
    <t>TX0215</t>
  </si>
  <si>
    <t>Albany</t>
  </si>
  <si>
    <t>Shackelford County Library</t>
  </si>
  <si>
    <t>Shackelford</t>
  </si>
  <si>
    <t>Waller</t>
  </si>
  <si>
    <t>TX0621</t>
  </si>
  <si>
    <t>Alice</t>
  </si>
  <si>
    <t>Alicia Salinas Public Library</t>
  </si>
  <si>
    <t>Jim Wells</t>
  </si>
  <si>
    <t>Garza</t>
  </si>
  <si>
    <t>TX0406</t>
  </si>
  <si>
    <t>Allen</t>
  </si>
  <si>
    <t>Allen Public Library</t>
  </si>
  <si>
    <t>Collin</t>
  </si>
  <si>
    <t>Jackson</t>
  </si>
  <si>
    <t>TX0416</t>
  </si>
  <si>
    <t>Alpine</t>
  </si>
  <si>
    <t>Alpine Public Library</t>
  </si>
  <si>
    <t>Brewster</t>
  </si>
  <si>
    <t>TX0427</t>
  </si>
  <si>
    <t>Cherokee</t>
  </si>
  <si>
    <t>Amarillo</t>
  </si>
  <si>
    <t>Amarillo Public Library</t>
  </si>
  <si>
    <t>Potter</t>
  </si>
  <si>
    <t>Donna</t>
  </si>
  <si>
    <t>TX0447</t>
  </si>
  <si>
    <t>Anahuac</t>
  </si>
  <si>
    <t>Chambers County Library System</t>
  </si>
  <si>
    <t>Chambers</t>
  </si>
  <si>
    <t>TX0002</t>
  </si>
  <si>
    <t>Andrews</t>
  </si>
  <si>
    <t>Andrews County Library</t>
  </si>
  <si>
    <t>TX0013</t>
  </si>
  <si>
    <t>Angleton</t>
  </si>
  <si>
    <t>Brazoria County Library System</t>
  </si>
  <si>
    <t>Brazoria</t>
  </si>
  <si>
    <t>Mathis</t>
  </si>
  <si>
    <t>TX0024</t>
  </si>
  <si>
    <t>Anson</t>
  </si>
  <si>
    <t>Anson Public Library</t>
  </si>
  <si>
    <t>Jones</t>
  </si>
  <si>
    <t>TX0035</t>
  </si>
  <si>
    <t>Ed &amp; Hazel Richmond Public Library</t>
  </si>
  <si>
    <t>San Patricio</t>
  </si>
  <si>
    <t>Aransas Pass</t>
  </si>
  <si>
    <t>No Website</t>
  </si>
  <si>
    <t>TX0046</t>
  </si>
  <si>
    <t>Archer Public Library</t>
  </si>
  <si>
    <t>Archer</t>
  </si>
  <si>
    <t>Archer City</t>
  </si>
  <si>
    <t>TX0057</t>
  </si>
  <si>
    <t>Arlington</t>
  </si>
  <si>
    <t>Arlington Public Library System</t>
  </si>
  <si>
    <t>Tarrant</t>
  </si>
  <si>
    <t>Lee</t>
  </si>
  <si>
    <t>TX0068</t>
  </si>
  <si>
    <t>Aspermont</t>
  </si>
  <si>
    <t>Stonewall County Library</t>
  </si>
  <si>
    <t>Stonewall</t>
  </si>
  <si>
    <t>Poteet</t>
  </si>
  <si>
    <t>TX0078</t>
  </si>
  <si>
    <t>Athens</t>
  </si>
  <si>
    <t>Henderson Cnty Clint W Murchison Memorial Library</t>
  </si>
  <si>
    <t>Henderson</t>
  </si>
  <si>
    <t>Charlotte</t>
  </si>
  <si>
    <t>TX0089</t>
  </si>
  <si>
    <t>Atlanta</t>
  </si>
  <si>
    <t>Atlanta Public Library</t>
  </si>
  <si>
    <t>Cass</t>
  </si>
  <si>
    <t>TX0100</t>
  </si>
  <si>
    <t>Austin</t>
  </si>
  <si>
    <t>Austin Public Library</t>
  </si>
  <si>
    <t>Travis</t>
  </si>
  <si>
    <t>TX0111</t>
  </si>
  <si>
    <t>Azle</t>
  </si>
  <si>
    <t>Azle Memorial Library</t>
  </si>
  <si>
    <t>TX0121</t>
  </si>
  <si>
    <t>Baird</t>
  </si>
  <si>
    <t>Callahan County Library</t>
  </si>
  <si>
    <t>Callahan</t>
  </si>
  <si>
    <t>Walker</t>
  </si>
  <si>
    <t>TX0132</t>
  </si>
  <si>
    <t>Ballinger</t>
  </si>
  <si>
    <t>Carnegie Library of Ballinger</t>
  </si>
  <si>
    <t>Runnels</t>
  </si>
  <si>
    <t>Smith</t>
  </si>
  <si>
    <t>TX0143</t>
  </si>
  <si>
    <t>Bandera</t>
  </si>
  <si>
    <t>Bandera County Library</t>
  </si>
  <si>
    <t>TX0154</t>
  </si>
  <si>
    <t>Bell</t>
  </si>
  <si>
    <t>Bastrop</t>
  </si>
  <si>
    <t>Bastrop Public Library</t>
  </si>
  <si>
    <t>West</t>
  </si>
  <si>
    <t>TX0184</t>
  </si>
  <si>
    <t>Bay City Public Library</t>
  </si>
  <si>
    <t>Matagorda</t>
  </si>
  <si>
    <t>Bay City</t>
  </si>
  <si>
    <t>Moore</t>
  </si>
  <si>
    <t>TX0195</t>
  </si>
  <si>
    <t>Baytown</t>
  </si>
  <si>
    <t>Sterling Municipal Library</t>
  </si>
  <si>
    <t>Harris</t>
  </si>
  <si>
    <t>TX0204</t>
  </si>
  <si>
    <t>Beaumont</t>
  </si>
  <si>
    <t>Beaumont Public Library System</t>
  </si>
  <si>
    <t>Jefferson</t>
  </si>
  <si>
    <t>Howard</t>
  </si>
  <si>
    <t>TX0216</t>
  </si>
  <si>
    <t>Bedford</t>
  </si>
  <si>
    <t>Bedford Public Library</t>
  </si>
  <si>
    <t>TX0226</t>
  </si>
  <si>
    <t>Beeville</t>
  </si>
  <si>
    <t>Joe Barnhart Bee County Library</t>
  </si>
  <si>
    <t>Bee</t>
  </si>
  <si>
    <t>TX0237</t>
  </si>
  <si>
    <t>Bellaire</t>
  </si>
  <si>
    <t>Bellaire City Library</t>
  </si>
  <si>
    <t>TX0248</t>
  </si>
  <si>
    <t>Bellville</t>
  </si>
  <si>
    <t>Bellville Public Library</t>
  </si>
  <si>
    <t>TX0258</t>
  </si>
  <si>
    <t>Belton</t>
  </si>
  <si>
    <t>Lena Armstrong Public Library</t>
  </si>
  <si>
    <t>Anderson</t>
  </si>
  <si>
    <t>TX0268</t>
  </si>
  <si>
    <t>Reagan County Library</t>
  </si>
  <si>
    <t>Reagan</t>
  </si>
  <si>
    <t>Big Lake</t>
  </si>
  <si>
    <t>TX0278</t>
  </si>
  <si>
    <t>Howard County Library</t>
  </si>
  <si>
    <t>Big Spring</t>
  </si>
  <si>
    <t>TX0288</t>
  </si>
  <si>
    <t>Blanco</t>
  </si>
  <si>
    <t>Blanco County South Library District</t>
  </si>
  <si>
    <t>TX0458</t>
  </si>
  <si>
    <t>Boerne</t>
  </si>
  <si>
    <t>Kendall</t>
  </si>
  <si>
    <t>Patrick Heath Public Library</t>
  </si>
  <si>
    <t>TX0308</t>
  </si>
  <si>
    <t>Bonham</t>
  </si>
  <si>
    <t>Bonham Public Library</t>
  </si>
  <si>
    <t>Fannin</t>
  </si>
  <si>
    <t>TX0319</t>
  </si>
  <si>
    <t>Borger</t>
  </si>
  <si>
    <t>Hutchinson County Library</t>
  </si>
  <si>
    <t>Hutchinson</t>
  </si>
  <si>
    <t>TX0328</t>
  </si>
  <si>
    <t>Bowie</t>
  </si>
  <si>
    <t>Bowie Public Library</t>
  </si>
  <si>
    <t>Montague</t>
  </si>
  <si>
    <t>TX0339</t>
  </si>
  <si>
    <t>Brackettville</t>
  </si>
  <si>
    <t>Kinney County Public Library</t>
  </si>
  <si>
    <t>Kinney</t>
  </si>
  <si>
    <t>TX0346</t>
  </si>
  <si>
    <t>Brady</t>
  </si>
  <si>
    <t>FM Buck Richards Memorial Library</t>
  </si>
  <si>
    <t>McCulloch</t>
  </si>
  <si>
    <t>TX0356</t>
  </si>
  <si>
    <t>Breckenridge</t>
  </si>
  <si>
    <t>Breckenridge Library</t>
  </si>
  <si>
    <t>Stephens</t>
  </si>
  <si>
    <t>TX0714</t>
  </si>
  <si>
    <t>Brenham</t>
  </si>
  <si>
    <t>Nancy Carol Roberts Memorial Library</t>
  </si>
  <si>
    <t>TX0377</t>
  </si>
  <si>
    <t>Bridgeport Public Library</t>
  </si>
  <si>
    <t>Wise</t>
  </si>
  <si>
    <t>TX0385</t>
  </si>
  <si>
    <t>Brownfield</t>
  </si>
  <si>
    <t>Kendrick Memorial Library</t>
  </si>
  <si>
    <t>Terry</t>
  </si>
  <si>
    <t>TX0393</t>
  </si>
  <si>
    <t>Brownsville</t>
  </si>
  <si>
    <t>Brownsville Public Library</t>
  </si>
  <si>
    <t>Cameron</t>
  </si>
  <si>
    <t>TX0402</t>
  </si>
  <si>
    <t>Brownwood</t>
  </si>
  <si>
    <t>Brownwood Public Library</t>
  </si>
  <si>
    <t>TX0407</t>
  </si>
  <si>
    <t>Bryan</t>
  </si>
  <si>
    <t>Bryan+College Station Public Library System</t>
  </si>
  <si>
    <t>Brazos</t>
  </si>
  <si>
    <t>TX0408</t>
  </si>
  <si>
    <t>Buffalo</t>
  </si>
  <si>
    <t>Buffalo Public Library</t>
  </si>
  <si>
    <t>Leon</t>
  </si>
  <si>
    <t>TX0409</t>
  </si>
  <si>
    <t>Bullard</t>
  </si>
  <si>
    <t>Bullard Community Library</t>
  </si>
  <si>
    <t>TX0659</t>
  </si>
  <si>
    <t>Burkburnett</t>
  </si>
  <si>
    <t>Burkburnett Library</t>
  </si>
  <si>
    <t>Wichita</t>
  </si>
  <si>
    <t>TX0410</t>
  </si>
  <si>
    <t>Burleson</t>
  </si>
  <si>
    <t>Burleson Public Library</t>
  </si>
  <si>
    <t>Johnson</t>
  </si>
  <si>
    <t>TX0411</t>
  </si>
  <si>
    <t>Burnet</t>
  </si>
  <si>
    <t>Burnet County Library System</t>
  </si>
  <si>
    <t>TX0412</t>
  </si>
  <si>
    <t>Caldwell</t>
  </si>
  <si>
    <t>Harrie P Woodson Memorial Library</t>
  </si>
  <si>
    <t>TX0413</t>
  </si>
  <si>
    <t>Cameron Public Library</t>
  </si>
  <si>
    <t>Milam</t>
  </si>
  <si>
    <t>TX0414</t>
  </si>
  <si>
    <t>Canadian</t>
  </si>
  <si>
    <t>Hemphill County Library</t>
  </si>
  <si>
    <t>Hemphill</t>
  </si>
  <si>
    <t>TX0415</t>
  </si>
  <si>
    <t>Van Zandt County Library</t>
  </si>
  <si>
    <t>Van Zandt</t>
  </si>
  <si>
    <t>TX0417</t>
  </si>
  <si>
    <t>Canyon</t>
  </si>
  <si>
    <t>Canyon Area Library</t>
  </si>
  <si>
    <t>Randall</t>
  </si>
  <si>
    <t>TX0418</t>
  </si>
  <si>
    <t>Tye Preston Memorial Library</t>
  </si>
  <si>
    <t>Comal</t>
  </si>
  <si>
    <t>Canyon Lake</t>
  </si>
  <si>
    <t>TX0419</t>
  </si>
  <si>
    <t>Dimmit County Public Library</t>
  </si>
  <si>
    <t>Dimmit</t>
  </si>
  <si>
    <t>Carrizo Springs</t>
  </si>
  <si>
    <t>Martin</t>
  </si>
  <si>
    <t>TX0420</t>
  </si>
  <si>
    <t>Carrollton</t>
  </si>
  <si>
    <t>Carrollton Public Library</t>
  </si>
  <si>
    <t>Dallas</t>
  </si>
  <si>
    <t>TX0421</t>
  </si>
  <si>
    <t>Carthage</t>
  </si>
  <si>
    <t>Sammy Brown Library</t>
  </si>
  <si>
    <t>Panola</t>
  </si>
  <si>
    <t>TX0422</t>
  </si>
  <si>
    <t>Castroville</t>
  </si>
  <si>
    <t>Castroville Public Library</t>
  </si>
  <si>
    <t>Medina</t>
  </si>
  <si>
    <t>TX0423</t>
  </si>
  <si>
    <t>Cedar Park Public Library</t>
  </si>
  <si>
    <t>Williamson</t>
  </si>
  <si>
    <t>Cedar Park</t>
  </si>
  <si>
    <t>TX0424</t>
  </si>
  <si>
    <t>Center</t>
  </si>
  <si>
    <t>Fannie Brown Booth Memorial Library</t>
  </si>
  <si>
    <t>Shelby</t>
  </si>
  <si>
    <t>TX0425</t>
  </si>
  <si>
    <t>Chico</t>
  </si>
  <si>
    <t>Chico Public Library Inc</t>
  </si>
  <si>
    <t>TX0428</t>
  </si>
  <si>
    <t>Childress</t>
  </si>
  <si>
    <t>Childress Public Library</t>
  </si>
  <si>
    <t>TX0429</t>
  </si>
  <si>
    <t>Cisco</t>
  </si>
  <si>
    <t>Cisco Public Library</t>
  </si>
  <si>
    <t>Eastland</t>
  </si>
  <si>
    <t>Graham</t>
  </si>
  <si>
    <t>TX0430</t>
  </si>
  <si>
    <t>Clarendon</t>
  </si>
  <si>
    <t>Burton Memorial Library</t>
  </si>
  <si>
    <t>Donley</t>
  </si>
  <si>
    <t>TX0431</t>
  </si>
  <si>
    <t>Clarksville</t>
  </si>
  <si>
    <t>Red River County Public Library</t>
  </si>
  <si>
    <t>Red River</t>
  </si>
  <si>
    <t>TX0432</t>
  </si>
  <si>
    <t>Armstrong</t>
  </si>
  <si>
    <t>Claude</t>
  </si>
  <si>
    <t>Cleburne</t>
  </si>
  <si>
    <t>Cleburne Public Library</t>
  </si>
  <si>
    <t>TX0434</t>
  </si>
  <si>
    <t>Cleveland</t>
  </si>
  <si>
    <t>Austin Memorial Library</t>
  </si>
  <si>
    <t>Liberty</t>
  </si>
  <si>
    <t>TX0435</t>
  </si>
  <si>
    <t>Clifton</t>
  </si>
  <si>
    <t>Nellie Pederson Civic Library</t>
  </si>
  <si>
    <t>Bosque</t>
  </si>
  <si>
    <t>TX0670</t>
  </si>
  <si>
    <t>Clyde</t>
  </si>
  <si>
    <t>Clyde Public Library</t>
  </si>
  <si>
    <t>TX0436</t>
  </si>
  <si>
    <t>Coleman</t>
  </si>
  <si>
    <t>Coleman Public Library</t>
  </si>
  <si>
    <t>TX0437</t>
  </si>
  <si>
    <t>Mitchell County Public Library</t>
  </si>
  <si>
    <t>Mitchell</t>
  </si>
  <si>
    <t>Colorado City</t>
  </si>
  <si>
    <t>TX0438</t>
  </si>
  <si>
    <t>Columbus</t>
  </si>
  <si>
    <t>Nesbitt Memorial Library</t>
  </si>
  <si>
    <t>Colorado</t>
  </si>
  <si>
    <t>TX0439</t>
  </si>
  <si>
    <t>Comanche</t>
  </si>
  <si>
    <t>Comanche Public Library</t>
  </si>
  <si>
    <t>TX0440</t>
  </si>
  <si>
    <t>Comfort</t>
  </si>
  <si>
    <t>Comfort Public Library</t>
  </si>
  <si>
    <t>TX0441</t>
  </si>
  <si>
    <t>Commerce</t>
  </si>
  <si>
    <t>Commerce Public Library</t>
  </si>
  <si>
    <t>Hunt</t>
  </si>
  <si>
    <t>Clay</t>
  </si>
  <si>
    <t>TX0442</t>
  </si>
  <si>
    <t>Conroe</t>
  </si>
  <si>
    <t>Montgomery County Memorial Library System</t>
  </si>
  <si>
    <t>Montgomery</t>
  </si>
  <si>
    <t>TX0443</t>
  </si>
  <si>
    <t>Copperas Cove Public Library</t>
  </si>
  <si>
    <t>Coryell</t>
  </si>
  <si>
    <t>Copperas Cove</t>
  </si>
  <si>
    <t>Marion</t>
  </si>
  <si>
    <t>TX0444</t>
  </si>
  <si>
    <t>Corpus Christi Public Libraries</t>
  </si>
  <si>
    <t>Nueces</t>
  </si>
  <si>
    <t>Corpus Christi</t>
  </si>
  <si>
    <t>TX0445</t>
  </si>
  <si>
    <t>Corrigan</t>
  </si>
  <si>
    <t>Mickey Reily Public Library</t>
  </si>
  <si>
    <t>Polk</t>
  </si>
  <si>
    <t>TX0446</t>
  </si>
  <si>
    <t>Corsicana</t>
  </si>
  <si>
    <t>Corsicana Public Library</t>
  </si>
  <si>
    <t>Navarro</t>
  </si>
  <si>
    <t>TX0448</t>
  </si>
  <si>
    <t>Cotulla</t>
  </si>
  <si>
    <t>Alexander Memorial Library</t>
  </si>
  <si>
    <t>La Salle</t>
  </si>
  <si>
    <t>TX0449</t>
  </si>
  <si>
    <t>Crane</t>
  </si>
  <si>
    <t>Crane County Library</t>
  </si>
  <si>
    <t>TX0450</t>
  </si>
  <si>
    <t>Crockett</t>
  </si>
  <si>
    <t>JH Wootters Crockett Public Library</t>
  </si>
  <si>
    <t>Houston</t>
  </si>
  <si>
    <t>Sutton</t>
  </si>
  <si>
    <t>TX0451</t>
  </si>
  <si>
    <t>Crosbyton</t>
  </si>
  <si>
    <t>Crosby County Library</t>
  </si>
  <si>
    <t>Crosby</t>
  </si>
  <si>
    <t>TX0452</t>
  </si>
  <si>
    <t>Cross Plains Public Library</t>
  </si>
  <si>
    <t>Cross Plains</t>
  </si>
  <si>
    <t>TX0453</t>
  </si>
  <si>
    <t>Cuero</t>
  </si>
  <si>
    <t>Cuero Public Library</t>
  </si>
  <si>
    <t>DeWitt</t>
  </si>
  <si>
    <t>TX0455</t>
  </si>
  <si>
    <t>Daingerfield</t>
  </si>
  <si>
    <t>Daingerfield Public Library</t>
  </si>
  <si>
    <t>TX0456</t>
  </si>
  <si>
    <t>Dalhart</t>
  </si>
  <si>
    <t>Dallam-Hartley County Library</t>
  </si>
  <si>
    <t>Dallam</t>
  </si>
  <si>
    <t>King</t>
  </si>
  <si>
    <t>TX0457</t>
  </si>
  <si>
    <t>Dallas Public Library</t>
  </si>
  <si>
    <t>TX0003</t>
  </si>
  <si>
    <t>Dayton</t>
  </si>
  <si>
    <t>Jones Public Library</t>
  </si>
  <si>
    <t>TX0005</t>
  </si>
  <si>
    <t>DeLeon City County Library</t>
  </si>
  <si>
    <t>De Leon</t>
  </si>
  <si>
    <t>TX0006</t>
  </si>
  <si>
    <t>Decatur</t>
  </si>
  <si>
    <t>Decatur Public Library</t>
  </si>
  <si>
    <t>Carson</t>
  </si>
  <si>
    <t>TX0007</t>
  </si>
  <si>
    <t>Deer Park Public Library</t>
  </si>
  <si>
    <t>Deer Park</t>
  </si>
  <si>
    <t>TX0008</t>
  </si>
  <si>
    <t>Val Verde County Library</t>
  </si>
  <si>
    <t>Val Verde</t>
  </si>
  <si>
    <t>Del Rio</t>
  </si>
  <si>
    <t>TX0009</t>
  </si>
  <si>
    <t>Grace Grebing Public/School Library</t>
  </si>
  <si>
    <t>Hudspeth</t>
  </si>
  <si>
    <t>Dell City</t>
  </si>
  <si>
    <t>TX0010</t>
  </si>
  <si>
    <t>Denison</t>
  </si>
  <si>
    <t>Denison Public Library</t>
  </si>
  <si>
    <t>Grayson</t>
  </si>
  <si>
    <t>Bailey</t>
  </si>
  <si>
    <t>TX0011</t>
  </si>
  <si>
    <t>Denton</t>
  </si>
  <si>
    <t>Denton Public Library</t>
  </si>
  <si>
    <t>TX0012</t>
  </si>
  <si>
    <t>Yoakum County/Cecil Bickley Library</t>
  </si>
  <si>
    <t>Yoakum</t>
  </si>
  <si>
    <t>Denver City</t>
  </si>
  <si>
    <t>TX0014</t>
  </si>
  <si>
    <t>Devine</t>
  </si>
  <si>
    <t>Driscoll Public Library</t>
  </si>
  <si>
    <t>TX0015</t>
  </si>
  <si>
    <t>Diboll</t>
  </si>
  <si>
    <t>TLL Temple Memorial Library &amp; Archives</t>
  </si>
  <si>
    <t>Angelina</t>
  </si>
  <si>
    <t>TX0016</t>
  </si>
  <si>
    <t>Dickinson</t>
  </si>
  <si>
    <t>Dickinson Public Library</t>
  </si>
  <si>
    <t>Galveston</t>
  </si>
  <si>
    <t>TX0017</t>
  </si>
  <si>
    <t>Dimmitt</t>
  </si>
  <si>
    <t>Rhoads Memorial Library</t>
  </si>
  <si>
    <t>Castro</t>
  </si>
  <si>
    <t>TX0018</t>
  </si>
  <si>
    <t>Donna Public Library</t>
  </si>
  <si>
    <t>TX0019</t>
  </si>
  <si>
    <t>Dublin</t>
  </si>
  <si>
    <t>Dublin Public Library</t>
  </si>
  <si>
    <t>Erath</t>
  </si>
  <si>
    <t>TX0020</t>
  </si>
  <si>
    <t>Dumas</t>
  </si>
  <si>
    <t>Killgore Memorial Library</t>
  </si>
  <si>
    <t>Hawkins</t>
  </si>
  <si>
    <t>TX0021</t>
  </si>
  <si>
    <t>Duncanville</t>
  </si>
  <si>
    <t>Duncanville Public Library</t>
  </si>
  <si>
    <t>Hill</t>
  </si>
  <si>
    <t>TX0022</t>
  </si>
  <si>
    <t>Eula &amp; David Wintermann Library</t>
  </si>
  <si>
    <t>Eagle Lake</t>
  </si>
  <si>
    <t>TX0023</t>
  </si>
  <si>
    <t>Eagle Pass Public Library</t>
  </si>
  <si>
    <t>Maverick</t>
  </si>
  <si>
    <t>Eagle Pass</t>
  </si>
  <si>
    <t>TX0025</t>
  </si>
  <si>
    <t>Centennial Memorial Library</t>
  </si>
  <si>
    <t>TX0026</t>
  </si>
  <si>
    <t>Edinburg</t>
  </si>
  <si>
    <t>Dustin Michael Sekula Memorial Library</t>
  </si>
  <si>
    <t>TX0028</t>
  </si>
  <si>
    <t>Edna</t>
  </si>
  <si>
    <t>Jackson County Memorial Library</t>
  </si>
  <si>
    <t>TX0029</t>
  </si>
  <si>
    <t>El Paso Public Library</t>
  </si>
  <si>
    <t>El Paso</t>
  </si>
  <si>
    <t>TX0030</t>
  </si>
  <si>
    <t>Eldorado</t>
  </si>
  <si>
    <t>Schleicher County Public Library</t>
  </si>
  <si>
    <t>Schleicher</t>
  </si>
  <si>
    <t>TX0031</t>
  </si>
  <si>
    <t>Electra</t>
  </si>
  <si>
    <t>Electra Public Library</t>
  </si>
  <si>
    <t>TX0032</t>
  </si>
  <si>
    <t>Elsa</t>
  </si>
  <si>
    <t>Elsa Public Library</t>
  </si>
  <si>
    <t>TX0033</t>
  </si>
  <si>
    <t>Emory</t>
  </si>
  <si>
    <t>Rains County Public Library</t>
  </si>
  <si>
    <t>Rains</t>
  </si>
  <si>
    <t>TX0034</t>
  </si>
  <si>
    <t>Ennis</t>
  </si>
  <si>
    <t>Ennis Public Library</t>
  </si>
  <si>
    <t>Ellis</t>
  </si>
  <si>
    <t>TX0036</t>
  </si>
  <si>
    <t>Euless</t>
  </si>
  <si>
    <t>Euless Public Library</t>
  </si>
  <si>
    <t>Crowley</t>
  </si>
  <si>
    <t>TX0037</t>
  </si>
  <si>
    <t>Fairfield Library</t>
  </si>
  <si>
    <t>Freestone</t>
  </si>
  <si>
    <t>TX0039</t>
  </si>
  <si>
    <t>Falfurrias</t>
  </si>
  <si>
    <t>Ed Rachal Memorial Library</t>
  </si>
  <si>
    <t>Brooks</t>
  </si>
  <si>
    <t>TX0040</t>
  </si>
  <si>
    <t>Farmers Branch Manske Public Library</t>
  </si>
  <si>
    <t>Farmers Branch</t>
  </si>
  <si>
    <t>TX0041</t>
  </si>
  <si>
    <t>Farmersville</t>
  </si>
  <si>
    <t>Charles J Rike Memorial Library</t>
  </si>
  <si>
    <t>TX0042</t>
  </si>
  <si>
    <t>Ferris</t>
  </si>
  <si>
    <t>Ferris Public Library</t>
  </si>
  <si>
    <t>TX0043</t>
  </si>
  <si>
    <t>Florence</t>
  </si>
  <si>
    <t>Florence Public Library</t>
  </si>
  <si>
    <t>TX0044</t>
  </si>
  <si>
    <t>Floresville</t>
  </si>
  <si>
    <t>Sam Fore Jr Wilson County Public Library</t>
  </si>
  <si>
    <t>Wilson</t>
  </si>
  <si>
    <t>TX0045</t>
  </si>
  <si>
    <t>Floydada</t>
  </si>
  <si>
    <t>Floyd County Library</t>
  </si>
  <si>
    <t>Floyd</t>
  </si>
  <si>
    <t>TX0047</t>
  </si>
  <si>
    <t>Jeff Davis County Library</t>
  </si>
  <si>
    <t>Jeff Davis</t>
  </si>
  <si>
    <t>Fort Davis</t>
  </si>
  <si>
    <t>Fisher</t>
  </si>
  <si>
    <t>TX0048</t>
  </si>
  <si>
    <t>Fort Stockton Public Library</t>
  </si>
  <si>
    <t>Pecos</t>
  </si>
  <si>
    <t>Fort Stockton</t>
  </si>
  <si>
    <t>TX0049</t>
  </si>
  <si>
    <t>Fort Worth Library</t>
  </si>
  <si>
    <t>Fort Worth</t>
  </si>
  <si>
    <t>TX0050</t>
  </si>
  <si>
    <t>Robertson County Library</t>
  </si>
  <si>
    <t>Robertson</t>
  </si>
  <si>
    <t>TX0728</t>
  </si>
  <si>
    <t>Fredericksburg</t>
  </si>
  <si>
    <t>Pioneer Memorial Library</t>
  </si>
  <si>
    <t>Gillespie</t>
  </si>
  <si>
    <t>TX0052</t>
  </si>
  <si>
    <t>Friendswood</t>
  </si>
  <si>
    <t>Friendswood Public Library</t>
  </si>
  <si>
    <t>TX0053</t>
  </si>
  <si>
    <t>Friona</t>
  </si>
  <si>
    <t>Friona Public Library</t>
  </si>
  <si>
    <t>Parmer</t>
  </si>
  <si>
    <t>TX0054</t>
  </si>
  <si>
    <t>Gainesville</t>
  </si>
  <si>
    <t>Cooke County Library</t>
  </si>
  <si>
    <t>Cooke</t>
  </si>
  <si>
    <t>TX0055</t>
  </si>
  <si>
    <t>Rosenberg Library</t>
  </si>
  <si>
    <t>TX0056</t>
  </si>
  <si>
    <t>Garland</t>
  </si>
  <si>
    <t>Nicholson Memorial Library System</t>
  </si>
  <si>
    <t>TX0058</t>
  </si>
  <si>
    <t>Gatesville</t>
  </si>
  <si>
    <t>Gatesville Public Library</t>
  </si>
  <si>
    <t>TX0060</t>
  </si>
  <si>
    <t>Live Oak County Library</t>
  </si>
  <si>
    <t>Live Oak</t>
  </si>
  <si>
    <t>George West</t>
  </si>
  <si>
    <t>TX0061</t>
  </si>
  <si>
    <t>Georgetown</t>
  </si>
  <si>
    <t>Georgetown Public Library</t>
  </si>
  <si>
    <t>TX0062</t>
  </si>
  <si>
    <t>Giddings</t>
  </si>
  <si>
    <t>Giddings Public Library</t>
  </si>
  <si>
    <t>TX0063</t>
  </si>
  <si>
    <t>Gilmer</t>
  </si>
  <si>
    <t>Upshur County Library</t>
  </si>
  <si>
    <t>Upshur</t>
  </si>
  <si>
    <t>TX0064</t>
  </si>
  <si>
    <t>Gladewater</t>
  </si>
  <si>
    <t>Lee Public Library</t>
  </si>
  <si>
    <t>Gregg</t>
  </si>
  <si>
    <t>TX0065</t>
  </si>
  <si>
    <t>Somervell County Library</t>
  </si>
  <si>
    <t>Somervell</t>
  </si>
  <si>
    <t>Glen Rose</t>
  </si>
  <si>
    <t>Oldham</t>
  </si>
  <si>
    <t>TX0066</t>
  </si>
  <si>
    <t>Gonzales</t>
  </si>
  <si>
    <t>Gonzales Public Library</t>
  </si>
  <si>
    <t>TX0691</t>
  </si>
  <si>
    <t>Library of Graham</t>
  </si>
  <si>
    <t>Young</t>
  </si>
  <si>
    <t>TX0069</t>
  </si>
  <si>
    <t>Granbury</t>
  </si>
  <si>
    <t>Hood County Public Library</t>
  </si>
  <si>
    <t>Hood</t>
  </si>
  <si>
    <t>TX0070</t>
  </si>
  <si>
    <t>Grand Prairie Public Library System</t>
  </si>
  <si>
    <t>Grand Prairie</t>
  </si>
  <si>
    <t>TX0071</t>
  </si>
  <si>
    <t>Grand Saline Public Library</t>
  </si>
  <si>
    <t>Grand Saline</t>
  </si>
  <si>
    <t>TX0072</t>
  </si>
  <si>
    <t>Grapevine</t>
  </si>
  <si>
    <t>Grapevine Public Library</t>
  </si>
  <si>
    <t>TX0073</t>
  </si>
  <si>
    <t>Greenville</t>
  </si>
  <si>
    <t>W Walworth Harrison Public Library</t>
  </si>
  <si>
    <t>TX0074</t>
  </si>
  <si>
    <t>Groesbeck</t>
  </si>
  <si>
    <t>Groesbeck Public Library</t>
  </si>
  <si>
    <t>Limestone</t>
  </si>
  <si>
    <t>TX0075</t>
  </si>
  <si>
    <t>Groves</t>
  </si>
  <si>
    <t>Groves Public Library</t>
  </si>
  <si>
    <t>Harper</t>
  </si>
  <si>
    <t>TX0076</t>
  </si>
  <si>
    <t>Groveton</t>
  </si>
  <si>
    <t>Groveton Public Library</t>
  </si>
  <si>
    <t>Trinity</t>
  </si>
  <si>
    <t>TX0077</t>
  </si>
  <si>
    <t>Gruver</t>
  </si>
  <si>
    <t>Gruver City Library</t>
  </si>
  <si>
    <t>Hansford</t>
  </si>
  <si>
    <t>TX0079</t>
  </si>
  <si>
    <t>Hale Center Public Library Inc</t>
  </si>
  <si>
    <t>Hale Center</t>
  </si>
  <si>
    <t>TX0080</t>
  </si>
  <si>
    <t>Hallettsville</t>
  </si>
  <si>
    <t>Friench Simpson Memorial Library</t>
  </si>
  <si>
    <t>Lavaca</t>
  </si>
  <si>
    <t>TX0081</t>
  </si>
  <si>
    <t>Haltom City Public Library</t>
  </si>
  <si>
    <t>Haltom City</t>
  </si>
  <si>
    <t>TX0082</t>
  </si>
  <si>
    <t>Hamilton</t>
  </si>
  <si>
    <t>Hamilton Public Library</t>
  </si>
  <si>
    <t>TX0083</t>
  </si>
  <si>
    <t>Harker Heights</t>
  </si>
  <si>
    <t>TX0084</t>
  </si>
  <si>
    <t>Harlingen</t>
  </si>
  <si>
    <t>Harlingen Public Library</t>
  </si>
  <si>
    <t>TX0085</t>
  </si>
  <si>
    <t>Haskell</t>
  </si>
  <si>
    <t>Haskell County Library</t>
  </si>
  <si>
    <t>TX0086</t>
  </si>
  <si>
    <t>Hearne</t>
  </si>
  <si>
    <t>Smith-Welch Memorial Library</t>
  </si>
  <si>
    <t>TX0518</t>
  </si>
  <si>
    <t>Hebbronville</t>
  </si>
  <si>
    <t>Jim Hogg County Public Library</t>
  </si>
  <si>
    <t>Jim Hogg</t>
  </si>
  <si>
    <t>Guadalupe</t>
  </si>
  <si>
    <t>TX0088</t>
  </si>
  <si>
    <t>Hempstead</t>
  </si>
  <si>
    <t>Waller County Library</t>
  </si>
  <si>
    <t>TX0090</t>
  </si>
  <si>
    <t>Rusk County Library System</t>
  </si>
  <si>
    <t>Rusk</t>
  </si>
  <si>
    <t>TX0091</t>
  </si>
  <si>
    <t>Henrietta</t>
  </si>
  <si>
    <t>Edwards Public Library</t>
  </si>
  <si>
    <t>TX0092</t>
  </si>
  <si>
    <t>Hereford</t>
  </si>
  <si>
    <t>Deaf Smith County Library</t>
  </si>
  <si>
    <t>Deaf Smith</t>
  </si>
  <si>
    <t>TX0093</t>
  </si>
  <si>
    <t>Highland Park Library</t>
  </si>
  <si>
    <t>TX0094</t>
  </si>
  <si>
    <t>Hillsboro</t>
  </si>
  <si>
    <t>Hillsboro City Library</t>
  </si>
  <si>
    <t>TX0095</t>
  </si>
  <si>
    <t>Hitchcock</t>
  </si>
  <si>
    <t>Genevieve Miller Hitchcock Public Library</t>
  </si>
  <si>
    <t>TX0096</t>
  </si>
  <si>
    <t>Hondo</t>
  </si>
  <si>
    <t>Hondo Public Library</t>
  </si>
  <si>
    <t>TX0097</t>
  </si>
  <si>
    <t>Bertha Voyer Memorial Library</t>
  </si>
  <si>
    <t>Honey Grove</t>
  </si>
  <si>
    <t>TX0098</t>
  </si>
  <si>
    <t>Houston Public Library</t>
  </si>
  <si>
    <t>TX0099</t>
  </si>
  <si>
    <t>Harris County Public Library</t>
  </si>
  <si>
    <t>TX0101</t>
  </si>
  <si>
    <t>Howe</t>
  </si>
  <si>
    <t>Howe Community Library</t>
  </si>
  <si>
    <t>TX0102</t>
  </si>
  <si>
    <t>Huntsville</t>
  </si>
  <si>
    <t>Huntsville Public Library</t>
  </si>
  <si>
    <t>TX0103</t>
  </si>
  <si>
    <t>Hurst</t>
  </si>
  <si>
    <t>Hurst Public Library</t>
  </si>
  <si>
    <t>TX0104</t>
  </si>
  <si>
    <t>Imperial</t>
  </si>
  <si>
    <t>Imperial Public Library</t>
  </si>
  <si>
    <t>TX0105</t>
  </si>
  <si>
    <t>Ingleside</t>
  </si>
  <si>
    <t>Ingleside Public Library</t>
  </si>
  <si>
    <t>TX0106</t>
  </si>
  <si>
    <t>Tom Burnett Memorial Library</t>
  </si>
  <si>
    <t>Iowa Park</t>
  </si>
  <si>
    <t>TX0107</t>
  </si>
  <si>
    <t>Iraan</t>
  </si>
  <si>
    <t>Iraan Public Library</t>
  </si>
  <si>
    <t>TX0108</t>
  </si>
  <si>
    <t>Irving</t>
  </si>
  <si>
    <t>Irving Public Library</t>
  </si>
  <si>
    <t>TX0109</t>
  </si>
  <si>
    <t>Jacksboro</t>
  </si>
  <si>
    <t>Gladys Johnson Ritchie Public Library</t>
  </si>
  <si>
    <t>Jack</t>
  </si>
  <si>
    <t>TX0112</t>
  </si>
  <si>
    <t>Jacksonville</t>
  </si>
  <si>
    <t>Jacksonville Public Library</t>
  </si>
  <si>
    <t>TX0559</t>
  </si>
  <si>
    <t>Jasper</t>
  </si>
  <si>
    <t>Jasper Public Library</t>
  </si>
  <si>
    <t>TX0114</t>
  </si>
  <si>
    <t>Jayton</t>
  </si>
  <si>
    <t>Kent County Library</t>
  </si>
  <si>
    <t>TX0115</t>
  </si>
  <si>
    <t>Jefferson Carnegie Library</t>
  </si>
  <si>
    <t>TX0459</t>
  </si>
  <si>
    <t>Johnson City Library</t>
  </si>
  <si>
    <t>Johnson City</t>
  </si>
  <si>
    <t>TX0116</t>
  </si>
  <si>
    <t>Jourdanton</t>
  </si>
  <si>
    <t>Jourdanton Community Library</t>
  </si>
  <si>
    <t>Atascosa</t>
  </si>
  <si>
    <t>TX0117</t>
  </si>
  <si>
    <t>Junction</t>
  </si>
  <si>
    <t>Kimble County Library</t>
  </si>
  <si>
    <t>Kimble</t>
  </si>
  <si>
    <t>TX0118</t>
  </si>
  <si>
    <t>Kaufman</t>
  </si>
  <si>
    <t>Kaufman County Library</t>
  </si>
  <si>
    <t>Holland</t>
  </si>
  <si>
    <t>Hall</t>
  </si>
  <si>
    <t>TX0119</t>
  </si>
  <si>
    <t>Keller</t>
  </si>
  <si>
    <t>Keller Public Library</t>
  </si>
  <si>
    <t>TX0120</t>
  </si>
  <si>
    <t>Kendalia</t>
  </si>
  <si>
    <t>Kendalia Public Library</t>
  </si>
  <si>
    <t>TX0122</t>
  </si>
  <si>
    <t>Kenedy</t>
  </si>
  <si>
    <t>Karnes</t>
  </si>
  <si>
    <t>Kenedy Public Library</t>
  </si>
  <si>
    <t>TX0123</t>
  </si>
  <si>
    <t>Kermit</t>
  </si>
  <si>
    <t>Winkler County Library</t>
  </si>
  <si>
    <t>Winkler</t>
  </si>
  <si>
    <t>TX0124</t>
  </si>
  <si>
    <t>Kerrville</t>
  </si>
  <si>
    <t>Butt-Holdsworth Memorial Library</t>
  </si>
  <si>
    <t>Kerr</t>
  </si>
  <si>
    <t>Ward</t>
  </si>
  <si>
    <t>TX0125</t>
  </si>
  <si>
    <t>Kilgore</t>
  </si>
  <si>
    <t>Kilgore Public Library</t>
  </si>
  <si>
    <t>TX0126</t>
  </si>
  <si>
    <t>Kingsville</t>
  </si>
  <si>
    <t>Robert J Kleberg Public Library</t>
  </si>
  <si>
    <t>Kleberg</t>
  </si>
  <si>
    <t>TX0128</t>
  </si>
  <si>
    <t>Kirbyville</t>
  </si>
  <si>
    <t>Kirbyville Public Library</t>
  </si>
  <si>
    <t>TX0129</t>
  </si>
  <si>
    <t>Kountze</t>
  </si>
  <si>
    <t>Kountze Public Library</t>
  </si>
  <si>
    <t>Hardin</t>
  </si>
  <si>
    <t>TX0130</t>
  </si>
  <si>
    <t>Kyle</t>
  </si>
  <si>
    <t>Kyle Public Library</t>
  </si>
  <si>
    <t>Hays</t>
  </si>
  <si>
    <t>TX0131</t>
  </si>
  <si>
    <t>Bailey H Dunlap Memorial Library</t>
  </si>
  <si>
    <t>La Feria</t>
  </si>
  <si>
    <t>TX0133</t>
  </si>
  <si>
    <t>Fayette Public Library</t>
  </si>
  <si>
    <t>Fayette</t>
  </si>
  <si>
    <t>La Grange</t>
  </si>
  <si>
    <t>TX0134</t>
  </si>
  <si>
    <t>La Marque Public Library</t>
  </si>
  <si>
    <t>La Marque</t>
  </si>
  <si>
    <t>TX0135</t>
  </si>
  <si>
    <t>Laguna Vista Public Library</t>
  </si>
  <si>
    <t>Laguna Vista</t>
  </si>
  <si>
    <t>TX0136</t>
  </si>
  <si>
    <t>Lake Cities Library</t>
  </si>
  <si>
    <t>Lake Dallas</t>
  </si>
  <si>
    <t>Knox</t>
  </si>
  <si>
    <t>TX0137</t>
  </si>
  <si>
    <t>Mary Lou Reddick Public Library</t>
  </si>
  <si>
    <t>Lake Worth</t>
  </si>
  <si>
    <t>TX0138</t>
  </si>
  <si>
    <t>Lamesa</t>
  </si>
  <si>
    <t>Dawson County Public Library</t>
  </si>
  <si>
    <t>Dawson</t>
  </si>
  <si>
    <t>Leonard</t>
  </si>
  <si>
    <t>TX0139</t>
  </si>
  <si>
    <t>Lampasas</t>
  </si>
  <si>
    <t>Lampasas Public Library</t>
  </si>
  <si>
    <t>TX0140</t>
  </si>
  <si>
    <t>Laredo</t>
  </si>
  <si>
    <t>Laredo Public Library</t>
  </si>
  <si>
    <t>Webb</t>
  </si>
  <si>
    <t>TX0141</t>
  </si>
  <si>
    <t>Helen Hall Library</t>
  </si>
  <si>
    <t>League City</t>
  </si>
  <si>
    <t>TX0142</t>
  </si>
  <si>
    <t>Leon Valley Public Library</t>
  </si>
  <si>
    <t>Bexar</t>
  </si>
  <si>
    <t>Leon Valley</t>
  </si>
  <si>
    <t>TX0144</t>
  </si>
  <si>
    <t>Levelland</t>
  </si>
  <si>
    <t>Hockley County Memorial Library</t>
  </si>
  <si>
    <t>Hockley</t>
  </si>
  <si>
    <t>TX0145</t>
  </si>
  <si>
    <t>Lewisville</t>
  </si>
  <si>
    <t>Lewisville Public Library</t>
  </si>
  <si>
    <t>TX0146</t>
  </si>
  <si>
    <t>Liberty Municipal Library</t>
  </si>
  <si>
    <t>TX0147</t>
  </si>
  <si>
    <t>Littlefield</t>
  </si>
  <si>
    <t>Lamb County Library</t>
  </si>
  <si>
    <t>Lamb</t>
  </si>
  <si>
    <t>TX0148</t>
  </si>
  <si>
    <t>Livingston</t>
  </si>
  <si>
    <t>TX0149</t>
  </si>
  <si>
    <t>Llano</t>
  </si>
  <si>
    <t>Llano County Library System</t>
  </si>
  <si>
    <t>TX0150</t>
  </si>
  <si>
    <t>Lockhart</t>
  </si>
  <si>
    <t>Dr Eugene Clark Library</t>
  </si>
  <si>
    <t>TX0151</t>
  </si>
  <si>
    <t>Longview</t>
  </si>
  <si>
    <t>Longview Public Library</t>
  </si>
  <si>
    <t>TX0152</t>
  </si>
  <si>
    <t>Ethel L Whipple Memorial Library</t>
  </si>
  <si>
    <t>Los Fresnos</t>
  </si>
  <si>
    <t>TX0153</t>
  </si>
  <si>
    <t>Lubbock</t>
  </si>
  <si>
    <t>Lubbock Public Library</t>
  </si>
  <si>
    <t>TX0155</t>
  </si>
  <si>
    <t>Lufkin</t>
  </si>
  <si>
    <t>Kurth Memorial Library</t>
  </si>
  <si>
    <t>TX0156</t>
  </si>
  <si>
    <t>Luling</t>
  </si>
  <si>
    <t>JB Nickells Memorial Library</t>
  </si>
  <si>
    <t>TX0157</t>
  </si>
  <si>
    <t>Lytle</t>
  </si>
  <si>
    <t>Lytle Public Library</t>
  </si>
  <si>
    <t>TX0158</t>
  </si>
  <si>
    <t>Madisonville</t>
  </si>
  <si>
    <t>Madison County Library</t>
  </si>
  <si>
    <t>TX0159</t>
  </si>
  <si>
    <t>Malakoff</t>
  </si>
  <si>
    <t>Red Waller Community Library</t>
  </si>
  <si>
    <t>TX0160</t>
  </si>
  <si>
    <t>Mansfield Public Library</t>
  </si>
  <si>
    <t>TX0161</t>
  </si>
  <si>
    <t>Marfa</t>
  </si>
  <si>
    <t>Marfa Public Library</t>
  </si>
  <si>
    <t>Presidio</t>
  </si>
  <si>
    <t>TX0162</t>
  </si>
  <si>
    <t>Marlin</t>
  </si>
  <si>
    <t>Pauline and Jane Chilton Memorial Marlin Public Library</t>
  </si>
  <si>
    <t>Falls</t>
  </si>
  <si>
    <t>TX0163</t>
  </si>
  <si>
    <t>Marshall</t>
  </si>
  <si>
    <t>Marshall Public Library</t>
  </si>
  <si>
    <t>Harrison</t>
  </si>
  <si>
    <t>TX0164</t>
  </si>
  <si>
    <t>Mason</t>
  </si>
  <si>
    <t>Mason County M Beven Eckert Memorial Library</t>
  </si>
  <si>
    <t>TX0166</t>
  </si>
  <si>
    <t>Matador</t>
  </si>
  <si>
    <t>Motley County Library</t>
  </si>
  <si>
    <t>Motley</t>
  </si>
  <si>
    <t>TX0167</t>
  </si>
  <si>
    <t>Mathis Public Library</t>
  </si>
  <si>
    <t>TX0168</t>
  </si>
  <si>
    <t>McAllen</t>
  </si>
  <si>
    <t>McAllen Memorial Library</t>
  </si>
  <si>
    <t>TX0549</t>
  </si>
  <si>
    <t>McCamey</t>
  </si>
  <si>
    <t>Upton County Public Library</t>
  </si>
  <si>
    <t>Upton</t>
  </si>
  <si>
    <t>TX0170</t>
  </si>
  <si>
    <t>McKinney</t>
  </si>
  <si>
    <t>McKinney Public Library System</t>
  </si>
  <si>
    <t>TX0171</t>
  </si>
  <si>
    <t>McLean</t>
  </si>
  <si>
    <t>Lovett Memorial Library McLean</t>
  </si>
  <si>
    <t>Gray</t>
  </si>
  <si>
    <t>TX0172</t>
  </si>
  <si>
    <t>Memphis</t>
  </si>
  <si>
    <t>Memphis Public Library</t>
  </si>
  <si>
    <t>TX0173</t>
  </si>
  <si>
    <t>Menard</t>
  </si>
  <si>
    <t>Menard Public Library</t>
  </si>
  <si>
    <t>TX0174</t>
  </si>
  <si>
    <t>Mercedes</t>
  </si>
  <si>
    <t>Dr Hector P Garcia Memorial Library</t>
  </si>
  <si>
    <t>TX0176</t>
  </si>
  <si>
    <t>Mertzon</t>
  </si>
  <si>
    <t>Irion</t>
  </si>
  <si>
    <t>TX0500</t>
  </si>
  <si>
    <t>Mesquite</t>
  </si>
  <si>
    <t>Mesquite Public Library</t>
  </si>
  <si>
    <t>TX0177</t>
  </si>
  <si>
    <t>Mexia</t>
  </si>
  <si>
    <t>Gibbs Memorial Library</t>
  </si>
  <si>
    <t>TX0178</t>
  </si>
  <si>
    <t>Midland</t>
  </si>
  <si>
    <t>Midland County Public Library</t>
  </si>
  <si>
    <t>TX0179</t>
  </si>
  <si>
    <t>Midlothian</t>
  </si>
  <si>
    <t>AH Meadows Library</t>
  </si>
  <si>
    <t>TX0180</t>
  </si>
  <si>
    <t>Mineola</t>
  </si>
  <si>
    <t>Mineola Memorial Library</t>
  </si>
  <si>
    <t>Wood</t>
  </si>
  <si>
    <t>TX0574</t>
  </si>
  <si>
    <t>Boyce Ditto Public Library</t>
  </si>
  <si>
    <t>Palo Pinto</t>
  </si>
  <si>
    <t>Mineral Wells</t>
  </si>
  <si>
    <t>TX0181</t>
  </si>
  <si>
    <t>Mission</t>
  </si>
  <si>
    <t>Speer Memorial Library</t>
  </si>
  <si>
    <t>TX0182</t>
  </si>
  <si>
    <t>Monahans</t>
  </si>
  <si>
    <t>Ward County Library</t>
  </si>
  <si>
    <t>TX0183</t>
  </si>
  <si>
    <t>Morton</t>
  </si>
  <si>
    <t>Cochran County Love Memorial Library</t>
  </si>
  <si>
    <t>Cochran</t>
  </si>
  <si>
    <t>Sealy</t>
  </si>
  <si>
    <t>TX0186</t>
  </si>
  <si>
    <t>Mount Calm Public Library</t>
  </si>
  <si>
    <t>Mount Calm</t>
  </si>
  <si>
    <t>TX0562</t>
  </si>
  <si>
    <t>Mount Pleasant Public Library</t>
  </si>
  <si>
    <t>Titus</t>
  </si>
  <si>
    <t>Mt Pleasant</t>
  </si>
  <si>
    <t>TX0188</t>
  </si>
  <si>
    <t>Franklin County Library</t>
  </si>
  <si>
    <t>Mt Vernon</t>
  </si>
  <si>
    <t>TX0189</t>
  </si>
  <si>
    <t>Muenster</t>
  </si>
  <si>
    <t>Muenster Public Library</t>
  </si>
  <si>
    <t>TX0190</t>
  </si>
  <si>
    <t>Muleshoe</t>
  </si>
  <si>
    <t>Muleshoe Area Public Library</t>
  </si>
  <si>
    <t>TX0191</t>
  </si>
  <si>
    <t>Munday</t>
  </si>
  <si>
    <t>Munday City-County Library</t>
  </si>
  <si>
    <t>TX0192</t>
  </si>
  <si>
    <t>Nacogdoches</t>
  </si>
  <si>
    <t>Judy B McDonald Public Library</t>
  </si>
  <si>
    <t>TX0193</t>
  </si>
  <si>
    <t>Navasota</t>
  </si>
  <si>
    <t>Navasota Public Library</t>
  </si>
  <si>
    <t>Grimes</t>
  </si>
  <si>
    <t>TX0194</t>
  </si>
  <si>
    <t>Nederland</t>
  </si>
  <si>
    <t>Marion &amp; Ed Hughes Public Library</t>
  </si>
  <si>
    <t>TX0196</t>
  </si>
  <si>
    <t>New Boston Public Library</t>
  </si>
  <si>
    <t>New Boston</t>
  </si>
  <si>
    <t>TX0198</t>
  </si>
  <si>
    <t>New Braunfels Public Library</t>
  </si>
  <si>
    <t>New Braunfels</t>
  </si>
  <si>
    <t>TX0199</t>
  </si>
  <si>
    <t>Newton</t>
  </si>
  <si>
    <t>Newton County Public Library</t>
  </si>
  <si>
    <t>TX0460</t>
  </si>
  <si>
    <t>Nixon</t>
  </si>
  <si>
    <t>The Aphne Pattillo Nixon Public Library</t>
  </si>
  <si>
    <t>TX0486</t>
  </si>
  <si>
    <t>Nocona</t>
  </si>
  <si>
    <t>Nocona Public Library</t>
  </si>
  <si>
    <t>TX0200</t>
  </si>
  <si>
    <t>North Richland Hills Public Library</t>
  </si>
  <si>
    <t>North Richland Hills</t>
  </si>
  <si>
    <t>TX0201</t>
  </si>
  <si>
    <t>Odem</t>
  </si>
  <si>
    <t>Odem Public Library</t>
  </si>
  <si>
    <t>Hutchins</t>
  </si>
  <si>
    <t>TX0202</t>
  </si>
  <si>
    <t>Odessa</t>
  </si>
  <si>
    <t>Ector County Library</t>
  </si>
  <si>
    <t>Ector</t>
  </si>
  <si>
    <t>TX0203</t>
  </si>
  <si>
    <t>Olney</t>
  </si>
  <si>
    <t>Olney Community Library and Arts Center</t>
  </si>
  <si>
    <t>TX0205</t>
  </si>
  <si>
    <t>Orange</t>
  </si>
  <si>
    <t>Orange Public Library</t>
  </si>
  <si>
    <t>TX0206</t>
  </si>
  <si>
    <t>Ozona</t>
  </si>
  <si>
    <t>Crockett County Public Library</t>
  </si>
  <si>
    <t>TX0207</t>
  </si>
  <si>
    <t>Paducah</t>
  </si>
  <si>
    <t>Bicentennial City-County Library</t>
  </si>
  <si>
    <t>Cottle</t>
  </si>
  <si>
    <t>TX0208</t>
  </si>
  <si>
    <t>Palacios</t>
  </si>
  <si>
    <t>Palacios Library Inc</t>
  </si>
  <si>
    <t>TX0210</t>
  </si>
  <si>
    <t>Palestine</t>
  </si>
  <si>
    <t>Palestine Public Library</t>
  </si>
  <si>
    <t>TX0211</t>
  </si>
  <si>
    <t>Pampa</t>
  </si>
  <si>
    <t>Lovett Memorial Library Pampa</t>
  </si>
  <si>
    <t>TX0212</t>
  </si>
  <si>
    <t>Panhandle</t>
  </si>
  <si>
    <t>Carson County Public Library</t>
  </si>
  <si>
    <t>TX0213</t>
  </si>
  <si>
    <t>Paris</t>
  </si>
  <si>
    <t>Paris Public Library</t>
  </si>
  <si>
    <t>Lamar</t>
  </si>
  <si>
    <t>TX0214</t>
  </si>
  <si>
    <t>Pasadena</t>
  </si>
  <si>
    <t>Pasadena Public Library</t>
  </si>
  <si>
    <t>TX0217</t>
  </si>
  <si>
    <t>Pearsall</t>
  </si>
  <si>
    <t>Pearsall Public Library</t>
  </si>
  <si>
    <t>Frio</t>
  </si>
  <si>
    <t>TX0218</t>
  </si>
  <si>
    <t>Perryton</t>
  </si>
  <si>
    <t>Perry Memorial Library</t>
  </si>
  <si>
    <t>Ochiltree</t>
  </si>
  <si>
    <t>TX0219</t>
  </si>
  <si>
    <t>Pharr</t>
  </si>
  <si>
    <t>Pharr Memorial Library</t>
  </si>
  <si>
    <t>TX0221</t>
  </si>
  <si>
    <t>Pilot Point Community Library</t>
  </si>
  <si>
    <t>Pilot Point</t>
  </si>
  <si>
    <t>TX0222</t>
  </si>
  <si>
    <t>Pineland</t>
  </si>
  <si>
    <t>Arthur Temple Sr Memorial Library</t>
  </si>
  <si>
    <t>Sabine</t>
  </si>
  <si>
    <t>TX0223</t>
  </si>
  <si>
    <t>Pittsburg</t>
  </si>
  <si>
    <t>Pittsburg-Camp County Public Library</t>
  </si>
  <si>
    <t>Camp</t>
  </si>
  <si>
    <t>TX0224</t>
  </si>
  <si>
    <t>Plains</t>
  </si>
  <si>
    <t>Yoakum County Library</t>
  </si>
  <si>
    <t>TX0225</t>
  </si>
  <si>
    <t>Plainview</t>
  </si>
  <si>
    <t>Unger Memorial Library</t>
  </si>
  <si>
    <t>TX0227</t>
  </si>
  <si>
    <t>Plano</t>
  </si>
  <si>
    <t>Plano Public Library System</t>
  </si>
  <si>
    <t>TX0228</t>
  </si>
  <si>
    <t>Pleasanton</t>
  </si>
  <si>
    <t>Pleasanton Public Library</t>
  </si>
  <si>
    <t>Guthrie</t>
  </si>
  <si>
    <t>TX0229</t>
  </si>
  <si>
    <t>William R Bill Ellis Memorial Library</t>
  </si>
  <si>
    <t>Port Aransas</t>
  </si>
  <si>
    <t>TX0230</t>
  </si>
  <si>
    <t>Port Arthur Public Library</t>
  </si>
  <si>
    <t>Port Arthur</t>
  </si>
  <si>
    <t>TX0231</t>
  </si>
  <si>
    <t>Port Isabel Public Library</t>
  </si>
  <si>
    <t>Port Isabel</t>
  </si>
  <si>
    <t>TX0232</t>
  </si>
  <si>
    <t>Calhoun County Public Library</t>
  </si>
  <si>
    <t>Calhoun</t>
  </si>
  <si>
    <t>Port Lavaca</t>
  </si>
  <si>
    <t>TX0233</t>
  </si>
  <si>
    <t>Effie &amp; Wilton Hebert Public Library</t>
  </si>
  <si>
    <t>Port Neches</t>
  </si>
  <si>
    <t>TX0234</t>
  </si>
  <si>
    <t>Bell/Whittington Public Library</t>
  </si>
  <si>
    <t>TX0235</t>
  </si>
  <si>
    <t>Post</t>
  </si>
  <si>
    <t>Post Public Library</t>
  </si>
  <si>
    <t>TX0236</t>
  </si>
  <si>
    <t>Poteet Public Library</t>
  </si>
  <si>
    <t>TX0238</t>
  </si>
  <si>
    <t>Quanah</t>
  </si>
  <si>
    <t>Thompson Sawyer Public Library</t>
  </si>
  <si>
    <t>Hardeman</t>
  </si>
  <si>
    <t>TX0239</t>
  </si>
  <si>
    <t>Quemado</t>
  </si>
  <si>
    <t>Quemado Public Library</t>
  </si>
  <si>
    <t>TX0240</t>
  </si>
  <si>
    <t>Quitman</t>
  </si>
  <si>
    <t>Quitman Public Library</t>
  </si>
  <si>
    <t>TX0241</t>
  </si>
  <si>
    <t>Rankin</t>
  </si>
  <si>
    <t>Rankin Public Library</t>
  </si>
  <si>
    <t>TX0563</t>
  </si>
  <si>
    <t>Raymondville</t>
  </si>
  <si>
    <t>Reber Memorial Library</t>
  </si>
  <si>
    <t>Willacy</t>
  </si>
  <si>
    <t>TX0243</t>
  </si>
  <si>
    <t>Refugio</t>
  </si>
  <si>
    <t>Dennis M O Connor Public Library</t>
  </si>
  <si>
    <t>TX0244</t>
  </si>
  <si>
    <t>Richardson</t>
  </si>
  <si>
    <t>Richardson Public Library</t>
  </si>
  <si>
    <t>TX0245</t>
  </si>
  <si>
    <t>Richland Hills Public Library</t>
  </si>
  <si>
    <t>Richland Hills</t>
  </si>
  <si>
    <t>TX0246</t>
  </si>
  <si>
    <t>Richmond</t>
  </si>
  <si>
    <t>Fort Bend County Libraries</t>
  </si>
  <si>
    <t>Fort Bend</t>
  </si>
  <si>
    <t>TX0247</t>
  </si>
  <si>
    <t>Rio Hondo Public Library</t>
  </si>
  <si>
    <t>Rio Hondo</t>
  </si>
  <si>
    <t>TX0249</t>
  </si>
  <si>
    <t>River Oaks Public Library</t>
  </si>
  <si>
    <t>River Oaks</t>
  </si>
  <si>
    <t>TX0250</t>
  </si>
  <si>
    <t>Roanoke</t>
  </si>
  <si>
    <t>Roanoke Public Library</t>
  </si>
  <si>
    <t>TX0251</t>
  </si>
  <si>
    <t>Coke County Library</t>
  </si>
  <si>
    <t>Coke</t>
  </si>
  <si>
    <t>Robert Lee</t>
  </si>
  <si>
    <t>TX0252</t>
  </si>
  <si>
    <t>Robstown</t>
  </si>
  <si>
    <t>Nueces County Keach Family Library</t>
  </si>
  <si>
    <t>TX0686</t>
  </si>
  <si>
    <t>Rockdale</t>
  </si>
  <si>
    <t>Lucy Hill Patterson Memorial Library</t>
  </si>
  <si>
    <t>TX0254</t>
  </si>
  <si>
    <t>Rockport</t>
  </si>
  <si>
    <t>Aransas County Public Library</t>
  </si>
  <si>
    <t>Aransas</t>
  </si>
  <si>
    <t>TX0255</t>
  </si>
  <si>
    <t>Rocksprings</t>
  </si>
  <si>
    <t>Claud H Gilmer Memorial Library</t>
  </si>
  <si>
    <t>Edwards</t>
  </si>
  <si>
    <t>TX0677</t>
  </si>
  <si>
    <t>Rockwall</t>
  </si>
  <si>
    <t>Rockwall County Library</t>
  </si>
  <si>
    <t>TX0256</t>
  </si>
  <si>
    <t>Rotan</t>
  </si>
  <si>
    <t>Rotan Public Library</t>
  </si>
  <si>
    <t>TX0257</t>
  </si>
  <si>
    <t>Round Rock Public Library System</t>
  </si>
  <si>
    <t>Round Rock</t>
  </si>
  <si>
    <t>TX0259</t>
  </si>
  <si>
    <t>Singletary Memorial Library</t>
  </si>
  <si>
    <t>TX0260</t>
  </si>
  <si>
    <t>Saginaw</t>
  </si>
  <si>
    <t>John Ed Keeter Public Library</t>
  </si>
  <si>
    <t>TX0564</t>
  </si>
  <si>
    <t>Tom Green County Library System</t>
  </si>
  <si>
    <t>Tom Green</t>
  </si>
  <si>
    <t>San Angelo</t>
  </si>
  <si>
    <t>TX0262</t>
  </si>
  <si>
    <t>San Antonio Public Library</t>
  </si>
  <si>
    <t>San Antonio</t>
  </si>
  <si>
    <t>TX0263</t>
  </si>
  <si>
    <t>San Augustine Public Library</t>
  </si>
  <si>
    <t>San Augustine</t>
  </si>
  <si>
    <t>TX0264</t>
  </si>
  <si>
    <t>San Benito Public Library</t>
  </si>
  <si>
    <t>San Benito</t>
  </si>
  <si>
    <t>TX0265</t>
  </si>
  <si>
    <t>San Juan Memorial Library</t>
  </si>
  <si>
    <t>San Juan</t>
  </si>
  <si>
    <t>TX0620</t>
  </si>
  <si>
    <t>San Marcos Public Library</t>
  </si>
  <si>
    <t>San Marcos</t>
  </si>
  <si>
    <t>TX0266</t>
  </si>
  <si>
    <t>Rylander Memorial Library</t>
  </si>
  <si>
    <t>San Saba</t>
  </si>
  <si>
    <t>Lynn</t>
  </si>
  <si>
    <t>TX0267</t>
  </si>
  <si>
    <t>Sanderson</t>
  </si>
  <si>
    <t>Terrell County Public Library</t>
  </si>
  <si>
    <t>Terrell</t>
  </si>
  <si>
    <t>TX0269</t>
  </si>
  <si>
    <t>Mae S Bruce Library</t>
  </si>
  <si>
    <t>Santa Fe</t>
  </si>
  <si>
    <t>TX0271</t>
  </si>
  <si>
    <t>Schertz</t>
  </si>
  <si>
    <t>Schertz Public Library</t>
  </si>
  <si>
    <t>Melissa</t>
  </si>
  <si>
    <t>TX0272</t>
  </si>
  <si>
    <t>Schulenburg</t>
  </si>
  <si>
    <t>Schulenburg Public Library</t>
  </si>
  <si>
    <t>TX0461</t>
  </si>
  <si>
    <t>Virgil &amp; Josephine Gordon Memorial Library</t>
  </si>
  <si>
    <t>TX0273</t>
  </si>
  <si>
    <t>Seguin</t>
  </si>
  <si>
    <t>Seguin-Guadalupe County Public Library</t>
  </si>
  <si>
    <t>TX0274</t>
  </si>
  <si>
    <t>Seminole</t>
  </si>
  <si>
    <t>Gaines County Library</t>
  </si>
  <si>
    <t>Gaines</t>
  </si>
  <si>
    <t>TX0275</t>
  </si>
  <si>
    <t>Baylor County Free Library</t>
  </si>
  <si>
    <t>Baylor</t>
  </si>
  <si>
    <t>TX0276</t>
  </si>
  <si>
    <t>Shamrock</t>
  </si>
  <si>
    <t>Shamrock Public Library</t>
  </si>
  <si>
    <t>Wheeler</t>
  </si>
  <si>
    <t>TX0277</t>
  </si>
  <si>
    <t>Shepherd</t>
  </si>
  <si>
    <t>Shepherd Public Library</t>
  </si>
  <si>
    <t>San Jacinto</t>
  </si>
  <si>
    <t>TX0279</t>
  </si>
  <si>
    <t>Sheridan</t>
  </si>
  <si>
    <t>Sheridan Memorial Library</t>
  </si>
  <si>
    <t>TX0716</t>
  </si>
  <si>
    <t>Sherman Public Library</t>
  </si>
  <si>
    <t>TX0281</t>
  </si>
  <si>
    <t>Silsbee</t>
  </si>
  <si>
    <t>Silsbee Public Library</t>
  </si>
  <si>
    <t>TX0282</t>
  </si>
  <si>
    <t>Sinton</t>
  </si>
  <si>
    <t>Sinton Public Library</t>
  </si>
  <si>
    <t>TX0283</t>
  </si>
  <si>
    <t>Smithville</t>
  </si>
  <si>
    <t>Smithville Public Library</t>
  </si>
  <si>
    <t>Snyder</t>
  </si>
  <si>
    <t>TX0285</t>
  </si>
  <si>
    <t>Scurry County Library</t>
  </si>
  <si>
    <t>Scurry</t>
  </si>
  <si>
    <t>TX0286</t>
  </si>
  <si>
    <t>Sonora</t>
  </si>
  <si>
    <t>Sutton County Library</t>
  </si>
  <si>
    <t>TX0287</t>
  </si>
  <si>
    <t>Alma M Carpenter Public Library</t>
  </si>
  <si>
    <t>Sour Lake</t>
  </si>
  <si>
    <t>TX0289</t>
  </si>
  <si>
    <t>Spearman</t>
  </si>
  <si>
    <t>Hansford County Library</t>
  </si>
  <si>
    <t>TX0290</t>
  </si>
  <si>
    <t>Spur</t>
  </si>
  <si>
    <t>Dickens County Spur Public Library</t>
  </si>
  <si>
    <t>Dickens</t>
  </si>
  <si>
    <t>TX0487</t>
  </si>
  <si>
    <t>Stamford Carnegie Library</t>
  </si>
  <si>
    <t>TX0292</t>
  </si>
  <si>
    <t>Stanton</t>
  </si>
  <si>
    <t>Martin County Library</t>
  </si>
  <si>
    <t>TX0529</t>
  </si>
  <si>
    <t>Stephenville</t>
  </si>
  <si>
    <t>Stephenville Public Library</t>
  </si>
  <si>
    <t>TX0294</t>
  </si>
  <si>
    <t>Sherman County Public Library</t>
  </si>
  <si>
    <t>TX0295</t>
  </si>
  <si>
    <t>Sweetwater</t>
  </si>
  <si>
    <t>County-City Library</t>
  </si>
  <si>
    <t>Nolan</t>
  </si>
  <si>
    <t>TX0297</t>
  </si>
  <si>
    <t>Taft</t>
  </si>
  <si>
    <t>Taft Public Library</t>
  </si>
  <si>
    <t>TX0298</t>
  </si>
  <si>
    <t>Tahoka</t>
  </si>
  <si>
    <t>City County Library</t>
  </si>
  <si>
    <t>TX0299</t>
  </si>
  <si>
    <t>Taylor Public Library</t>
  </si>
  <si>
    <t>TX0300</t>
  </si>
  <si>
    <t>Teague</t>
  </si>
  <si>
    <t>Teague Public Library</t>
  </si>
  <si>
    <t>TX0301</t>
  </si>
  <si>
    <t>Temple</t>
  </si>
  <si>
    <t>Temple Public Library</t>
  </si>
  <si>
    <t>TX0302</t>
  </si>
  <si>
    <t>Riter C Hulsey Public Library</t>
  </si>
  <si>
    <t>TX0303</t>
  </si>
  <si>
    <t>Texarkana</t>
  </si>
  <si>
    <t>Texarkana Public Library</t>
  </si>
  <si>
    <t>TX0304</t>
  </si>
  <si>
    <t>Moore Memorial Public Library</t>
  </si>
  <si>
    <t>Texas City</t>
  </si>
  <si>
    <t>TX0305</t>
  </si>
  <si>
    <t>The Colony Public Library</t>
  </si>
  <si>
    <t>The Colony</t>
  </si>
  <si>
    <t>TX0306</t>
  </si>
  <si>
    <t>Blanche K Werner Public Library</t>
  </si>
  <si>
    <t>TX0307</t>
  </si>
  <si>
    <t>Tulia</t>
  </si>
  <si>
    <t>Swisher County Library</t>
  </si>
  <si>
    <t>Swisher</t>
  </si>
  <si>
    <t>TX0309</t>
  </si>
  <si>
    <t>Tyler</t>
  </si>
  <si>
    <t>Tyler Public Library</t>
  </si>
  <si>
    <t>TX0310</t>
  </si>
  <si>
    <t>Uvalde</t>
  </si>
  <si>
    <t>El Progreso Memorial Library</t>
  </si>
  <si>
    <t>TX0311</t>
  </si>
  <si>
    <t>Van Alstyne Public Library</t>
  </si>
  <si>
    <t>Van Alstyne</t>
  </si>
  <si>
    <t>TX0312</t>
  </si>
  <si>
    <t>Van Horn City County Library</t>
  </si>
  <si>
    <t>Culberson</t>
  </si>
  <si>
    <t>Van Horn</t>
  </si>
  <si>
    <t>TX0313</t>
  </si>
  <si>
    <t>Vernon</t>
  </si>
  <si>
    <t>Carnegie City-County Library</t>
  </si>
  <si>
    <t>Wilbarger</t>
  </si>
  <si>
    <t>TX0314</t>
  </si>
  <si>
    <t>Victoria Public Library</t>
  </si>
  <si>
    <t>TX0315</t>
  </si>
  <si>
    <t>Vidor</t>
  </si>
  <si>
    <t>Vidor Public Library</t>
  </si>
  <si>
    <t>TX0316</t>
  </si>
  <si>
    <t>Waco</t>
  </si>
  <si>
    <t>Waco-McLennan County Library</t>
  </si>
  <si>
    <t>McLennan</t>
  </si>
  <si>
    <t>TX0317</t>
  </si>
  <si>
    <t>Wallis</t>
  </si>
  <si>
    <t>Austin County Library System</t>
  </si>
  <si>
    <t>TX0320</t>
  </si>
  <si>
    <t>Waxahachie</t>
  </si>
  <si>
    <t>Nicholas P Sims Library &amp; Lyceum</t>
  </si>
  <si>
    <t>TX0321</t>
  </si>
  <si>
    <t>Weatherford</t>
  </si>
  <si>
    <t>Weatherford Public Library</t>
  </si>
  <si>
    <t>Parker</t>
  </si>
  <si>
    <t>TX0322</t>
  </si>
  <si>
    <t>Weimar</t>
  </si>
  <si>
    <t>Weimar Public Library</t>
  </si>
  <si>
    <t>TX0323</t>
  </si>
  <si>
    <t>Wellington</t>
  </si>
  <si>
    <t>Collingsworth Public Library</t>
  </si>
  <si>
    <t>Collingsworth</t>
  </si>
  <si>
    <t>TX0324</t>
  </si>
  <si>
    <t>Weslaco</t>
  </si>
  <si>
    <t>Mayor Joe V Sanchez Public Library</t>
  </si>
  <si>
    <t>TX0325</t>
  </si>
  <si>
    <t>Wharton</t>
  </si>
  <si>
    <t>Wharton County Library</t>
  </si>
  <si>
    <t>TX0326</t>
  </si>
  <si>
    <t>Wheeler Public Library</t>
  </si>
  <si>
    <t>TX0327</t>
  </si>
  <si>
    <t>White Settlement Public Library</t>
  </si>
  <si>
    <t>White Settlement</t>
  </si>
  <si>
    <t>TX0329</t>
  </si>
  <si>
    <t>Whitesboro</t>
  </si>
  <si>
    <t>Whitesboro Public Library</t>
  </si>
  <si>
    <t>TX0330</t>
  </si>
  <si>
    <t>Whitewright</t>
  </si>
  <si>
    <t>Whitewright Public Library</t>
  </si>
  <si>
    <t>TX0331</t>
  </si>
  <si>
    <t>Wichita Falls Public Library</t>
  </si>
  <si>
    <t>Wichita Falls</t>
  </si>
  <si>
    <t>TX0332</t>
  </si>
  <si>
    <t>Wimberley</t>
  </si>
  <si>
    <t>Wimberley Village Library</t>
  </si>
  <si>
    <t>TX0565</t>
  </si>
  <si>
    <t>Winters</t>
  </si>
  <si>
    <t>Winters Public Library</t>
  </si>
  <si>
    <t>TX0334</t>
  </si>
  <si>
    <t>Wolfe City Public Library</t>
  </si>
  <si>
    <t>Wolfe City</t>
  </si>
  <si>
    <t>TX0335</t>
  </si>
  <si>
    <t>Woodville</t>
  </si>
  <si>
    <t>Allan Shivers Library &amp; Museum</t>
  </si>
  <si>
    <t>TX0552</t>
  </si>
  <si>
    <t>Wylie</t>
  </si>
  <si>
    <t>Rita &amp; Truett Smith Public Library</t>
  </si>
  <si>
    <t>TX0337</t>
  </si>
  <si>
    <t>Carl &amp; Mary Welhausen Library</t>
  </si>
  <si>
    <t>TX0338</t>
  </si>
  <si>
    <t>Yorktown</t>
  </si>
  <si>
    <t>Yorktown Public Library</t>
  </si>
  <si>
    <t>TX0340</t>
  </si>
  <si>
    <t>Balch Springs Library-Learning Center</t>
  </si>
  <si>
    <t>Balch Springs</t>
  </si>
  <si>
    <t>TX0342</t>
  </si>
  <si>
    <t>Buda</t>
  </si>
  <si>
    <t>Buda Public Library</t>
  </si>
  <si>
    <t>TX0343</t>
  </si>
  <si>
    <t>Buna</t>
  </si>
  <si>
    <t>Buna Public Library</t>
  </si>
  <si>
    <t>TX0344</t>
  </si>
  <si>
    <t>Pflugerville</t>
  </si>
  <si>
    <t>Pflugerville Public Library</t>
  </si>
  <si>
    <t>TX0347</t>
  </si>
  <si>
    <t>City of Presidio Library</t>
  </si>
  <si>
    <t>TX0566</t>
  </si>
  <si>
    <t>Zapata</t>
  </si>
  <si>
    <t>Olga V Figueroa Zapata County Public Library</t>
  </si>
  <si>
    <t>TX0349</t>
  </si>
  <si>
    <t>Zula B Wylie Public Library in Cedar Hill</t>
  </si>
  <si>
    <t>Cedar Hill</t>
  </si>
  <si>
    <t>TX0350</t>
  </si>
  <si>
    <t>Coppell</t>
  </si>
  <si>
    <t>William T Cozby Public Library</t>
  </si>
  <si>
    <t>TX0351</t>
  </si>
  <si>
    <t>DeSoto Public Library</t>
  </si>
  <si>
    <t>De Soto</t>
  </si>
  <si>
    <t>TX0352</t>
  </si>
  <si>
    <t>Higgins</t>
  </si>
  <si>
    <t>Higgins Public Library</t>
  </si>
  <si>
    <t>Lipscomb</t>
  </si>
  <si>
    <t>TX0353</t>
  </si>
  <si>
    <t>Hutchins-Atwell Public Library</t>
  </si>
  <si>
    <t>TX0354</t>
  </si>
  <si>
    <t>Idalou</t>
  </si>
  <si>
    <t>Idalou Community Library</t>
  </si>
  <si>
    <t>TX0355</t>
  </si>
  <si>
    <t>Lake Travis Community Library</t>
  </si>
  <si>
    <t>TX0357</t>
  </si>
  <si>
    <t>Lancaster</t>
  </si>
  <si>
    <t>Lancaster Veterans Memorial Library</t>
  </si>
  <si>
    <t>TX0358</t>
  </si>
  <si>
    <t>Rowlett</t>
  </si>
  <si>
    <t>Rowlett Public Library</t>
  </si>
  <si>
    <t>TX0360</t>
  </si>
  <si>
    <t>Sachse</t>
  </si>
  <si>
    <t>Sachse Public Library</t>
  </si>
  <si>
    <t>TX0361</t>
  </si>
  <si>
    <t>Seagoville</t>
  </si>
  <si>
    <t>Seagoville Public Library</t>
  </si>
  <si>
    <t>TX0362</t>
  </si>
  <si>
    <t>Slaton</t>
  </si>
  <si>
    <t>Slaton City Library</t>
  </si>
  <si>
    <t>TX0364</t>
  </si>
  <si>
    <t>Springtown</t>
  </si>
  <si>
    <t>Springtown Public Library</t>
  </si>
  <si>
    <t>TX0365</t>
  </si>
  <si>
    <t>Sunnyvale</t>
  </si>
  <si>
    <t>Sunnyvale Public Library</t>
  </si>
  <si>
    <t>TX0366</t>
  </si>
  <si>
    <t>Tawakoni Area Public Library</t>
  </si>
  <si>
    <t>West Tawakoni</t>
  </si>
  <si>
    <t>TX0368</t>
  </si>
  <si>
    <t>Watauga</t>
  </si>
  <si>
    <t>Watauga Public Library</t>
  </si>
  <si>
    <t>TX0369</t>
  </si>
  <si>
    <t>Westbank Community Library District</t>
  </si>
  <si>
    <t>TX0370</t>
  </si>
  <si>
    <t>Wilmer</t>
  </si>
  <si>
    <t>Gilliam Memorial Public Library</t>
  </si>
  <si>
    <t>TX0371</t>
  </si>
  <si>
    <t>Winnsboro</t>
  </si>
  <si>
    <t>Gilbreath Memorial Library</t>
  </si>
  <si>
    <t>TX0372</t>
  </si>
  <si>
    <t>Hewitt</t>
  </si>
  <si>
    <t>Hewitt Public Library</t>
  </si>
  <si>
    <t>TX0373</t>
  </si>
  <si>
    <t>Leonard Public Library</t>
  </si>
  <si>
    <t>TX0374</t>
  </si>
  <si>
    <t>Frankston</t>
  </si>
  <si>
    <t>Frankston Depot Library</t>
  </si>
  <si>
    <t>TX0567</t>
  </si>
  <si>
    <t>Universal City Public Library</t>
  </si>
  <si>
    <t>Universal City</t>
  </si>
  <si>
    <t>TX0376</t>
  </si>
  <si>
    <t>Booker</t>
  </si>
  <si>
    <t>Booker School/Public Library</t>
  </si>
  <si>
    <t>TX0378</t>
  </si>
  <si>
    <t>Alvord</t>
  </si>
  <si>
    <t>Alvord Public Library</t>
  </si>
  <si>
    <t>TX0380</t>
  </si>
  <si>
    <t>Vega</t>
  </si>
  <si>
    <t>Oldham County Public Library</t>
  </si>
  <si>
    <t>TX0381</t>
  </si>
  <si>
    <t>Goldthwaite</t>
  </si>
  <si>
    <t>Jennie Trent Dew Library</t>
  </si>
  <si>
    <t>Mills</t>
  </si>
  <si>
    <t>TX0658</t>
  </si>
  <si>
    <t>Sanger</t>
  </si>
  <si>
    <t>Sanger Public Library</t>
  </si>
  <si>
    <t>TX0382</t>
  </si>
  <si>
    <t>Charlotte Public Library</t>
  </si>
  <si>
    <t>TX0383</t>
  </si>
  <si>
    <t>Dripping Springs Community Library</t>
  </si>
  <si>
    <t>Dripping Springs</t>
  </si>
  <si>
    <t>TX0384</t>
  </si>
  <si>
    <t>Sterling County Public Library</t>
  </si>
  <si>
    <t>Sterling City</t>
  </si>
  <si>
    <t>TX0503</t>
  </si>
  <si>
    <t>Crowell</t>
  </si>
  <si>
    <t>Foard County Library</t>
  </si>
  <si>
    <t>Foard</t>
  </si>
  <si>
    <t>TX0386</t>
  </si>
  <si>
    <t>Aubrey</t>
  </si>
  <si>
    <t>Aubrey Area Library</t>
  </si>
  <si>
    <t>TX0387</t>
  </si>
  <si>
    <t>West Public Library</t>
  </si>
  <si>
    <t>TX0388</t>
  </si>
  <si>
    <t>Krum</t>
  </si>
  <si>
    <t>Krum Public Library</t>
  </si>
  <si>
    <t>TX0389</t>
  </si>
  <si>
    <t>Bulverde</t>
  </si>
  <si>
    <t>Bulverde/Spring Branch Library</t>
  </si>
  <si>
    <t>TX0391</t>
  </si>
  <si>
    <t>Coldspring</t>
  </si>
  <si>
    <t>Coldspring Area Public Library Inc</t>
  </si>
  <si>
    <t>TX0392</t>
  </si>
  <si>
    <t>Whitehouse</t>
  </si>
  <si>
    <t>Whitehouse Community Library</t>
  </si>
  <si>
    <t>TX0394</t>
  </si>
  <si>
    <t>Flower Mound Public Library</t>
  </si>
  <si>
    <t>Flower Mound</t>
  </si>
  <si>
    <t>TX0395</t>
  </si>
  <si>
    <t>Goliad</t>
  </si>
  <si>
    <t>Goliad County Library</t>
  </si>
  <si>
    <t>TX0396</t>
  </si>
  <si>
    <t>Lago Vista Public Library</t>
  </si>
  <si>
    <t>Lago Vista</t>
  </si>
  <si>
    <t>TX0622</t>
  </si>
  <si>
    <t>Forest Hill Public Library</t>
  </si>
  <si>
    <t>Forest Hill</t>
  </si>
  <si>
    <t>TX0397</t>
  </si>
  <si>
    <t>Everman</t>
  </si>
  <si>
    <t>Everman Public Library</t>
  </si>
  <si>
    <t>TX0398</t>
  </si>
  <si>
    <t>Salado</t>
  </si>
  <si>
    <t>Salado Public Library District</t>
  </si>
  <si>
    <t>TX0400</t>
  </si>
  <si>
    <t>Whitney</t>
  </si>
  <si>
    <t>Lake Whitney Library</t>
  </si>
  <si>
    <t>Wolfforth</t>
  </si>
  <si>
    <t>City of Wolfforth Library</t>
  </si>
  <si>
    <t>TX0403</t>
  </si>
  <si>
    <t>Maud</t>
  </si>
  <si>
    <t>Maud Public Library</t>
  </si>
  <si>
    <t>TX0489</t>
  </si>
  <si>
    <t>Guthrie CSD &amp; King County Consolidated Library</t>
  </si>
  <si>
    <t>TX0405</t>
  </si>
  <si>
    <t>McGregor</t>
  </si>
  <si>
    <t>McGinley Memorial Public Library</t>
  </si>
  <si>
    <t>TX0464</t>
  </si>
  <si>
    <t>Ranger</t>
  </si>
  <si>
    <t>Ranger City Library</t>
  </si>
  <si>
    <t>Wells</t>
  </si>
  <si>
    <t>TX0465</t>
  </si>
  <si>
    <t>Reeves County Library</t>
  </si>
  <si>
    <t>Reeves</t>
  </si>
  <si>
    <t>TX0623</t>
  </si>
  <si>
    <t>Justin</t>
  </si>
  <si>
    <t>Justin Community Library</t>
  </si>
  <si>
    <t>TX0466</t>
  </si>
  <si>
    <t>Springlake-Earth Community Library</t>
  </si>
  <si>
    <t>TX0515</t>
  </si>
  <si>
    <t>Duval County/San Diego Public Library</t>
  </si>
  <si>
    <t>Duval</t>
  </si>
  <si>
    <t>San Diego</t>
  </si>
  <si>
    <t>TX0521</t>
  </si>
  <si>
    <t>Falls City Public Library</t>
  </si>
  <si>
    <t>Falls City</t>
  </si>
  <si>
    <t>TX0467</t>
  </si>
  <si>
    <t>Karnes City Public Library</t>
  </si>
  <si>
    <t>Karnes City</t>
  </si>
  <si>
    <t>TX0468</t>
  </si>
  <si>
    <t>Runge</t>
  </si>
  <si>
    <t>Runge Public Library</t>
  </si>
  <si>
    <t>TX0469</t>
  </si>
  <si>
    <t>Allen Memorial Public Library</t>
  </si>
  <si>
    <t>TX0470</t>
  </si>
  <si>
    <t>Leander</t>
  </si>
  <si>
    <t>Leander Public Library</t>
  </si>
  <si>
    <t>TX0471</t>
  </si>
  <si>
    <t>Newark</t>
  </si>
  <si>
    <t>Newark Public Library</t>
  </si>
  <si>
    <t>TX0480</t>
  </si>
  <si>
    <t>Alvarado</t>
  </si>
  <si>
    <t>Alvarado Public Library</t>
  </si>
  <si>
    <t>TX0481</t>
  </si>
  <si>
    <t>Elgin</t>
  </si>
  <si>
    <t>Elgin Public Library</t>
  </si>
  <si>
    <t>TX0473</t>
  </si>
  <si>
    <t>Fort Hancock ISD/Public Library</t>
  </si>
  <si>
    <t>Fort Hancock</t>
  </si>
  <si>
    <t>TX0482</t>
  </si>
  <si>
    <t>Mart</t>
  </si>
  <si>
    <t>Nancy Nail Memorial Library</t>
  </si>
  <si>
    <t>TX0697</t>
  </si>
  <si>
    <t>New Waverly Public Library</t>
  </si>
  <si>
    <t>New Waverly</t>
  </si>
  <si>
    <t>TX0483</t>
  </si>
  <si>
    <t>Crowley Public Library</t>
  </si>
  <si>
    <t>TX0484</t>
  </si>
  <si>
    <t>Rio Grande City Public Library</t>
  </si>
  <si>
    <t>Starr</t>
  </si>
  <si>
    <t>Rio Grande City</t>
  </si>
  <si>
    <t>TX0485</t>
  </si>
  <si>
    <t>Pottsboro</t>
  </si>
  <si>
    <t>Pottsboro Area Public Library</t>
  </si>
  <si>
    <t>TX0493</t>
  </si>
  <si>
    <t>Aledo</t>
  </si>
  <si>
    <t>East Parker County Library</t>
  </si>
  <si>
    <t>TX0532</t>
  </si>
  <si>
    <t>Benbrook</t>
  </si>
  <si>
    <t>Benbrook Public Library</t>
  </si>
  <si>
    <t>TX0660</t>
  </si>
  <si>
    <t>Bridge City Public Library</t>
  </si>
  <si>
    <t>Bridge City</t>
  </si>
  <si>
    <t>TX0495</t>
  </si>
  <si>
    <t>Quitaque</t>
  </si>
  <si>
    <t>Caprock Public Library</t>
  </si>
  <si>
    <t>Briscoe</t>
  </si>
  <si>
    <t>TX0512</t>
  </si>
  <si>
    <t>Lumberton</t>
  </si>
  <si>
    <t>Lumberton Public Library</t>
  </si>
  <si>
    <t>TX0573</t>
  </si>
  <si>
    <t>Mabank</t>
  </si>
  <si>
    <t>Tri-County Library</t>
  </si>
  <si>
    <t>TX0509</t>
  </si>
  <si>
    <t>Jonestown</t>
  </si>
  <si>
    <t>Jonestown Community Library</t>
  </si>
  <si>
    <t>TX0569</t>
  </si>
  <si>
    <t>Rhome</t>
  </si>
  <si>
    <t>Rhome Public Library</t>
  </si>
  <si>
    <t>TX0522</t>
  </si>
  <si>
    <t>Leakey</t>
  </si>
  <si>
    <t>Real</t>
  </si>
  <si>
    <t>Real County Public Library</t>
  </si>
  <si>
    <t>TX0508</t>
  </si>
  <si>
    <t>Celina</t>
  </si>
  <si>
    <t>Celina Public Library</t>
  </si>
  <si>
    <t>TX0732</t>
  </si>
  <si>
    <t>Converse</t>
  </si>
  <si>
    <t>Converse Public Library</t>
  </si>
  <si>
    <t>TX0514</t>
  </si>
  <si>
    <t>Marion Community Library</t>
  </si>
  <si>
    <t>TX0498</t>
  </si>
  <si>
    <t>Troup</t>
  </si>
  <si>
    <t>Cameron-J Jarvis Troup Municipal Library</t>
  </si>
  <si>
    <t>TX0504</t>
  </si>
  <si>
    <t>Cockrell Hill Public Library</t>
  </si>
  <si>
    <t>TX0526</t>
  </si>
  <si>
    <t>East Travis Gateway Library District</t>
  </si>
  <si>
    <t>Del Valle</t>
  </si>
  <si>
    <t>TX0717</t>
  </si>
  <si>
    <t>Melissa Public Library</t>
  </si>
  <si>
    <t>TX0530</t>
  </si>
  <si>
    <t>Shiner</t>
  </si>
  <si>
    <t>Shiner Public Library</t>
  </si>
  <si>
    <t>TX0571</t>
  </si>
  <si>
    <t>La Joya Municipal Library</t>
  </si>
  <si>
    <t>La Joya</t>
  </si>
  <si>
    <t>TX0661</t>
  </si>
  <si>
    <t>Kennedale</t>
  </si>
  <si>
    <t>Kennedale Public Library</t>
  </si>
  <si>
    <t>TX0534</t>
  </si>
  <si>
    <t>Frisco</t>
  </si>
  <si>
    <t>Frisco Public Library</t>
  </si>
  <si>
    <t>TX0538</t>
  </si>
  <si>
    <t>JR Huffman Public Library</t>
  </si>
  <si>
    <t>TX0539</t>
  </si>
  <si>
    <t>Lindale</t>
  </si>
  <si>
    <t>Lindale Library</t>
  </si>
  <si>
    <t>TX0541</t>
  </si>
  <si>
    <t>Venus</t>
  </si>
  <si>
    <t>Joe A Hall High School and Community Library</t>
  </si>
  <si>
    <t>TX0570</t>
  </si>
  <si>
    <t>Clint ISD Public Library</t>
  </si>
  <si>
    <t>TX0577</t>
  </si>
  <si>
    <t>Joshua</t>
  </si>
  <si>
    <t>Joshua School &amp; Public Library</t>
  </si>
  <si>
    <t>TX0624</t>
  </si>
  <si>
    <t>Sabinal</t>
  </si>
  <si>
    <t>Sabinal Public Library</t>
  </si>
  <si>
    <t>TX0544</t>
  </si>
  <si>
    <t>Utopia</t>
  </si>
  <si>
    <t>Utopia Memorial Library</t>
  </si>
  <si>
    <t>TX0543</t>
  </si>
  <si>
    <t>Valley Mills Public Library</t>
  </si>
  <si>
    <t>Valley Mills</t>
  </si>
  <si>
    <t>TX0578</t>
  </si>
  <si>
    <t>Ponder</t>
  </si>
  <si>
    <t>Betty Foster Public Library</t>
  </si>
  <si>
    <t>TX0579</t>
  </si>
  <si>
    <t>The Library at Cedar Creek Lake</t>
  </si>
  <si>
    <t>Seven Points</t>
  </si>
  <si>
    <t>TX0580</t>
  </si>
  <si>
    <t>Crandall</t>
  </si>
  <si>
    <t>Crandall-Combine Community Library</t>
  </si>
  <si>
    <t>TX0626</t>
  </si>
  <si>
    <t>Camp Wood Public Library</t>
  </si>
  <si>
    <t>Camp Wood</t>
  </si>
  <si>
    <t>Hutto</t>
  </si>
  <si>
    <t>TX0581</t>
  </si>
  <si>
    <t>Huntington</t>
  </si>
  <si>
    <t>McMullen Memorial Library</t>
  </si>
  <si>
    <t>TX0582</t>
  </si>
  <si>
    <t>Throckmorton</t>
  </si>
  <si>
    <t>Depot Public Library</t>
  </si>
  <si>
    <t>TX0628</t>
  </si>
  <si>
    <t>Dilley</t>
  </si>
  <si>
    <t>Dilley Public Library</t>
  </si>
  <si>
    <t>TX0583</t>
  </si>
  <si>
    <t>Moody</t>
  </si>
  <si>
    <t>Moody Community Library</t>
  </si>
  <si>
    <t>TX0629</t>
  </si>
  <si>
    <t>Hidalgo Public Library</t>
  </si>
  <si>
    <t>TX0630</t>
  </si>
  <si>
    <t>Naples</t>
  </si>
  <si>
    <t>Naples Public Library</t>
  </si>
  <si>
    <t>TX0662</t>
  </si>
  <si>
    <t>Rosebud</t>
  </si>
  <si>
    <t>D Brown Memorial Library</t>
  </si>
  <si>
    <t>TX0663</t>
  </si>
  <si>
    <t>Wells Branch Community Library</t>
  </si>
  <si>
    <t>TX0664</t>
  </si>
  <si>
    <t>Lakehills</t>
  </si>
  <si>
    <t>Lakehills Area Library</t>
  </si>
  <si>
    <t>TX0665</t>
  </si>
  <si>
    <t>Noonday Community Library</t>
  </si>
  <si>
    <t>TX0666</t>
  </si>
  <si>
    <t>Little Elm Public Library</t>
  </si>
  <si>
    <t>Little Elm</t>
  </si>
  <si>
    <t>TX0667</t>
  </si>
  <si>
    <t>Lone Oak Area Public Library</t>
  </si>
  <si>
    <t>Lone Oak</t>
  </si>
  <si>
    <t>TX0672</t>
  </si>
  <si>
    <t>Meridian</t>
  </si>
  <si>
    <t>Meridian Public Library</t>
  </si>
  <si>
    <t>TX0676</t>
  </si>
  <si>
    <t>Princeton</t>
  </si>
  <si>
    <t>Lois Nelson Public Library</t>
  </si>
  <si>
    <t>TX0675</t>
  </si>
  <si>
    <t>Prosper</t>
  </si>
  <si>
    <t>Prosper Community Library</t>
  </si>
  <si>
    <t>TX0687</t>
  </si>
  <si>
    <t>Medina Community Library</t>
  </si>
  <si>
    <t>TX0678</t>
  </si>
  <si>
    <t>Bremond</t>
  </si>
  <si>
    <t>Bremond Public Library</t>
  </si>
  <si>
    <t>TX0693</t>
  </si>
  <si>
    <t>BJ Hill Library</t>
  </si>
  <si>
    <t>TX0679</t>
  </si>
  <si>
    <t>Merkel</t>
  </si>
  <si>
    <t>Merkel Public Library</t>
  </si>
  <si>
    <t>TX0680</t>
  </si>
  <si>
    <t>Southlake</t>
  </si>
  <si>
    <t>Southlake Public Library</t>
  </si>
  <si>
    <t>TX0682</t>
  </si>
  <si>
    <t>Grapeland</t>
  </si>
  <si>
    <t>Grapeland Public Library</t>
  </si>
  <si>
    <t>TX0694</t>
  </si>
  <si>
    <t>Liberty Hill Public Library</t>
  </si>
  <si>
    <t>Liberty Hill</t>
  </si>
  <si>
    <t>TX0696</t>
  </si>
  <si>
    <t>Round Top Family Library</t>
  </si>
  <si>
    <t>Round Top</t>
  </si>
  <si>
    <t>TX0688</t>
  </si>
  <si>
    <t>University Park Public Library</t>
  </si>
  <si>
    <t>TX0689</t>
  </si>
  <si>
    <t>White Oak School Community Library</t>
  </si>
  <si>
    <t>White Oak</t>
  </si>
  <si>
    <t>TX0698</t>
  </si>
  <si>
    <t>Colleyville</t>
  </si>
  <si>
    <t>Colleyville Public Library</t>
  </si>
  <si>
    <t>TX0701</t>
  </si>
  <si>
    <t>Olton</t>
  </si>
  <si>
    <t>Olton Area Library</t>
  </si>
  <si>
    <t>TX0700</t>
  </si>
  <si>
    <t>Onalaska</t>
  </si>
  <si>
    <t>Onalaska Public Library</t>
  </si>
  <si>
    <t>TX0704</t>
  </si>
  <si>
    <t>CF Goodwin Public Library</t>
  </si>
  <si>
    <t>Royse City</t>
  </si>
  <si>
    <t>TX0703</t>
  </si>
  <si>
    <t>Waskom</t>
  </si>
  <si>
    <t>Waskom Public Library</t>
  </si>
  <si>
    <t>TX0699</t>
  </si>
  <si>
    <t>Tri-Community Library</t>
  </si>
  <si>
    <t>Prairie Lea</t>
  </si>
  <si>
    <t>TX0709</t>
  </si>
  <si>
    <t>Bee Cave Public Library</t>
  </si>
  <si>
    <t>Bee Cave</t>
  </si>
  <si>
    <t>TX0710</t>
  </si>
  <si>
    <t>Red Oak Public Library</t>
  </si>
  <si>
    <t>Red Oak</t>
  </si>
  <si>
    <t>TX0711</t>
  </si>
  <si>
    <t>Haslet</t>
  </si>
  <si>
    <t>Haslet Public Library</t>
  </si>
  <si>
    <t>TX0713</t>
  </si>
  <si>
    <t>Gunter</t>
  </si>
  <si>
    <t>Gunter Library and Museum</t>
  </si>
  <si>
    <t>TX0736</t>
  </si>
  <si>
    <t>Lucile Teague Library</t>
  </si>
  <si>
    <t>Tom Bean</t>
  </si>
  <si>
    <t>TX0720</t>
  </si>
  <si>
    <t>Hutto Public Library</t>
  </si>
  <si>
    <t>TX0724</t>
  </si>
  <si>
    <t>City of Garden Ridge Library</t>
  </si>
  <si>
    <t>Garden Ridge</t>
  </si>
  <si>
    <t>TX0739</t>
  </si>
  <si>
    <t>Bedias</t>
  </si>
  <si>
    <t>Bedias Public Library</t>
  </si>
  <si>
    <t>TX0740</t>
  </si>
  <si>
    <t>Harper Library</t>
  </si>
  <si>
    <t>TX0733</t>
  </si>
  <si>
    <t>Rube Sessions Memorial Library</t>
  </si>
  <si>
    <t>TX0723</t>
  </si>
  <si>
    <t>Shallowater</t>
  </si>
  <si>
    <t>Shallowater School County Library</t>
  </si>
  <si>
    <t>TX0737</t>
  </si>
  <si>
    <t>Timpson</t>
  </si>
  <si>
    <t>Timpson Public Library</t>
  </si>
  <si>
    <t>TX0741</t>
  </si>
  <si>
    <t>Chandler</t>
  </si>
  <si>
    <t>Chandler Public Library</t>
  </si>
  <si>
    <t>TX0734</t>
  </si>
  <si>
    <t>Penitas</t>
  </si>
  <si>
    <t>Penitas Public Library</t>
  </si>
  <si>
    <t>TX0730</t>
  </si>
  <si>
    <t>Hughes Springs Area Public Library</t>
  </si>
  <si>
    <t>Hughes Springs</t>
  </si>
  <si>
    <t>TX0738</t>
  </si>
  <si>
    <t>Richard S and Leah Morris Memorial Library</t>
  </si>
  <si>
    <t>TX0742</t>
  </si>
  <si>
    <t>BiblioTech</t>
  </si>
  <si>
    <t>Westworth Village Public Library</t>
  </si>
  <si>
    <t>Westworth Village</t>
  </si>
  <si>
    <t>TX0743</t>
  </si>
  <si>
    <t>FSCS#</t>
  </si>
  <si>
    <t>Legal Basis Code</t>
  </si>
  <si>
    <t>Population of the Legal Service Area</t>
  </si>
  <si>
    <t>1.29 Library ID</t>
  </si>
  <si>
    <t>1.30 Region</t>
  </si>
  <si>
    <t>1.1 Library Name</t>
  </si>
  <si>
    <t>1.2 County</t>
  </si>
  <si>
    <t>1.3 The local fiscal year covered by this report began</t>
  </si>
  <si>
    <t>1.4 The local fiscal year covered by this report ended</t>
  </si>
  <si>
    <t>2.1 Number of Branch Libraries</t>
  </si>
  <si>
    <t>2.2 Number of Bookmobiles</t>
  </si>
  <si>
    <t>2.4 Square Footage of the Main Library</t>
  </si>
  <si>
    <t>3.1 Salaries &amp; Wages Expenditures</t>
  </si>
  <si>
    <t>3.2 Employee Benefits Expenditures</t>
  </si>
  <si>
    <t>3.3 Total Staff Expenditures</t>
  </si>
  <si>
    <t>3.4 Print Materials Expenditures</t>
  </si>
  <si>
    <t>3.5 Electronic Materials Expenditures</t>
  </si>
  <si>
    <t>3.6 Other Materials Expenditures</t>
  </si>
  <si>
    <t>3.7 Total Collection Expenditures</t>
  </si>
  <si>
    <t>3.8 Other Operating Expenditures</t>
  </si>
  <si>
    <t>3.9 Total Direct Operating Expenditures</t>
  </si>
  <si>
    <t>3.10 Indirect Costs</t>
  </si>
  <si>
    <t>3.11 Total Operating Expenditures</t>
  </si>
  <si>
    <t>3.12 Capital Outlay</t>
  </si>
  <si>
    <t>4.1 Local Expenditures on Collections</t>
  </si>
  <si>
    <t>4.2 Local Operating Expenditures</t>
  </si>
  <si>
    <t>4.3 Local Government Expenditures</t>
  </si>
  <si>
    <t>5.1 Operating Revenue - City, Cities or Library District</t>
  </si>
  <si>
    <t>5.2 Operating Revenue - County or Counties</t>
  </si>
  <si>
    <t>5.3 Operating Revenue - School Districts</t>
  </si>
  <si>
    <t>5.4 Subtotal-Local Government Operating Revenue</t>
  </si>
  <si>
    <t>5.5 Operating Revenue-Other State Government</t>
  </si>
  <si>
    <t>5.6 Operating Revenue - Federal Library Services &amp; Technology Act Funds</t>
  </si>
  <si>
    <t>5.7 Operating Revenue - Other Federal Funds</t>
  </si>
  <si>
    <t>5.8 Subtotal-Federal Government Revenue</t>
  </si>
  <si>
    <t>5.9 Operating Revenue - Foundation &amp; Corporate Grants</t>
  </si>
  <si>
    <t>5.10 Operating Revenue - Other Local Sources</t>
  </si>
  <si>
    <t>5.11 Subtotal-Other Operating Revenue</t>
  </si>
  <si>
    <t>5.12 Total Operating Revenue</t>
  </si>
  <si>
    <t>5.13 Capital Revenue - City Cities or Library District</t>
  </si>
  <si>
    <t>5.14 Capital Revenue - County or Counties</t>
  </si>
  <si>
    <t>5.15 Capital Revenue - School Districts</t>
  </si>
  <si>
    <t>5.16 Capital Revenue - Other State Funds</t>
  </si>
  <si>
    <t>5.17 Capital Revenue - Federal Library Services &amp; Technology Act Funds</t>
  </si>
  <si>
    <t>5.18 Capital Revenue - Other Federal Funds</t>
  </si>
  <si>
    <t>5.19 Capital Revenue - Foundation &amp; Corporate Grants</t>
  </si>
  <si>
    <t>5.20 Other Capital Revenue</t>
  </si>
  <si>
    <t>5.21 Total Capital Revenue</t>
  </si>
  <si>
    <t>Publicly Searchable Catalog (Yes | No)</t>
  </si>
  <si>
    <t>6.1 Books in Print - Titles</t>
  </si>
  <si>
    <t>6.2 Books in Print - Items</t>
  </si>
  <si>
    <t>6.3 Audio - Physical Materials - Titles</t>
  </si>
  <si>
    <t>6.4 Audio - Physical Materials - Items</t>
  </si>
  <si>
    <t>6.5 Audio - Downloadable - Titles</t>
  </si>
  <si>
    <t>6.6 Video - Physical Materials - Titles</t>
  </si>
  <si>
    <t>6.7 Video - Physical Materials - Items</t>
  </si>
  <si>
    <t>6.8 Video - Downloadable - Titles</t>
  </si>
  <si>
    <t>6.9 Electronic Books</t>
  </si>
  <si>
    <t>6.10 Local Licensed Databases</t>
  </si>
  <si>
    <t>6.11 State Licensed Databases</t>
  </si>
  <si>
    <t>6.12 Other Licensed Databases</t>
  </si>
  <si>
    <t>6.13 Total Licensed Databases</t>
  </si>
  <si>
    <t>6.14 Collection Totals - Titles</t>
  </si>
  <si>
    <t>6.15 Collection Totals - Volumes Items or Physical Units</t>
  </si>
  <si>
    <t>6.16 Current Print Serial Subscriptions</t>
  </si>
  <si>
    <t>6.17 Current Electronic Serial Subscriptions</t>
  </si>
  <si>
    <t>7.1 Reference Transactions</t>
  </si>
  <si>
    <t>7.2 Children's materials circulation - physical formats</t>
  </si>
  <si>
    <t>7.3 Circulation of Children's Materials-Digital formats</t>
  </si>
  <si>
    <t>7.4 Circulation-Physical formats</t>
  </si>
  <si>
    <t>7.5 Circulation-Digital formats</t>
  </si>
  <si>
    <t>7.6 Total Circulation</t>
  </si>
  <si>
    <t>7.7 Number of Children's programs provided by the library</t>
  </si>
  <si>
    <t>7.8 Number of Young Adult programs provided by the library</t>
  </si>
  <si>
    <t>7.9 Number of Adult programs provided by the library</t>
  </si>
  <si>
    <t>7.10 Total Number of Library Programs</t>
  </si>
  <si>
    <t>7.11 Attendance at Children's Programs provided by the library</t>
  </si>
  <si>
    <t>7.12 Attendance at Young Adult Programs provided by the library</t>
  </si>
  <si>
    <t>7.13 Attendance at Adult Programs provided by the library</t>
  </si>
  <si>
    <t>7.14 Total Attendance at Library Programs</t>
  </si>
  <si>
    <t>7.15 Library Visits</t>
  </si>
  <si>
    <t>7.16 Registered Users</t>
  </si>
  <si>
    <t>7.17 Does the library have a Long-Range Plan?</t>
  </si>
  <si>
    <t>ALA-MLS FTEs</t>
  </si>
  <si>
    <t>Other Librarians FTEs</t>
  </si>
  <si>
    <t>All Other Paid Employees FTEs</t>
  </si>
  <si>
    <t>Total Paid Employees FTEs</t>
  </si>
  <si>
    <t>8.5 Volunteer hours</t>
  </si>
  <si>
    <t>8.6 Head Librarian's annual rate of salary</t>
  </si>
  <si>
    <t>8.7 How many hours per week is the Head Librarian currently employed in library duties?</t>
  </si>
  <si>
    <t>8.8 Has the Head Librarian obtained a minimum of 10 hours of continuing education credits within this reporting period?</t>
  </si>
  <si>
    <t>9.1 Is your library willing to borrow materials for your patrons?</t>
  </si>
  <si>
    <t>9.3 Interlibrary Loans Received From Other Libraries</t>
  </si>
  <si>
    <t>9.4 Interlibrary Loans Provided To Other Libraries</t>
  </si>
  <si>
    <t>10.5 How many persons were trained in the use of electronic resources</t>
  </si>
  <si>
    <t>10.6 Number of Wi-Fi Sessions</t>
  </si>
  <si>
    <t>10.7a Number of website visits, if applicable.</t>
  </si>
  <si>
    <t>10.7b Number of website visits.</t>
  </si>
  <si>
    <t>11.1 Total number of Hours that the Central/Main library is open during the year.</t>
  </si>
  <si>
    <t>11.2 Total number of Weeks that the Central/Main library is open during the year.</t>
  </si>
  <si>
    <t>11.3 Total hours Central/Main Library open during a Regular Week</t>
  </si>
  <si>
    <t>11.4 Total hours Central/Main Library open during a Summer Week.</t>
  </si>
  <si>
    <t>11.5 How many unduplicated hours is the library and its branches open per week during a regular scheduled week?</t>
  </si>
  <si>
    <t>TX0401</t>
  </si>
  <si>
    <t>Salary and Wages Per Capita</t>
  </si>
  <si>
    <t>Materials Expend Per Capita</t>
  </si>
  <si>
    <t>Total Operating Expend. Per Capita</t>
  </si>
  <si>
    <t>Local Govt Rev. Per Capita</t>
  </si>
  <si>
    <t>Total Operating Revenue Per Capita</t>
  </si>
  <si>
    <t>BIP Per Capita</t>
  </si>
  <si>
    <t>Total Collection-Items Per Capita</t>
  </si>
  <si>
    <t>Total Circ Per Capita</t>
  </si>
  <si>
    <t>Circ per paid staff</t>
  </si>
  <si>
    <t>Circ per hour</t>
  </si>
  <si>
    <t>Circ per visit</t>
  </si>
  <si>
    <t>Collection turnover rate</t>
  </si>
  <si>
    <t>Reference per capita</t>
  </si>
  <si>
    <t>Program attendance per capita</t>
  </si>
  <si>
    <t>Visits per capita</t>
  </si>
  <si>
    <t>Pop per ALA-MLS</t>
  </si>
  <si>
    <t>Pop per total paid staff</t>
  </si>
  <si>
    <t>Total Staff expenditures as percentage of Total Operating Expend.</t>
  </si>
  <si>
    <t>Total material expenditures as percentage of Total Operating Expend.</t>
  </si>
  <si>
    <t>Other expenditures as percentage of Total Operating Expend.</t>
  </si>
  <si>
    <t>Indirect costs as percentage of Total Operating Expend.</t>
  </si>
  <si>
    <t>Branch square footage</t>
  </si>
  <si>
    <t>Total main and branch sq footage</t>
  </si>
  <si>
    <t>Total square footage per capita</t>
  </si>
  <si>
    <t>Total number of hours branch libraries are open during the year</t>
  </si>
  <si>
    <t>Total number of hours main+branches open per year</t>
  </si>
  <si>
    <t>City</t>
  </si>
  <si>
    <t>County</t>
  </si>
  <si>
    <t>Average 5,000-9,999</t>
  </si>
  <si>
    <t>Children's circ per capita-physical formats</t>
  </si>
  <si>
    <t>Children's circ per capita-digital formats</t>
  </si>
  <si>
    <t>Circulation per capita-physical formats (excludes children's)</t>
  </si>
  <si>
    <t>Circulation per capita-digital formats (excludes children's)</t>
  </si>
  <si>
    <t>Revenue Charts</t>
  </si>
  <si>
    <t xml:space="preserve"> </t>
  </si>
  <si>
    <t>Other Measures</t>
  </si>
  <si>
    <t>Legal Establishment</t>
  </si>
  <si>
    <t>Capital Outlay</t>
  </si>
  <si>
    <t>GENERAL LIBRARY INFORMATION</t>
  </si>
  <si>
    <t>OPERATING EXPENDITURES</t>
  </si>
  <si>
    <t>Salaries and Wages</t>
  </si>
  <si>
    <t>Employee Benefits</t>
  </si>
  <si>
    <t>Subtotal: Wages and Benefits</t>
  </si>
  <si>
    <t>Subtotal: Library Materials</t>
  </si>
  <si>
    <t>Other Operating Expenditures</t>
  </si>
  <si>
    <t>OPERATING REVENUE BY SOURCE</t>
  </si>
  <si>
    <t>Total Revenue</t>
  </si>
  <si>
    <t>LIBRARY COLLECTION</t>
  </si>
  <si>
    <t>Books in Print-items</t>
  </si>
  <si>
    <t>Electronic Books</t>
  </si>
  <si>
    <t>LOCAL LIBRARY SERVICES</t>
  </si>
  <si>
    <t>Librarians with ALA-MLS</t>
  </si>
  <si>
    <t>STAFFING (Full-time equivalents)</t>
  </si>
  <si>
    <t>INTERNET AND ELECTRONIC RESOURCES</t>
  </si>
  <si>
    <t>Number of Wi-Fi-Sessions</t>
  </si>
  <si>
    <t>FACILITIES</t>
  </si>
  <si>
    <t>Total Capital Revenue</t>
  </si>
  <si>
    <t>Salaries and Wages Per Capita</t>
  </si>
  <si>
    <t>Total Operating Expenditures</t>
  </si>
  <si>
    <t>LOCAL OPERATING EXPENDITURES</t>
  </si>
  <si>
    <t>Total Revenue Per Capita</t>
  </si>
  <si>
    <t>Books in Print-Items Per Capita</t>
  </si>
  <si>
    <t>Collection Turnover Rate</t>
  </si>
  <si>
    <t>Program Attendance Per Capita</t>
  </si>
  <si>
    <t>Library Visits Per Capita</t>
  </si>
  <si>
    <t>CAPITAL REVENUE</t>
  </si>
  <si>
    <t>return to top</t>
  </si>
  <si>
    <t>to get a quick summary of the data for your library</t>
  </si>
  <si>
    <t>For direct comparisons, select up to four libraries here:</t>
  </si>
  <si>
    <t>Reference Transactions Per Capita</t>
  </si>
  <si>
    <t>Population Served</t>
  </si>
  <si>
    <t>Number of Branches</t>
  </si>
  <si>
    <t>Number of Bookmobiles</t>
  </si>
  <si>
    <t>Print Materials</t>
  </si>
  <si>
    <t>Electronic Materials</t>
  </si>
  <si>
    <t>Other Materials</t>
  </si>
  <si>
    <t>Foundation and Corporate Grants</t>
  </si>
  <si>
    <t>State Revenue</t>
  </si>
  <si>
    <t>Other Local Revenue</t>
  </si>
  <si>
    <t>Square Footage Per Capita</t>
  </si>
  <si>
    <t>Physical Audio Items</t>
  </si>
  <si>
    <t>Physical Video Items</t>
  </si>
  <si>
    <t>Downloadable Audio Items</t>
  </si>
  <si>
    <t>Downloadable Video Items</t>
  </si>
  <si>
    <t>Total Collection-Items</t>
  </si>
  <si>
    <t>Current Print Subscriptions</t>
  </si>
  <si>
    <t>Number of Registered Users</t>
  </si>
  <si>
    <t>Reference Transactions</t>
  </si>
  <si>
    <t>Library Visits</t>
  </si>
  <si>
    <t>Number of Library Programs</t>
  </si>
  <si>
    <t>Total Library Program Attendance</t>
  </si>
  <si>
    <t>Other Librarians</t>
  </si>
  <si>
    <t>Other Paid Staff</t>
  </si>
  <si>
    <t>Total Paid Staff</t>
  </si>
  <si>
    <t>Population Per ALA-MLS</t>
  </si>
  <si>
    <t>Population Per Total Paid Staff</t>
  </si>
  <si>
    <t>Number of Loans Received</t>
  </si>
  <si>
    <t>Number of Loans Sent</t>
  </si>
  <si>
    <t>Number of Internet Terminals</t>
  </si>
  <si>
    <t>Total Uses of Public Internet Computers</t>
  </si>
  <si>
    <t>Number of Website Visits</t>
  </si>
  <si>
    <t>Earth</t>
  </si>
  <si>
    <t>Grandview</t>
  </si>
  <si>
    <t>N</t>
  </si>
  <si>
    <t>M</t>
  </si>
  <si>
    <t>Data Not Collected</t>
  </si>
  <si>
    <t>TX0627</t>
  </si>
  <si>
    <t>CI</t>
  </si>
  <si>
    <t>CO</t>
  </si>
  <si>
    <t>NP</t>
  </si>
  <si>
    <t>LD</t>
  </si>
  <si>
    <t>CC</t>
  </si>
  <si>
    <t>MJ</t>
  </si>
  <si>
    <t>OT</t>
  </si>
  <si>
    <t>Grandview Public Library</t>
  </si>
  <si>
    <t>Stewart C Meyer Library</t>
  </si>
  <si>
    <t>Livingston Municipal Library</t>
  </si>
  <si>
    <t>MB Noelke Jr Memorial Library</t>
  </si>
  <si>
    <t>1.6 Mail City</t>
  </si>
  <si>
    <t>Scroll down, or use these quick links to other charts</t>
  </si>
  <si>
    <t>Average 2,000-4,999 population</t>
  </si>
  <si>
    <t>Average 10,000-14,999 population</t>
  </si>
  <si>
    <t>Average 15,000-24,999 population</t>
  </si>
  <si>
    <t>Average 25,000-49,999 population</t>
  </si>
  <si>
    <t>Average 50,000-99,999 population</t>
  </si>
  <si>
    <t>Average 100,000-249,999 population</t>
  </si>
  <si>
    <t>Average Over 250,000 population</t>
  </si>
  <si>
    <t>Q006</t>
  </si>
  <si>
    <t>Austin-Lakeway</t>
  </si>
  <si>
    <t>Austin-WellsBranch</t>
  </si>
  <si>
    <t>Austin-WestLakeHills</t>
  </si>
  <si>
    <t>Clint-El Paso</t>
  </si>
  <si>
    <t>CockrellHill-Dallas</t>
  </si>
  <si>
    <t>Garwood</t>
  </si>
  <si>
    <t>Highland Park</t>
  </si>
  <si>
    <t>Houston-HCPL</t>
  </si>
  <si>
    <t>Killeen</t>
  </si>
  <si>
    <t>Marathon</t>
  </si>
  <si>
    <t>Natalia</t>
  </si>
  <si>
    <t>Noonday-Tyler</t>
  </si>
  <si>
    <t>Saint Jo</t>
  </si>
  <si>
    <t>San Antonio-BexarCounty</t>
  </si>
  <si>
    <t>UniversityPark-Dallas</t>
  </si>
  <si>
    <t>Van</t>
  </si>
  <si>
    <t>Waelder</t>
  </si>
  <si>
    <t>PopSrvd</t>
  </si>
  <si>
    <t>Q035</t>
  </si>
  <si>
    <t>Q036</t>
  </si>
  <si>
    <t>Q408</t>
  </si>
  <si>
    <t>Q467</t>
  </si>
  <si>
    <t>Q453</t>
  </si>
  <si>
    <t>Q454</t>
  </si>
  <si>
    <t>Q388</t>
  </si>
  <si>
    <t>Q455</t>
  </si>
  <si>
    <t>Q400</t>
  </si>
  <si>
    <t>Q456</t>
  </si>
  <si>
    <t>Q047</t>
  </si>
  <si>
    <t>Q457</t>
  </si>
  <si>
    <t>Q053</t>
  </si>
  <si>
    <t>Q054</t>
  </si>
  <si>
    <t>Q055</t>
  </si>
  <si>
    <t>Q056</t>
  </si>
  <si>
    <t>Q337</t>
  </si>
  <si>
    <t>Q338</t>
  </si>
  <si>
    <t>Q339</t>
  </si>
  <si>
    <t>Q063</t>
  </si>
  <si>
    <t>Q064</t>
  </si>
  <si>
    <t>Q065</t>
  </si>
  <si>
    <t>Q432</t>
  </si>
  <si>
    <t>Q069</t>
  </si>
  <si>
    <t>Q067</t>
  </si>
  <si>
    <t>Q068</t>
  </si>
  <si>
    <t>Q431</t>
  </si>
  <si>
    <t>Q066</t>
  </si>
  <si>
    <t>Q070</t>
  </si>
  <si>
    <t>Q430</t>
  </si>
  <si>
    <t>Q071</t>
  </si>
  <si>
    <t>Q359</t>
  </si>
  <si>
    <t>Q360</t>
  </si>
  <si>
    <t>Q361</t>
  </si>
  <si>
    <t>Q365</t>
  </si>
  <si>
    <t>Q363</t>
  </si>
  <si>
    <t>Q364</t>
  </si>
  <si>
    <t>Q362</t>
  </si>
  <si>
    <t>Q366</t>
  </si>
  <si>
    <t>Q367</t>
  </si>
  <si>
    <t>Q442</t>
  </si>
  <si>
    <t>Q482</t>
  </si>
  <si>
    <t>Q483</t>
  </si>
  <si>
    <t>Q086</t>
  </si>
  <si>
    <t>Q087</t>
  </si>
  <si>
    <t>Q485</t>
  </si>
  <si>
    <t>Q090</t>
  </si>
  <si>
    <t>Q091</t>
  </si>
  <si>
    <t>Q486</t>
  </si>
  <si>
    <t>Q439</t>
  </si>
  <si>
    <t>Q458</t>
  </si>
  <si>
    <t>Q459</t>
  </si>
  <si>
    <t>Q460</t>
  </si>
  <si>
    <t>Q096</t>
  </si>
  <si>
    <t>Q097</t>
  </si>
  <si>
    <t>Q437</t>
  </si>
  <si>
    <t>Q098</t>
  </si>
  <si>
    <t>Q440</t>
  </si>
  <si>
    <t>Q101</t>
  </si>
  <si>
    <t>Q487</t>
  </si>
  <si>
    <t>Q488</t>
  </si>
  <si>
    <t>Q489</t>
  </si>
  <si>
    <t>Q490</t>
  </si>
  <si>
    <t>Q100</t>
  </si>
  <si>
    <t>Q444</t>
  </si>
  <si>
    <t>Q472</t>
  </si>
  <si>
    <t>Q491</t>
  </si>
  <si>
    <t>Q443</t>
  </si>
  <si>
    <t>Q385</t>
  </si>
  <si>
    <t>Q473</t>
  </si>
  <si>
    <t>Q492</t>
  </si>
  <si>
    <t>Q104</t>
  </si>
  <si>
    <t>Q106</t>
  </si>
  <si>
    <t>Q461</t>
  </si>
  <si>
    <t>Q389</t>
  </si>
  <si>
    <t>Q445</t>
  </si>
  <si>
    <t>Q496</t>
  </si>
  <si>
    <t>10.1 Does the library have a computer with Internet acces and printing/copying capability for use by public?</t>
  </si>
  <si>
    <t>8.9 Does the library have a photocopier for use by staff?</t>
  </si>
  <si>
    <t>Q122</t>
  </si>
  <si>
    <t>Q347</t>
  </si>
  <si>
    <t>Q128</t>
  </si>
  <si>
    <t>Q130</t>
  </si>
  <si>
    <t>Q131</t>
  </si>
  <si>
    <t>Q132</t>
  </si>
  <si>
    <t>Q133</t>
  </si>
  <si>
    <t>Q447</t>
  </si>
  <si>
    <t>Q449</t>
  </si>
  <si>
    <t>Q450</t>
  </si>
  <si>
    <t>9.1 Does your library offer to borrow materials for your patrons?</t>
  </si>
  <si>
    <t>9.2 Does your library offer to lend materials to another library for their patrons?</t>
  </si>
  <si>
    <t>Q462</t>
  </si>
  <si>
    <t>Q114</t>
  </si>
  <si>
    <t>10.2 Internet Computers Used by General Public</t>
  </si>
  <si>
    <t>10.3 Uses of Public Internet Computers Per Year</t>
  </si>
  <si>
    <t>Q429</t>
  </si>
  <si>
    <t>Q469</t>
  </si>
  <si>
    <t>Q466</t>
  </si>
  <si>
    <t>Q493</t>
  </si>
  <si>
    <t>Field133</t>
  </si>
  <si>
    <t>Q494</t>
  </si>
  <si>
    <t>Q481</t>
  </si>
  <si>
    <t>Q478</t>
  </si>
  <si>
    <t>Q144</t>
  </si>
  <si>
    <t>Q231</t>
  </si>
  <si>
    <t>Q232</t>
  </si>
  <si>
    <t>11.4 Total hours Central/Main Library open during a Regular Week</t>
  </si>
  <si>
    <t>11.5 Total hours Central/Main Library open during a Summer Week.</t>
  </si>
  <si>
    <t>System</t>
  </si>
  <si>
    <t>WTLS</t>
  </si>
  <si>
    <t>BCLS</t>
  </si>
  <si>
    <t>STLS</t>
  </si>
  <si>
    <t>NTRLS</t>
  </si>
  <si>
    <t>NETLS</t>
  </si>
  <si>
    <t>TTPLS</t>
  </si>
  <si>
    <t>TPLS</t>
  </si>
  <si>
    <t>HALS</t>
  </si>
  <si>
    <t>CTLS</t>
  </si>
  <si>
    <t>AALS</t>
  </si>
  <si>
    <t>FSCSKEY</t>
  </si>
  <si>
    <t>TX0702</t>
  </si>
  <si>
    <t>TX0127</t>
  </si>
  <si>
    <t>TX0729</t>
  </si>
  <si>
    <t>TX0744</t>
  </si>
  <si>
    <t>TX0725</t>
  </si>
  <si>
    <t>TX0536</t>
  </si>
  <si>
    <t>C_LEGBAS</t>
  </si>
  <si>
    <t>ID</t>
  </si>
  <si>
    <t>Q003</t>
  </si>
  <si>
    <t>Garwood Veterans Memorial Library</t>
  </si>
  <si>
    <t>Killeen City Library System</t>
  </si>
  <si>
    <t>Marathon Public Library</t>
  </si>
  <si>
    <t>Natalia Veterans Memorial Library</t>
  </si>
  <si>
    <t>Saint Jo Public Library</t>
  </si>
  <si>
    <t>Van Community Library</t>
  </si>
  <si>
    <t>Waelder Public Library</t>
  </si>
  <si>
    <t>Q004</t>
  </si>
  <si>
    <t>Q001</t>
  </si>
  <si>
    <t>Q002</t>
  </si>
  <si>
    <t>Q237</t>
  </si>
  <si>
    <t>BranchID</t>
  </si>
  <si>
    <t>Q235</t>
  </si>
  <si>
    <t>Q480</t>
  </si>
  <si>
    <t>Chambers County Library</t>
  </si>
  <si>
    <t>10.275</t>
  </si>
  <si>
    <t>Branch</t>
  </si>
  <si>
    <t>West Chambers County Branch Library</t>
  </si>
  <si>
    <t>10.8</t>
  </si>
  <si>
    <t>Juanita Hargraves Memorial Branch Library</t>
  </si>
  <si>
    <t>10.9</t>
  </si>
  <si>
    <t>Bookmobile 1</t>
  </si>
  <si>
    <t>100.307</t>
  </si>
  <si>
    <t>Bookmobile</t>
  </si>
  <si>
    <t>Arcadia Park Branch Library</t>
  </si>
  <si>
    <t>100.359</t>
  </si>
  <si>
    <t>Grauwyler Park Branch Library</t>
  </si>
  <si>
    <t>100.368</t>
  </si>
  <si>
    <t>Timberglen Branch Library</t>
  </si>
  <si>
    <t>100.369</t>
  </si>
  <si>
    <t>Bookmarks @ NorthPark Center</t>
  </si>
  <si>
    <t>100.373</t>
  </si>
  <si>
    <t>Bookmobile 2</t>
  </si>
  <si>
    <t>100.374</t>
  </si>
  <si>
    <t>Prairie Creek Branch Library</t>
  </si>
  <si>
    <t>100.389</t>
  </si>
  <si>
    <t>White Rock Hills Branch Library</t>
  </si>
  <si>
    <t>100.401</t>
  </si>
  <si>
    <t>Audelia Road Branch Library</t>
  </si>
  <si>
    <t>100.74</t>
  </si>
  <si>
    <t>Lochwood Branch Library</t>
  </si>
  <si>
    <t>100.75</t>
  </si>
  <si>
    <t>Forest Green Branch Library</t>
  </si>
  <si>
    <t>100.76</t>
  </si>
  <si>
    <t>Fretz Park Branch Library</t>
  </si>
  <si>
    <t>100.77</t>
  </si>
  <si>
    <t>Hampton-Illinois Branch Library</t>
  </si>
  <si>
    <t>100.78</t>
  </si>
  <si>
    <t>Highland Hills Branch Library</t>
  </si>
  <si>
    <t>100.79</t>
  </si>
  <si>
    <t>Lakewood Branch Library</t>
  </si>
  <si>
    <t>100.80</t>
  </si>
  <si>
    <t>Paul Laurence Dunbar Lancaster-Kiest Branch Library</t>
  </si>
  <si>
    <t>100.81</t>
  </si>
  <si>
    <t>Martin Luther King Jr Library/LC</t>
  </si>
  <si>
    <t>100.82</t>
  </si>
  <si>
    <t>North Oak Cliff Branch Library</t>
  </si>
  <si>
    <t>100.83</t>
  </si>
  <si>
    <t>Oak Lawn Branch Library</t>
  </si>
  <si>
    <t>100.84</t>
  </si>
  <si>
    <t>Park Forest Branch Library</t>
  </si>
  <si>
    <t>100.85</t>
  </si>
  <si>
    <t>Pleasant Grove Branch Library</t>
  </si>
  <si>
    <t>100.86</t>
  </si>
  <si>
    <t>Polk-Wisdom Branch Library</t>
  </si>
  <si>
    <t>100.87</t>
  </si>
  <si>
    <t>Preston Royal Branch Library</t>
  </si>
  <si>
    <t>100.88</t>
  </si>
  <si>
    <t>Renner Frankford Branch Library</t>
  </si>
  <si>
    <t>100.89</t>
  </si>
  <si>
    <t>Skyline Branch Library</t>
  </si>
  <si>
    <t>100.90</t>
  </si>
  <si>
    <t>Bachman Lake Branch Library</t>
  </si>
  <si>
    <t>100.91</t>
  </si>
  <si>
    <t>Dallas West Branch Library</t>
  </si>
  <si>
    <t>100.92</t>
  </si>
  <si>
    <t>Mountain Creek Branch Library</t>
  </si>
  <si>
    <t>100.93</t>
  </si>
  <si>
    <t>Kleberg-Rylie Branch Library</t>
  </si>
  <si>
    <t>100.94</t>
  </si>
  <si>
    <t>Skillman Southwestern Branch Library</t>
  </si>
  <si>
    <t>100.95</t>
  </si>
  <si>
    <t>Denton Public Library South Branch</t>
  </si>
  <si>
    <t>109.276</t>
  </si>
  <si>
    <t>Denton Public Library North Branch</t>
  </si>
  <si>
    <t>109.335</t>
  </si>
  <si>
    <t>Cactus Branch Library</t>
  </si>
  <si>
    <t>117.300</t>
  </si>
  <si>
    <t>Britain Memorial Library</t>
  </si>
  <si>
    <t>117.96</t>
  </si>
  <si>
    <t>Alvin Library</t>
  </si>
  <si>
    <t>12.10</t>
  </si>
  <si>
    <t>Angleton Library</t>
  </si>
  <si>
    <t>12.11</t>
  </si>
  <si>
    <t>Brazoria Library</t>
  </si>
  <si>
    <t>12.13</t>
  </si>
  <si>
    <t>Clute Library</t>
  </si>
  <si>
    <t>12.14</t>
  </si>
  <si>
    <t>Freeport Library</t>
  </si>
  <si>
    <t>12.15</t>
  </si>
  <si>
    <t>Lake Jackson Library</t>
  </si>
  <si>
    <t>12.16</t>
  </si>
  <si>
    <t>Manvel Library</t>
  </si>
  <si>
    <t>12.17</t>
  </si>
  <si>
    <t>Pearland Library</t>
  </si>
  <si>
    <t>12.18</t>
  </si>
  <si>
    <t>Sweeny Library</t>
  </si>
  <si>
    <t>12.19</t>
  </si>
  <si>
    <t>West Columbia Branch Library</t>
  </si>
  <si>
    <t>12.20</t>
  </si>
  <si>
    <t>Danbury Library</t>
  </si>
  <si>
    <t>12.314</t>
  </si>
  <si>
    <t>Pearland Westside Library</t>
  </si>
  <si>
    <t>12.404</t>
  </si>
  <si>
    <t>Eagle Pass Public Children`s Library</t>
  </si>
  <si>
    <t>120.290</t>
  </si>
  <si>
    <t>Clardy Fox Branch Library</t>
  </si>
  <si>
    <t>125.100</t>
  </si>
  <si>
    <t>Judge Edward S Marquez Mission Valley Branch</t>
  </si>
  <si>
    <t>125.101</t>
  </si>
  <si>
    <t>Memorial Park Branch Library</t>
  </si>
  <si>
    <t>125.102</t>
  </si>
  <si>
    <t>Westside Branch Library</t>
  </si>
  <si>
    <t>125.104</t>
  </si>
  <si>
    <t>Ysleta Branch Library</t>
  </si>
  <si>
    <t>125.105</t>
  </si>
  <si>
    <t>Bookmobile - El Paso Public Library</t>
  </si>
  <si>
    <t>125.106</t>
  </si>
  <si>
    <t>Irving Schwartz Branch Library</t>
  </si>
  <si>
    <t>125.107</t>
  </si>
  <si>
    <t>EPCC NW Campus Community Library</t>
  </si>
  <si>
    <t>125.336</t>
  </si>
  <si>
    <t>Dorris Van Doren Regional Branch Library</t>
  </si>
  <si>
    <t>125.358</t>
  </si>
  <si>
    <t>Esperanza Acosta Moreno Regional Branch Library</t>
  </si>
  <si>
    <t>125.370</t>
  </si>
  <si>
    <t>Jose Cisneros Cielo Vista Branch Library</t>
  </si>
  <si>
    <t>125.398</t>
  </si>
  <si>
    <t>Armijo Branch Library</t>
  </si>
  <si>
    <t>125.97</t>
  </si>
  <si>
    <t>Richard Burges Regional Branch Library</t>
  </si>
  <si>
    <t>125.98</t>
  </si>
  <si>
    <t>Sarah Bain Chandler Library</t>
  </si>
  <si>
    <t>139.409</t>
  </si>
  <si>
    <t>Poth Branch Library</t>
  </si>
  <si>
    <t>139.410</t>
  </si>
  <si>
    <t>Floyd County Branch Library</t>
  </si>
  <si>
    <t>140.110</t>
  </si>
  <si>
    <t>East Berry Branch Library</t>
  </si>
  <si>
    <t>143.111</t>
  </si>
  <si>
    <t>eSkills Library</t>
  </si>
  <si>
    <t>143.112</t>
  </si>
  <si>
    <t>Northside Branch Library</t>
  </si>
  <si>
    <t>143.113</t>
  </si>
  <si>
    <t>Ridglea Branch Library</t>
  </si>
  <si>
    <t>143.114</t>
  </si>
  <si>
    <t>Riverside Branch Library</t>
  </si>
  <si>
    <t>143.115</t>
  </si>
  <si>
    <t>Seminary South Branch Library</t>
  </si>
  <si>
    <t>143.116</t>
  </si>
  <si>
    <t>Shamblee Branch Library</t>
  </si>
  <si>
    <t>143.117</t>
  </si>
  <si>
    <t>Southwest Regional Branch Library</t>
  </si>
  <si>
    <t>143.118</t>
  </si>
  <si>
    <t>Wedgwood Branch Library</t>
  </si>
  <si>
    <t>143.119</t>
  </si>
  <si>
    <t>Diamond Hill/Jarvis Branch Library</t>
  </si>
  <si>
    <t>143.120</t>
  </si>
  <si>
    <t>COOL (Cavile Outreach Opportunity Library)</t>
  </si>
  <si>
    <t>143.277</t>
  </si>
  <si>
    <t>East Regional Branch Library</t>
  </si>
  <si>
    <t>143.278</t>
  </si>
  <si>
    <t>BOLD Butler Housing Community Library</t>
  </si>
  <si>
    <t>143.297</t>
  </si>
  <si>
    <t>Summerglen Branch Library</t>
  </si>
  <si>
    <t>143.309</t>
  </si>
  <si>
    <t>Northwest Branch Library</t>
  </si>
  <si>
    <t>143.390</t>
  </si>
  <si>
    <t>Walnut Creek Branch Library</t>
  </si>
  <si>
    <t>150.122</t>
  </si>
  <si>
    <t>North Garland Branch Library</t>
  </si>
  <si>
    <t>150.124</t>
  </si>
  <si>
    <t>South Garland Branch Library</t>
  </si>
  <si>
    <t>150.317</t>
  </si>
  <si>
    <t>Live Oak County Branch Library</t>
  </si>
  <si>
    <t>153.125</t>
  </si>
  <si>
    <t>WOW!mobile</t>
  </si>
  <si>
    <t>154.402</t>
  </si>
  <si>
    <t>East Arlington Branch Library</t>
  </si>
  <si>
    <t>16.21</t>
  </si>
  <si>
    <t>Northeast Branch Library</t>
  </si>
  <si>
    <t>16.22</t>
  </si>
  <si>
    <t>Woodland West Branch Library</t>
  </si>
  <si>
    <t>16.23</t>
  </si>
  <si>
    <t>Lake Arlington Branch Library</t>
  </si>
  <si>
    <t>16.24</t>
  </si>
  <si>
    <t>Southeast Branch Library</t>
  </si>
  <si>
    <t>16.333</t>
  </si>
  <si>
    <t>Southwest Branch Library</t>
  </si>
  <si>
    <t>16.372</t>
  </si>
  <si>
    <t>Betty Warmack Branch Library</t>
  </si>
  <si>
    <t>162.323</t>
  </si>
  <si>
    <t>Tony Shotwell Life Center Branch Library</t>
  </si>
  <si>
    <t>162.365</t>
  </si>
  <si>
    <t>Waller County Library Brookshire-Pattison</t>
  </si>
  <si>
    <t>180.127</t>
  </si>
  <si>
    <t>Morrow Branch Library</t>
  </si>
  <si>
    <t>181.128</t>
  </si>
  <si>
    <t>McMillan Memorial Library</t>
  </si>
  <si>
    <t>181.129</t>
  </si>
  <si>
    <t>Tatum Public Library</t>
  </si>
  <si>
    <t>181.130</t>
  </si>
  <si>
    <t>Rusk County Library</t>
  </si>
  <si>
    <t>181.279</t>
  </si>
  <si>
    <t>Shepard-Acres Homes Branch Library</t>
  </si>
  <si>
    <t>189.131</t>
  </si>
  <si>
    <t>Henington-Alief Regional Library</t>
  </si>
  <si>
    <t>189.132</t>
  </si>
  <si>
    <t>Bracewell Branch Library</t>
  </si>
  <si>
    <t>189.133</t>
  </si>
  <si>
    <t>Carnegie Branch Library</t>
  </si>
  <si>
    <t>189.134</t>
  </si>
  <si>
    <t>Collier Regional Library</t>
  </si>
  <si>
    <t>189.135</t>
  </si>
  <si>
    <t>Clayton Library Ctr for Gen Res</t>
  </si>
  <si>
    <t>189.136</t>
  </si>
  <si>
    <t>Dixon Branch Library</t>
  </si>
  <si>
    <t>189.137</t>
  </si>
  <si>
    <t>Fifth Ward Branch Library</t>
  </si>
  <si>
    <t>189.138</t>
  </si>
  <si>
    <t>Flores Branch Library</t>
  </si>
  <si>
    <t>189.139</t>
  </si>
  <si>
    <t>Frank Branch Library</t>
  </si>
  <si>
    <t>189.140</t>
  </si>
  <si>
    <t>Heights Branch Library</t>
  </si>
  <si>
    <t>189.141</t>
  </si>
  <si>
    <t>Hillendahl Branch Library</t>
  </si>
  <si>
    <t>189.142</t>
  </si>
  <si>
    <t>Johnson Branch Library</t>
  </si>
  <si>
    <t>189.143</t>
  </si>
  <si>
    <t>Jungman Branch Library</t>
  </si>
  <si>
    <t>189.144</t>
  </si>
  <si>
    <t>McCrane-Kashmere Gardens Branch Library</t>
  </si>
  <si>
    <t>189.145</t>
  </si>
  <si>
    <t>Kendall Branch Library</t>
  </si>
  <si>
    <t>189.146</t>
  </si>
  <si>
    <t>189.147</t>
  </si>
  <si>
    <t>Looscan Branch Library</t>
  </si>
  <si>
    <t>189.148</t>
  </si>
  <si>
    <t>Mancuso Branch Library</t>
  </si>
  <si>
    <t>189.149</t>
  </si>
  <si>
    <t>Melcher Branch Library</t>
  </si>
  <si>
    <t>189.150</t>
  </si>
  <si>
    <t>Meyer Branch Library</t>
  </si>
  <si>
    <t>189.151</t>
  </si>
  <si>
    <t>Moody Branch Library</t>
  </si>
  <si>
    <t>189.152</t>
  </si>
  <si>
    <t>Oak Forest Branch Library</t>
  </si>
  <si>
    <t>189.153</t>
  </si>
  <si>
    <t>Park Place Regional Library</t>
  </si>
  <si>
    <t>189.154</t>
  </si>
  <si>
    <t>Pleasantville Branch Library</t>
  </si>
  <si>
    <t>189.155</t>
  </si>
  <si>
    <t>Ring Branch Library</t>
  </si>
  <si>
    <t>189.156</t>
  </si>
  <si>
    <t>Scenic Woods Regional Library</t>
  </si>
  <si>
    <t>189.157</t>
  </si>
  <si>
    <t>Smith Branch Library</t>
  </si>
  <si>
    <t>189.158</t>
  </si>
  <si>
    <t>Stanaker Branch Library</t>
  </si>
  <si>
    <t>189.159</t>
  </si>
  <si>
    <t>Tuttle Branch Library</t>
  </si>
  <si>
    <t>189.160</t>
  </si>
  <si>
    <t>HPL Express Vinson</t>
  </si>
  <si>
    <t>189.161</t>
  </si>
  <si>
    <t>Walter Branch Library</t>
  </si>
  <si>
    <t>189.162</t>
  </si>
  <si>
    <t>Young Branch Library</t>
  </si>
  <si>
    <t>189.163</t>
  </si>
  <si>
    <t>Freed-Montrose Branch Library</t>
  </si>
  <si>
    <t>189.164</t>
  </si>
  <si>
    <t>Robinson-Westchase Branch Library</t>
  </si>
  <si>
    <t>189.165</t>
  </si>
  <si>
    <t>Stimley-Blue Ridge Branch Library</t>
  </si>
  <si>
    <t>189.303</t>
  </si>
  <si>
    <t>McGovern-Stella Link Branch Library</t>
  </si>
  <si>
    <t>189.360</t>
  </si>
  <si>
    <t>HPL Express Discovery Green</t>
  </si>
  <si>
    <t>189.377</t>
  </si>
  <si>
    <t>HPL Express Southwest</t>
  </si>
  <si>
    <t>189.378</t>
  </si>
  <si>
    <t>African American Library</t>
  </si>
  <si>
    <t>189.391</t>
  </si>
  <si>
    <t>Houston Metropolitan Research Center</t>
  </si>
  <si>
    <t>189.392</t>
  </si>
  <si>
    <t>HPL Mobile Express</t>
  </si>
  <si>
    <t>189.393</t>
  </si>
  <si>
    <t>Crosby Branch Library</t>
  </si>
  <si>
    <t>190.166</t>
  </si>
  <si>
    <t>190.167</t>
  </si>
  <si>
    <t>Galena Park Branch Library</t>
  </si>
  <si>
    <t>190.168</t>
  </si>
  <si>
    <t>Stratford Branch Library</t>
  </si>
  <si>
    <t>190.169</t>
  </si>
  <si>
    <t>Aldine Branch Library</t>
  </si>
  <si>
    <t>190.170</t>
  </si>
  <si>
    <t>Katherine Tyra/Bear Creek Branch Library</t>
  </si>
  <si>
    <t>190.171</t>
  </si>
  <si>
    <t>Fairbanks Branch Library</t>
  </si>
  <si>
    <t>190.172</t>
  </si>
  <si>
    <t>Freeman Memorial Branch Library</t>
  </si>
  <si>
    <t>190.173</t>
  </si>
  <si>
    <t>High Meadows Branch Library</t>
  </si>
  <si>
    <t>190.174</t>
  </si>
  <si>
    <t>Jacinto City Branch Library</t>
  </si>
  <si>
    <t>190.175</t>
  </si>
  <si>
    <t>Spring Branch Library</t>
  </si>
  <si>
    <t>190.176</t>
  </si>
  <si>
    <t>West University Branch Library</t>
  </si>
  <si>
    <t>190.177</t>
  </si>
  <si>
    <t>North Channel Branch Library</t>
  </si>
  <si>
    <t>190.179</t>
  </si>
  <si>
    <t>Parker Williams Branch Library</t>
  </si>
  <si>
    <t>190.180</t>
  </si>
  <si>
    <t>Baldwin Boettcher Branch Library</t>
  </si>
  <si>
    <t>190.181</t>
  </si>
  <si>
    <t>Octavia Fields Branch Library</t>
  </si>
  <si>
    <t>190.182</t>
  </si>
  <si>
    <t>Katy Branch Library</t>
  </si>
  <si>
    <t>190.183</t>
  </si>
  <si>
    <t>Maud Smith Marks Branch Library</t>
  </si>
  <si>
    <t>190.184</t>
  </si>
  <si>
    <t>Kingwood Branch Library</t>
  </si>
  <si>
    <t>190.185</t>
  </si>
  <si>
    <t>La Porte Branch Library</t>
  </si>
  <si>
    <t>190.186</t>
  </si>
  <si>
    <t>Evelyn Meador Branch Library</t>
  </si>
  <si>
    <t>190.187</t>
  </si>
  <si>
    <t>South Houston Branch Library</t>
  </si>
  <si>
    <t>190.188</t>
  </si>
  <si>
    <t>Barbara Bush Branch Library</t>
  </si>
  <si>
    <t>190.189</t>
  </si>
  <si>
    <t>Tomball Branch Library</t>
  </si>
  <si>
    <t>190.190</t>
  </si>
  <si>
    <t>Atascocita Branch Library</t>
  </si>
  <si>
    <t>190.286</t>
  </si>
  <si>
    <t>Cy-Fair College</t>
  </si>
  <si>
    <t>190.341</t>
  </si>
  <si>
    <t>HCPL Technology Center at Lincoln Park</t>
  </si>
  <si>
    <t>190.396</t>
  </si>
  <si>
    <t>HCPL Technology Center at Finnegan Park</t>
  </si>
  <si>
    <t>190.397</t>
  </si>
  <si>
    <t>West Irving Library</t>
  </si>
  <si>
    <t>198.192</t>
  </si>
  <si>
    <t>East Branch Library</t>
  </si>
  <si>
    <t>198.281</t>
  </si>
  <si>
    <t>Valley Ranch Library</t>
  </si>
  <si>
    <t>198.284</t>
  </si>
  <si>
    <t>Abilene Public Library South Branch</t>
  </si>
  <si>
    <t>2.1</t>
  </si>
  <si>
    <t>Abilene Public Library Mockingbird</t>
  </si>
  <si>
    <t>2.384</t>
  </si>
  <si>
    <t>Austin History Center Library</t>
  </si>
  <si>
    <t>20.27</t>
  </si>
  <si>
    <t>Carver Branch Library</t>
  </si>
  <si>
    <t>20.28</t>
  </si>
  <si>
    <t>Milwood Branch Library</t>
  </si>
  <si>
    <t>20.288</t>
  </si>
  <si>
    <t>Will Hampton Branch at Oak Hill</t>
  </si>
  <si>
    <t>20.289</t>
  </si>
  <si>
    <t>Eustasio Cepeda Branch Library</t>
  </si>
  <si>
    <t>20.29</t>
  </si>
  <si>
    <t>Howson Branch Library</t>
  </si>
  <si>
    <t>20.30</t>
  </si>
  <si>
    <t>Little Walnut Creek Branch Library</t>
  </si>
  <si>
    <t>20.31</t>
  </si>
  <si>
    <t>Manchaca Road Branch Library</t>
  </si>
  <si>
    <t>20.32</t>
  </si>
  <si>
    <t>Ralph W Yarborough Branch Library</t>
  </si>
  <si>
    <t>20.33</t>
  </si>
  <si>
    <t>St John Branch Library</t>
  </si>
  <si>
    <t>20.330</t>
  </si>
  <si>
    <t>North Village Branch Library</t>
  </si>
  <si>
    <t>20.34</t>
  </si>
  <si>
    <t>Willie Mae Kirk Branch Library</t>
  </si>
  <si>
    <t>20.35</t>
  </si>
  <si>
    <t>Old Quarry Branch Library</t>
  </si>
  <si>
    <t>20.36</t>
  </si>
  <si>
    <t>Pleasant Hill Branch Library</t>
  </si>
  <si>
    <t>20.37</t>
  </si>
  <si>
    <t>Daniel E Ruiz Branch Library</t>
  </si>
  <si>
    <t>20.38</t>
  </si>
  <si>
    <t>Spicewood Springs Branch Library</t>
  </si>
  <si>
    <t>20.39</t>
  </si>
  <si>
    <t>Terrazas Branch Library</t>
  </si>
  <si>
    <t>20.40</t>
  </si>
  <si>
    <t>Twin Oaks Branch Library</t>
  </si>
  <si>
    <t>20.41</t>
  </si>
  <si>
    <t>University Hills Branch Library</t>
  </si>
  <si>
    <t>20.42</t>
  </si>
  <si>
    <t>Windsor Park Branch Library</t>
  </si>
  <si>
    <t>20.43</t>
  </si>
  <si>
    <t>Southeast Austin Community Branch Library</t>
  </si>
  <si>
    <t>20.44</t>
  </si>
  <si>
    <t>Wink Branch Library</t>
  </si>
  <si>
    <t>212.194</t>
  </si>
  <si>
    <t>Kerr Regional History Center</t>
  </si>
  <si>
    <t>213.334</t>
  </si>
  <si>
    <t>Copper Mountain Branch Library</t>
  </si>
  <si>
    <t>215.319</t>
  </si>
  <si>
    <t>Bruni Plaza Branch Library</t>
  </si>
  <si>
    <t>228.311</t>
  </si>
  <si>
    <t>Cyber Mobile</t>
  </si>
  <si>
    <t>228.386</t>
  </si>
  <si>
    <t>Inner City Branch Library</t>
  </si>
  <si>
    <t>228.405</t>
  </si>
  <si>
    <t>Santa Rita Express Branch Library</t>
  </si>
  <si>
    <t>228.406</t>
  </si>
  <si>
    <t>Barbara Fasken Branch Library</t>
  </si>
  <si>
    <t>228.407</t>
  </si>
  <si>
    <t>Sophie Christen McKendrick, Francisco Ochoa and Fernando Salinas Branch Library</t>
  </si>
  <si>
    <t>228.411</t>
  </si>
  <si>
    <t>Sundown Branch Library</t>
  </si>
  <si>
    <t>231.200</t>
  </si>
  <si>
    <t>Lakeshore Branch Library</t>
  </si>
  <si>
    <t>236.202</t>
  </si>
  <si>
    <t>Kingsland Branch Library</t>
  </si>
  <si>
    <t>236.203</t>
  </si>
  <si>
    <t>Broughton Branch Library</t>
  </si>
  <si>
    <t>238.328</t>
  </si>
  <si>
    <t>Godeke Branch Library</t>
  </si>
  <si>
    <t>240.204</t>
  </si>
  <si>
    <t>Patterson Branch Library</t>
  </si>
  <si>
    <t>240.282</t>
  </si>
  <si>
    <t>Groves Branch Library</t>
  </si>
  <si>
    <t>240.292</t>
  </si>
  <si>
    <t>Lark Branch Library</t>
  </si>
  <si>
    <t>254.320</t>
  </si>
  <si>
    <t>Palm View Branch Library</t>
  </si>
  <si>
    <t>254.321</t>
  </si>
  <si>
    <t>John and Judy Gay Library</t>
  </si>
  <si>
    <t>256.381</t>
  </si>
  <si>
    <t>Mesquite Public Library-North Branch</t>
  </si>
  <si>
    <t>262.206</t>
  </si>
  <si>
    <t>Midland Centennial Library</t>
  </si>
  <si>
    <t>264.207</t>
  </si>
  <si>
    <t>Mineola Memorial Library Bookmobile</t>
  </si>
  <si>
    <t>266.402</t>
  </si>
  <si>
    <t>Barstow Library</t>
  </si>
  <si>
    <t>269.208</t>
  </si>
  <si>
    <t>Grandfalls Library</t>
  </si>
  <si>
    <t>269.209</t>
  </si>
  <si>
    <t>Sargent Branch Library</t>
  </si>
  <si>
    <t>28.47</t>
  </si>
  <si>
    <t>Westside Community Center Library</t>
  </si>
  <si>
    <t>283.412</t>
  </si>
  <si>
    <t>Deweyville Public Library</t>
  </si>
  <si>
    <t>284.315</t>
  </si>
  <si>
    <t>Blessing Library</t>
  </si>
  <si>
    <t>295.211</t>
  </si>
  <si>
    <t>Groom Branch Library</t>
  </si>
  <si>
    <t>298.212</t>
  </si>
  <si>
    <t>Skellytown Branch Library</t>
  </si>
  <si>
    <t>298.213</t>
  </si>
  <si>
    <t>White Deer Branch Library</t>
  </si>
  <si>
    <t>298.214</t>
  </si>
  <si>
    <t>Elmo R Willard Branch Library</t>
  </si>
  <si>
    <t>30.295</t>
  </si>
  <si>
    <t>Maurine Gray Literacy Center</t>
  </si>
  <si>
    <t>30.296</t>
  </si>
  <si>
    <t>RC Miller Memorial Library</t>
  </si>
  <si>
    <t>30.51</t>
  </si>
  <si>
    <t>Tyrrell Historical Library</t>
  </si>
  <si>
    <t>30.52</t>
  </si>
  <si>
    <t>Theodore Johns Branch Library</t>
  </si>
  <si>
    <t>30.53</t>
  </si>
  <si>
    <t>Fairmont Branch Library</t>
  </si>
  <si>
    <t>300.215</t>
  </si>
  <si>
    <t>LER Schimelpfenig Library</t>
  </si>
  <si>
    <t>311.216</t>
  </si>
  <si>
    <t>Gladys Harrington Library</t>
  </si>
  <si>
    <t>311.217</t>
  </si>
  <si>
    <t>Maribelle M Davis Library</t>
  </si>
  <si>
    <t>311.298</t>
  </si>
  <si>
    <t>Christopher A Parr Library</t>
  </si>
  <si>
    <t>311.322</t>
  </si>
  <si>
    <t>Public Library Reading Room</t>
  </si>
  <si>
    <t>315.366</t>
  </si>
  <si>
    <t>Point Comfort Branch Library</t>
  </si>
  <si>
    <t>316.221</t>
  </si>
  <si>
    <t>Port O`Connor Branch Library</t>
  </si>
  <si>
    <t>316.222</t>
  </si>
  <si>
    <t>Seadrift Branch Library</t>
  </si>
  <si>
    <t>316.223</t>
  </si>
  <si>
    <t>Midkiff Public Library</t>
  </si>
  <si>
    <t>324.224</t>
  </si>
  <si>
    <t>Missouri City Branch Library</t>
  </si>
  <si>
    <t>329.226</t>
  </si>
  <si>
    <t>Albert George Branch Library</t>
  </si>
  <si>
    <t>329.227</t>
  </si>
  <si>
    <t>George Memorial Library</t>
  </si>
  <si>
    <t>329.228</t>
  </si>
  <si>
    <t>Fort Bend County Law Library</t>
  </si>
  <si>
    <t>329.229</t>
  </si>
  <si>
    <t>Bob Lutts Fulshear/Simonton Branch Library</t>
  </si>
  <si>
    <t>329.230</t>
  </si>
  <si>
    <t>Mamie George Branch Library</t>
  </si>
  <si>
    <t>329.231</t>
  </si>
  <si>
    <t>First Colony Branch Library</t>
  </si>
  <si>
    <t>329.232</t>
  </si>
  <si>
    <t>Cinco Ranch Branch Library</t>
  </si>
  <si>
    <t>329.299</t>
  </si>
  <si>
    <t>Sugar Land Branch Library</t>
  </si>
  <si>
    <t>329.302</t>
  </si>
  <si>
    <t>Sienna Branch Library</t>
  </si>
  <si>
    <t>329.382</t>
  </si>
  <si>
    <t>University Branch Library</t>
  </si>
  <si>
    <t>329.399</t>
  </si>
  <si>
    <t>Bishop Branch Library</t>
  </si>
  <si>
    <t>334.313</t>
  </si>
  <si>
    <t>Angelo West Branch Library</t>
  </si>
  <si>
    <t>343.233</t>
  </si>
  <si>
    <t>North Angelo Branch Library</t>
  </si>
  <si>
    <t>343.234</t>
  </si>
  <si>
    <t>Bazan Branch Library</t>
  </si>
  <si>
    <t>344.236</t>
  </si>
  <si>
    <t>Brook Hollow Branch Library</t>
  </si>
  <si>
    <t>344.237</t>
  </si>
  <si>
    <t>344.238</t>
  </si>
  <si>
    <t>Cody Branch Library</t>
  </si>
  <si>
    <t>344.239</t>
  </si>
  <si>
    <t>Collins Garden Branch Library</t>
  </si>
  <si>
    <t>344.240</t>
  </si>
  <si>
    <t>Cortez Branch Library</t>
  </si>
  <si>
    <t>344.241</t>
  </si>
  <si>
    <t>Johnston Branch Library</t>
  </si>
  <si>
    <t>344.242</t>
  </si>
  <si>
    <t>Landa Branch Library</t>
  </si>
  <si>
    <t>344.243</t>
  </si>
  <si>
    <t>Las Palmas Branch Library</t>
  </si>
  <si>
    <t>344.244</t>
  </si>
  <si>
    <t>McCreless Branch Library</t>
  </si>
  <si>
    <t>344.245</t>
  </si>
  <si>
    <t>Memorial Branch Library</t>
  </si>
  <si>
    <t>344.246</t>
  </si>
  <si>
    <t>Tobin Library at Oakwell</t>
  </si>
  <si>
    <t>344.247</t>
  </si>
  <si>
    <t>Pan American Branch Library</t>
  </si>
  <si>
    <t>344.248</t>
  </si>
  <si>
    <t>San Pedro Branch Library</t>
  </si>
  <si>
    <t>344.249</t>
  </si>
  <si>
    <t>Westfall Branch Library</t>
  </si>
  <si>
    <t>344.250</t>
  </si>
  <si>
    <t>Forest Hills Branch Library</t>
  </si>
  <si>
    <t>344.251</t>
  </si>
  <si>
    <t>Thousand Oaks Branch Library</t>
  </si>
  <si>
    <t>344.252</t>
  </si>
  <si>
    <t>Great Northwest Branch Library</t>
  </si>
  <si>
    <t>344.255</t>
  </si>
  <si>
    <t>Guerra Branch Library</t>
  </si>
  <si>
    <t>344.342</t>
  </si>
  <si>
    <t>Semmes Branch Library</t>
  </si>
  <si>
    <t>344.361</t>
  </si>
  <si>
    <t>Maverick Branch Library</t>
  </si>
  <si>
    <t>344.367</t>
  </si>
  <si>
    <t>John Igo Branch Library</t>
  </si>
  <si>
    <t>344.371</t>
  </si>
  <si>
    <t>Central Bookmobile Services</t>
  </si>
  <si>
    <t>344.383</t>
  </si>
  <si>
    <t>Molly Pruitt Library at Roosevelt HS</t>
  </si>
  <si>
    <t>344.388</t>
  </si>
  <si>
    <t>Mission Branch Library</t>
  </si>
  <si>
    <t>344.394</t>
  </si>
  <si>
    <t>Parman Branch Library at Stone Oak</t>
  </si>
  <si>
    <t>344.395</t>
  </si>
  <si>
    <t>Kampmann Library Portal</t>
  </si>
  <si>
    <t>344.413</t>
  </si>
  <si>
    <t>Encino Branch Library</t>
  </si>
  <si>
    <t>344.414</t>
  </si>
  <si>
    <t>Gaines County Library-Seagraves</t>
  </si>
  <si>
    <t>357.256</t>
  </si>
  <si>
    <t>Temple Public Library Bookmobile</t>
  </si>
  <si>
    <t>384.258</t>
  </si>
  <si>
    <t>East Waco Library</t>
  </si>
  <si>
    <t>398.261</t>
  </si>
  <si>
    <t>South Waco Library</t>
  </si>
  <si>
    <t>398.262</t>
  </si>
  <si>
    <t>West Waco Library &amp; Genealogy Center</t>
  </si>
  <si>
    <t>398.387</t>
  </si>
  <si>
    <t>West End Library</t>
  </si>
  <si>
    <t>400.263</t>
  </si>
  <si>
    <t>Knox Memorial Library</t>
  </si>
  <si>
    <t>400.287</t>
  </si>
  <si>
    <t>East Bernard Branch Library</t>
  </si>
  <si>
    <t>408.264</t>
  </si>
  <si>
    <t>El Campo Branch Library</t>
  </si>
  <si>
    <t>408.265</t>
  </si>
  <si>
    <t>Louise Branch Library</t>
  </si>
  <si>
    <t>408.266</t>
  </si>
  <si>
    <t>Hutchinson County Library - Fritch</t>
  </si>
  <si>
    <t>41.54</t>
  </si>
  <si>
    <t>Hutchinson County Library - Stinnett</t>
  </si>
  <si>
    <t>41.55</t>
  </si>
  <si>
    <t>Guadalupe and Lilia Martinez Zapata County Public Branch Library</t>
  </si>
  <si>
    <t>432.267</t>
  </si>
  <si>
    <t>Laura Bush Community Library</t>
  </si>
  <si>
    <t>452.380</t>
  </si>
  <si>
    <t>Southmost Branch Library</t>
  </si>
  <si>
    <t>49.362</t>
  </si>
  <si>
    <t>Orange Grove School/Public Library</t>
  </si>
  <si>
    <t>5.2</t>
  </si>
  <si>
    <t>Premont Public Library</t>
  </si>
  <si>
    <t>5.3</t>
  </si>
  <si>
    <t>Brownwood Public Library Local History &amp; Genealogy Library</t>
  </si>
  <si>
    <t>50.364</t>
  </si>
  <si>
    <t>Duval County/Freer Branch Library</t>
  </si>
  <si>
    <t>502.294</t>
  </si>
  <si>
    <t>Duval County/Benavides Branch Library</t>
  </si>
  <si>
    <t>502.308</t>
  </si>
  <si>
    <t>Carnegie Center of Brazos Valley History</t>
  </si>
  <si>
    <t>51.301</t>
  </si>
  <si>
    <t>Clara B Mounce Public Library</t>
  </si>
  <si>
    <t>51.379</t>
  </si>
  <si>
    <t>Larry J Ringer Public Library</t>
  </si>
  <si>
    <t>51.57</t>
  </si>
  <si>
    <t>517.316</t>
  </si>
  <si>
    <t>Garfield Library</t>
  </si>
  <si>
    <t>552.385</t>
  </si>
  <si>
    <t>Bertram Free Library</t>
  </si>
  <si>
    <t>56.58</t>
  </si>
  <si>
    <t>Oakalla Public Library</t>
  </si>
  <si>
    <t>56.59</t>
  </si>
  <si>
    <t>Herman Brown Free Library</t>
  </si>
  <si>
    <t>56.60</t>
  </si>
  <si>
    <t>Marble Falls Public Library</t>
  </si>
  <si>
    <t>56.61</t>
  </si>
  <si>
    <t>Carrollton Public Library @ Hebron and Josey</t>
  </si>
  <si>
    <t>64.340</t>
  </si>
  <si>
    <t>BiblioTech Central Jury Room</t>
  </si>
  <si>
    <t>649.403</t>
  </si>
  <si>
    <t>George &amp; Cynthia Woods Mitchell Library</t>
  </si>
  <si>
    <t>86.363</t>
  </si>
  <si>
    <t>Malcolm Purvis Library-Magnolia</t>
  </si>
  <si>
    <t>86.63</t>
  </si>
  <si>
    <t>Charles B Stewart-West Branch Library</t>
  </si>
  <si>
    <t>86.64</t>
  </si>
  <si>
    <t>RB Tullis Library</t>
  </si>
  <si>
    <t>86.65</t>
  </si>
  <si>
    <t>South Regional Library</t>
  </si>
  <si>
    <t>86.66</t>
  </si>
  <si>
    <t>RF Meador Branch Library</t>
  </si>
  <si>
    <t>86.67</t>
  </si>
  <si>
    <t>Dr Clotilde P Garcia Public Library</t>
  </si>
  <si>
    <t>88.376</t>
  </si>
  <si>
    <t>Neyland Public Library</t>
  </si>
  <si>
    <t>88.68</t>
  </si>
  <si>
    <t>Ben F McDonald Public Library</t>
  </si>
  <si>
    <t>88.69</t>
  </si>
  <si>
    <t>Owen R Hopkins Public Library</t>
  </si>
  <si>
    <t>88.70</t>
  </si>
  <si>
    <t>Janet F Harte Public Library</t>
  </si>
  <si>
    <t>88.71</t>
  </si>
  <si>
    <t>9.331</t>
  </si>
  <si>
    <t>9.5</t>
  </si>
  <si>
    <t>North Branch Library</t>
  </si>
  <si>
    <t>9.6</t>
  </si>
  <si>
    <t>9.7</t>
  </si>
  <si>
    <t>Encinal Library</t>
  </si>
  <si>
    <t>91.400</t>
  </si>
  <si>
    <t>Lorenzo Library</t>
  </si>
  <si>
    <t>94.72</t>
  </si>
  <si>
    <t>Ralls Library</t>
  </si>
  <si>
    <t>94.73</t>
  </si>
  <si>
    <t>Sqft:Q467</t>
  </si>
  <si>
    <t>Hrs:Q480</t>
  </si>
  <si>
    <t>Wks:Q479</t>
  </si>
  <si>
    <t>Row Labels</t>
  </si>
  <si>
    <t>Grand Total</t>
  </si>
  <si>
    <t>Values</t>
  </si>
  <si>
    <t>Sum of Sqft:Q467</t>
  </si>
  <si>
    <t>Q408+Q467</t>
  </si>
  <si>
    <t>H/C</t>
  </si>
  <si>
    <t>L/C</t>
  </si>
  <si>
    <t>Q/C</t>
  </si>
  <si>
    <t>V/C</t>
  </si>
  <si>
    <t>L/V</t>
  </si>
  <si>
    <t>Q/V</t>
  </si>
  <si>
    <t>S/V</t>
  </si>
  <si>
    <t>U/V</t>
  </si>
  <si>
    <t>AI/C</t>
  </si>
  <si>
    <t>AR/C</t>
  </si>
  <si>
    <t>BE/C</t>
  </si>
  <si>
    <t>BS/C</t>
  </si>
  <si>
    <t>BW/C</t>
  </si>
  <si>
    <t>CC/C</t>
  </si>
  <si>
    <t>CC/DB</t>
  </si>
  <si>
    <t>CC/DX</t>
  </si>
  <si>
    <t>CC/CR</t>
  </si>
  <si>
    <t>Sum of Hrs:Q480</t>
  </si>
  <si>
    <t>DR+DW</t>
  </si>
  <si>
    <t>7.4 Children's materials circulation - physical formats</t>
  </si>
  <si>
    <t>7.5 Circulation of Children's Materials-Digital formats</t>
  </si>
  <si>
    <t>7.6 Circulation-Physical formats</t>
  </si>
  <si>
    <t>7.7 Circulation-Digital formats</t>
  </si>
  <si>
    <t>7.9 Total Circulation</t>
  </si>
  <si>
    <t>(BY+CA)/BS</t>
  </si>
  <si>
    <t>CP/C</t>
  </si>
  <si>
    <t>CR/C</t>
  </si>
  <si>
    <t>C/CX</t>
  </si>
  <si>
    <t>C/DB</t>
  </si>
  <si>
    <t>BY/C</t>
  </si>
  <si>
    <t>BZ/C</t>
  </si>
  <si>
    <t>CA/C</t>
  </si>
  <si>
    <t>CB/C</t>
  </si>
  <si>
    <t>7.2 Library Visits</t>
  </si>
  <si>
    <t>7.3 Registered Users</t>
  </si>
  <si>
    <t>7.0 Does the library have a Long-Range Plan?</t>
  </si>
  <si>
    <t>10.5 Number of Wi-Fi Sessions</t>
  </si>
  <si>
    <t>Library Materials Expenditures Per Capita</t>
  </si>
  <si>
    <t>Total Operating Expenditures Per Capita</t>
  </si>
  <si>
    <t>Wages and Benefits as % of Total Operating Expenditures</t>
  </si>
  <si>
    <t>Library Materials as % of Total Operating Expenditures</t>
  </si>
  <si>
    <t>Other Operating Expenditures as % Total Operating Expenditures</t>
  </si>
  <si>
    <t>8.9  Does the library have a photocopier for use by staff?</t>
  </si>
  <si>
    <t>to see how your library compares to ones of similar size 
or to statewide measures</t>
  </si>
  <si>
    <t>1.6MailCity</t>
  </si>
  <si>
    <t>7.9 Number of Children's programs provided by the library</t>
  </si>
  <si>
    <t>7.11 Number of Young Adult programs provided by the library</t>
  </si>
  <si>
    <t>7.13 Number of Adult programs provided by the library</t>
  </si>
  <si>
    <t>7.15 Total Number of Library Programs</t>
  </si>
  <si>
    <t>7.10 Attendance at Children's Programs provided by the library</t>
  </si>
  <si>
    <t>7.14 Attendance at Adult Programs provided by the library</t>
  </si>
  <si>
    <t>7.16 Total Attendance at Library Programs</t>
  </si>
  <si>
    <t>10.6b Number of website visits.</t>
  </si>
  <si>
    <t>11.3 How many unduplicated hours is the library and its branches open per week during a regular scheduled week?</t>
  </si>
  <si>
    <t>Total Local Operating Expenditures</t>
  </si>
  <si>
    <t>Local Government Revenue Per Capita</t>
  </si>
  <si>
    <t/>
  </si>
  <si>
    <t>6.12 Other Licensed Electronic Collections/ Databases</t>
  </si>
  <si>
    <t>Library ID</t>
  </si>
  <si>
    <t>Children's circ per capita - physical formats</t>
  </si>
  <si>
    <t>Children's circ per capita - digital formats</t>
  </si>
  <si>
    <t>Circulation per capita - physical formats (excludes children's)</t>
  </si>
  <si>
    <t>Circulation per capita - digital formats (excludes children's)</t>
  </si>
  <si>
    <t>754,783</t>
  </si>
  <si>
    <t>Hours</t>
  </si>
  <si>
    <t>4,208,294</t>
  </si>
  <si>
    <t>SqFt</t>
  </si>
  <si>
    <t>Sum of Hours</t>
  </si>
  <si>
    <t>Sum of SqFt</t>
  </si>
  <si>
    <t>Branch info</t>
  </si>
  <si>
    <t>Global Totals/Average</t>
  </si>
  <si>
    <t>Federal Revenue</t>
  </si>
  <si>
    <t>Physical Material Expenditure per circulation</t>
  </si>
  <si>
    <t>Digital Material Expenditure per circulation</t>
  </si>
  <si>
    <t>Total Volunteer Hours (Per Year)</t>
  </si>
  <si>
    <t>Local-Licensed Databases</t>
  </si>
  <si>
    <t>Other Measures Charts</t>
  </si>
  <si>
    <t>6.10 Local-Licensed Electronic Collection/ Databases</t>
  </si>
  <si>
    <t>9.1 Does your library offer statewide ILL for your patrons?</t>
  </si>
  <si>
    <t>6.4 Books in Print - Items</t>
  </si>
  <si>
    <t>5.6 Operating Revenue - Other Federal Funds</t>
  </si>
  <si>
    <t>5.7 Operating Revenue - Foundation &amp; Corporate Grants</t>
  </si>
  <si>
    <t>5.8 Operating Revenue - Other Local Sources</t>
  </si>
  <si>
    <t xml:space="preserve"> Subtotal-Other Operating Revenue</t>
  </si>
  <si>
    <t>5.9 Total Operating Revenue</t>
  </si>
  <si>
    <t>5.10 Capital Revenue - City Cities or Library District</t>
  </si>
  <si>
    <t>5.12 Capital Revenue - School Districts</t>
  </si>
  <si>
    <t>5.13 Capital Revenue - Other State Funds</t>
  </si>
  <si>
    <t>5.14 Capital Revenue - Other Federal Funds</t>
  </si>
  <si>
    <t>5.15 Capital Revenue - Foundation &amp; Corporate Grants</t>
  </si>
  <si>
    <t>5.16 Other Capital Revenue</t>
  </si>
  <si>
    <t>5.17 Total Capital Revenue</t>
  </si>
  <si>
    <t>6.5 Audio - Physical Materials - Items</t>
  </si>
  <si>
    <t>6.8 Audio - Downloadable - Units</t>
  </si>
  <si>
    <t>6.6 Video - Physical Materials - Items</t>
  </si>
  <si>
    <t>6.9 Video - Downloadable - Units</t>
  </si>
  <si>
    <t>6.7 Electronic Books</t>
  </si>
  <si>
    <t>ILL/RESOURCE SHARING</t>
  </si>
  <si>
    <t>Local Government Expenditures</t>
  </si>
  <si>
    <t>Subtotal: Local Government Operating Revenue</t>
  </si>
  <si>
    <t>ALAMANCE</t>
  </si>
  <si>
    <t>HERTFORD</t>
  </si>
  <si>
    <t>ALEXANDER</t>
  </si>
  <si>
    <t>ASHE</t>
  </si>
  <si>
    <t>YANCEY</t>
  </si>
  <si>
    <t>BEAUFORT</t>
  </si>
  <si>
    <t>BLADEN</t>
  </si>
  <si>
    <t>NASH</t>
  </si>
  <si>
    <t>BRUNSWICK</t>
  </si>
  <si>
    <t>BUNCOMBE</t>
  </si>
  <si>
    <t>BURKE</t>
  </si>
  <si>
    <t>CABARRUS</t>
  </si>
  <si>
    <t>CALDWELL</t>
  </si>
  <si>
    <t>CASWELL</t>
  </si>
  <si>
    <t>CATAWBA</t>
  </si>
  <si>
    <t>ORANGE</t>
  </si>
  <si>
    <t>MECKLENBURG</t>
  </si>
  <si>
    <t>CHATHAM</t>
  </si>
  <si>
    <t>CLEVELAND</t>
  </si>
  <si>
    <t>COLUMBUS</t>
  </si>
  <si>
    <t>CRAVEN</t>
  </si>
  <si>
    <t>CUMBERLAND</t>
  </si>
  <si>
    <t>DAVIDSON</t>
  </si>
  <si>
    <t>DAVIE</t>
  </si>
  <si>
    <t>DUPLIN</t>
  </si>
  <si>
    <t>DURHAM</t>
  </si>
  <si>
    <t>PASQUOTANK</t>
  </si>
  <si>
    <t>EDGECOMBE</t>
  </si>
  <si>
    <t>PITT</t>
  </si>
  <si>
    <t>SWAIN</t>
  </si>
  <si>
    <t>FORSYTH</t>
  </si>
  <si>
    <t>FRANKLIN</t>
  </si>
  <si>
    <t>GASTON</t>
  </si>
  <si>
    <t>Guilford</t>
  </si>
  <si>
    <t>GRANVILLE</t>
  </si>
  <si>
    <t>GUILFORD</t>
  </si>
  <si>
    <t>HALIFAX</t>
  </si>
  <si>
    <t>HARNETT</t>
  </si>
  <si>
    <t>HAYWOOD</t>
  </si>
  <si>
    <t>HENDERSON</t>
  </si>
  <si>
    <t>Johnston</t>
  </si>
  <si>
    <t>IREDELL</t>
  </si>
  <si>
    <t>LEE</t>
  </si>
  <si>
    <t>LINCOLN</t>
  </si>
  <si>
    <t>MADISON</t>
  </si>
  <si>
    <t>MCDOWELL</t>
  </si>
  <si>
    <t>CHEROKEE</t>
  </si>
  <si>
    <t>LENOIR</t>
  </si>
  <si>
    <t>NEW HANOVER</t>
  </si>
  <si>
    <t>SURRY</t>
  </si>
  <si>
    <t>ONSLOW</t>
  </si>
  <si>
    <t>PENDER</t>
  </si>
  <si>
    <t>VANCE</t>
  </si>
  <si>
    <t>PERSON</t>
  </si>
  <si>
    <t>CHOWAN, PERQUIMANS,</t>
  </si>
  <si>
    <t>POLK</t>
  </si>
  <si>
    <t>JOHNSTON</t>
  </si>
  <si>
    <t>RANDOLPH</t>
  </si>
  <si>
    <t>ROBESON</t>
  </si>
  <si>
    <t>ROCKINGHAM</t>
  </si>
  <si>
    <t>ROWAN</t>
  </si>
  <si>
    <t>RUTHERFORD</t>
  </si>
  <si>
    <t>SAMPSON</t>
  </si>
  <si>
    <t>RICHMOND</t>
  </si>
  <si>
    <t>SCOTLAND</t>
  </si>
  <si>
    <t>MOORE</t>
  </si>
  <si>
    <t>STANLY</t>
  </si>
  <si>
    <t>TRANSYLVANIA</t>
  </si>
  <si>
    <t>UNION</t>
  </si>
  <si>
    <t>WAKE</t>
  </si>
  <si>
    <t>WARREN</t>
  </si>
  <si>
    <t>WAYNE</t>
  </si>
  <si>
    <t>WILSON</t>
  </si>
  <si>
    <t>Regional</t>
  </si>
  <si>
    <t>Municipal</t>
  </si>
  <si>
    <t>NC0103</t>
  </si>
  <si>
    <t>NC0001</t>
  </si>
  <si>
    <t>NC0016</t>
  </si>
  <si>
    <t>NC0002</t>
  </si>
  <si>
    <t>NC0003</t>
  </si>
  <si>
    <t>NC0004</t>
  </si>
  <si>
    <t>NC0017</t>
  </si>
  <si>
    <t>NC0046</t>
  </si>
  <si>
    <t>NC0018</t>
  </si>
  <si>
    <t>NC0019</t>
  </si>
  <si>
    <t>NC0020</t>
  </si>
  <si>
    <t>NC0021</t>
  </si>
  <si>
    <t>NC0022</t>
  </si>
  <si>
    <t>NC0107</t>
  </si>
  <si>
    <t>NC0023</t>
  </si>
  <si>
    <t>NC0071</t>
  </si>
  <si>
    <t>NC0045</t>
  </si>
  <si>
    <t>NC0104</t>
  </si>
  <si>
    <t>NC0024</t>
  </si>
  <si>
    <t>NC0025</t>
  </si>
  <si>
    <t>NC0006</t>
  </si>
  <si>
    <t>NC0026</t>
  </si>
  <si>
    <t>NC0027</t>
  </si>
  <si>
    <t>NC0028</t>
  </si>
  <si>
    <t>NC0029</t>
  </si>
  <si>
    <t>NC0030</t>
  </si>
  <si>
    <t>NC0007</t>
  </si>
  <si>
    <t>NC0031</t>
  </si>
  <si>
    <t>NC0075</t>
  </si>
  <si>
    <t>NC0008</t>
  </si>
  <si>
    <t>NC0032</t>
  </si>
  <si>
    <t>NC0033</t>
  </si>
  <si>
    <t>NC0105</t>
  </si>
  <si>
    <t>NC0099</t>
  </si>
  <si>
    <t>NC0111</t>
  </si>
  <si>
    <t>NC0034</t>
  </si>
  <si>
    <t>NC0035</t>
  </si>
  <si>
    <t>NC0036</t>
  </si>
  <si>
    <t>NC0037</t>
  </si>
  <si>
    <t>NC0102</t>
  </si>
  <si>
    <t>NC0038</t>
  </si>
  <si>
    <t>NC0039</t>
  </si>
  <si>
    <t>NC0079</t>
  </si>
  <si>
    <t>NC0080</t>
  </si>
  <si>
    <t>NC0110</t>
  </si>
  <si>
    <t>NC0040</t>
  </si>
  <si>
    <t>NC0100</t>
  </si>
  <si>
    <t>NC0042</t>
  </si>
  <si>
    <t>NC0106</t>
  </si>
  <si>
    <t>NC0043</t>
  </si>
  <si>
    <t>NC0044</t>
  </si>
  <si>
    <t>NC0083</t>
  </si>
  <si>
    <t>NC0011</t>
  </si>
  <si>
    <t>NC0012</t>
  </si>
  <si>
    <t>NC0047</t>
  </si>
  <si>
    <t>NC0013</t>
  </si>
  <si>
    <t>NC0048</t>
  </si>
  <si>
    <t>NC0108</t>
  </si>
  <si>
    <t>NC0049</t>
  </si>
  <si>
    <t>NC0062</t>
  </si>
  <si>
    <t>NC0109</t>
  </si>
  <si>
    <t>NC0014</t>
  </si>
  <si>
    <t>NC0051</t>
  </si>
  <si>
    <t>NC0041</t>
  </si>
  <si>
    <t>NC0052</t>
  </si>
  <si>
    <t>NC0088</t>
  </si>
  <si>
    <t>NC0053</t>
  </si>
  <si>
    <t>NC0054</t>
  </si>
  <si>
    <t>NC0055</t>
  </si>
  <si>
    <t>NC0056</t>
  </si>
  <si>
    <t>NC0057</t>
  </si>
  <si>
    <t>NC0015</t>
  </si>
  <si>
    <t>NC0058</t>
  </si>
  <si>
    <t>NC0050</t>
  </si>
  <si>
    <t>NC0093</t>
  </si>
  <si>
    <t>NC0059</t>
  </si>
  <si>
    <t>NC0060</t>
  </si>
  <si>
    <t>NC0061</t>
  </si>
  <si>
    <t>NC0063</t>
  </si>
  <si>
    <t>NC0101</t>
  </si>
  <si>
    <t>NC0065</t>
  </si>
  <si>
    <t>NC0066</t>
  </si>
  <si>
    <t>7.4 Children's materials circulation - all formats</t>
  </si>
  <si>
    <t>-1</t>
  </si>
  <si>
    <t>Children's Circulation</t>
  </si>
  <si>
    <t>Physical Item Usage</t>
  </si>
  <si>
    <t>Digital Item Usage</t>
  </si>
  <si>
    <t>Total Collection Use</t>
  </si>
  <si>
    <t>Director's Salary</t>
  </si>
  <si>
    <t xml:space="preserve">ALAMANCE </t>
  </si>
  <si>
    <t xml:space="preserve">ALBEMARLE REGIONAL </t>
  </si>
  <si>
    <t xml:space="preserve">ALEXANDER </t>
  </si>
  <si>
    <t xml:space="preserve">APPALACHIAN REGIONAL </t>
  </si>
  <si>
    <t>AMY REGIONAL</t>
  </si>
  <si>
    <t>BHM REGIONAL</t>
  </si>
  <si>
    <t xml:space="preserve">BLADEN </t>
  </si>
  <si>
    <t>BRASWELL (Nash)</t>
  </si>
  <si>
    <t>CHAPEL HILL</t>
  </si>
  <si>
    <t>CHARLOTTE MECKLENBURG</t>
  </si>
  <si>
    <t>CPC REGIONAL</t>
  </si>
  <si>
    <t>E. ALBEMARLE REGIONAL</t>
  </si>
  <si>
    <t>FARMVILLE</t>
  </si>
  <si>
    <t>FONTANA REGIONAL</t>
  </si>
  <si>
    <t>GIBSONVILLE</t>
  </si>
  <si>
    <t>BROWN (Washington)</t>
  </si>
  <si>
    <t>HAROLD D. COOLEY (Nashville)</t>
  </si>
  <si>
    <t>HICKORY</t>
  </si>
  <si>
    <t>HIGH POINT</t>
  </si>
  <si>
    <t>HOCUTT ELLINGTON (Clayton)</t>
  </si>
  <si>
    <t>JACOB MAUNEY (Kings Mountain)</t>
  </si>
  <si>
    <t xml:space="preserve">MCDOWELL </t>
  </si>
  <si>
    <t>MOORESVILLE</t>
  </si>
  <si>
    <t>NANTAHALA REGIONAL</t>
  </si>
  <si>
    <t>NEUSE REGIONAL</t>
  </si>
  <si>
    <t>NW Regional</t>
  </si>
  <si>
    <t>H. LESLIE PERRY (Vance)</t>
  </si>
  <si>
    <t>PETTIGREW REGIONAL</t>
  </si>
  <si>
    <t>ROANOKE RAPIDS</t>
  </si>
  <si>
    <t>SAMPSON-CLINTON</t>
  </si>
  <si>
    <t>SANDHILL REGIONAL</t>
  </si>
  <si>
    <t xml:space="preserve">PITT (SHEPPARD) </t>
  </si>
  <si>
    <t>SOUTHERN PINES</t>
  </si>
  <si>
    <t>Materials Expenditures</t>
  </si>
  <si>
    <t>5.1 Operating Revenue - Municipal</t>
  </si>
  <si>
    <t>5.2 Operating Revenue - County</t>
  </si>
  <si>
    <t>5.11 Capital Revenue - Local</t>
  </si>
  <si>
    <t>Comparison Library 1:</t>
  </si>
  <si>
    <t>Comparison Library 2:</t>
  </si>
  <si>
    <t>Comparison Library 3:</t>
  </si>
  <si>
    <t>Comparison Library 4:</t>
  </si>
  <si>
    <t>Collection Use Per Capita</t>
  </si>
  <si>
    <t>Collection Use Per Paid Staff Member</t>
  </si>
  <si>
    <t>Collection Use Per Hour</t>
  </si>
  <si>
    <t>Collection Use Per Library Visit</t>
  </si>
  <si>
    <t>Then click on one or more of  these links:</t>
  </si>
  <si>
    <t xml:space="preserve"> Then click this link:</t>
  </si>
  <si>
    <t>Choose Your Library's  from the drop-down menu here:</t>
  </si>
  <si>
    <t>2.4 Total Square footage</t>
  </si>
  <si>
    <t>These charts are licensed under a Creative Commons Attribution-NonCommercial-ShareAlike 4.0 International License, based on the work of Connecticut State Library at  http://libguides.ctstatelibrary.org/dld/stats/chartmakers and Texas State Library and Archives Commission</t>
  </si>
  <si>
    <t>Total Square Footage</t>
  </si>
  <si>
    <t>Total Public Service Hours</t>
  </si>
  <si>
    <t>ALAMANCE COUNTY PUBLIC LIBRARIES</t>
  </si>
  <si>
    <t>ALBEMARLE REGIONAL LIBRARY</t>
  </si>
  <si>
    <t>ALEXANDER COUNTY LIBRARY</t>
  </si>
  <si>
    <t>APPALACHIAN REGIONAL LIBRARY</t>
  </si>
  <si>
    <t>AVERY-MITCHELL-YANCEY REGIONAL LIBRARY</t>
  </si>
  <si>
    <t>BEAUFORT-HYDE-MARTIN REGIONAL LIBRARY</t>
  </si>
  <si>
    <t>BLADEN COUNTY PUBLIC LIBRARY</t>
  </si>
  <si>
    <t>BRUNSWICK COUNTY LIBRARY</t>
  </si>
  <si>
    <t>BUNCOMBE COUNTY PUBLIC LIBRARIES</t>
  </si>
  <si>
    <t>BURKE COUNTY PUBLIC LIBRARY</t>
  </si>
  <si>
    <t>CABARRUS COUNTY PUBLIC LIBRARY</t>
  </si>
  <si>
    <t>CALDWELL COUNTY PUBLIC LIBRARY</t>
  </si>
  <si>
    <t>CASWELL COUNTY PUBLIC LIBRARY</t>
  </si>
  <si>
    <t>CATAWBA COUNTY LIBRARY</t>
  </si>
  <si>
    <t>CHAPEL HILL PUBLIC LIBRARY</t>
  </si>
  <si>
    <t>CHARLOTTE MECKLENBURG LIBRARY</t>
  </si>
  <si>
    <t>CHATHAM COUNTY PUBLIC LIBRARIES</t>
  </si>
  <si>
    <t>CLEVELAND COUNTY MEMORIAL LIBRARY</t>
  </si>
  <si>
    <t>COLUMBUS COUNTY PUBLIC LIBRARY</t>
  </si>
  <si>
    <t>CRAVEN-PAMLICO-CARTERET REGIONAL LIBRARY</t>
  </si>
  <si>
    <t>CUMBERLAND COUNTY PUBLIC LIBRARY &amp; INFORMATION CENTER</t>
  </si>
  <si>
    <t>DAVIDSON COUNTY PUBLIC LIBRARY SYSTEM</t>
  </si>
  <si>
    <t>DAVIE COUNTY PUBLIC LIBRARY</t>
  </si>
  <si>
    <t>DUPLIN COUNTY LIBRARY</t>
  </si>
  <si>
    <t>DURHAM COUNTY LIBRARY</t>
  </si>
  <si>
    <t>EAST ALBEMARLE REGIONAL LIBRARY</t>
  </si>
  <si>
    <t>EDGECOMBE COUNTY MEMORIAL LIBRARY</t>
  </si>
  <si>
    <t>FARMVILLE PUBLIC LIBRARY</t>
  </si>
  <si>
    <t>FONTANA REGIONAL LIBRARY</t>
  </si>
  <si>
    <t>FORSYTH COUNTY PUBLIC LIBRARY</t>
  </si>
  <si>
    <t>FRANKLIN COUNTY LIBRARY</t>
  </si>
  <si>
    <t>GASTON COUNTY PUBLIC LIBRARY</t>
  </si>
  <si>
    <t>GEORGE H. AND LAURA E. BROWN PUBLIC LIBRARY</t>
  </si>
  <si>
    <t>GIBSONVILLE PUBLIC LIBRARY</t>
  </si>
  <si>
    <t>GRANVILLE COUNTY LIBRARY SYSTEM</t>
  </si>
  <si>
    <t>GREENSBORO PUBLIC LIBRARY</t>
  </si>
  <si>
    <t>HALIFAX COUNTY LIBRARY SYSTEM</t>
  </si>
  <si>
    <t>HARNETT COUNTY PUBLIC LIBRARY</t>
  </si>
  <si>
    <t>HAROLD D. COOLEY LIBRARY</t>
  </si>
  <si>
    <t>HAYWOOD COUNTY PUBLIC LIBRARY</t>
  </si>
  <si>
    <t>HENDERSON COUNTY PUBLIC LIBRARY</t>
  </si>
  <si>
    <t>HICKORY PUBLIC LIBRARY</t>
  </si>
  <si>
    <t>HIGH POINT PUBLIC LIBRARY</t>
  </si>
  <si>
    <t>HOCUTT ELLINGTON MEMORIAL LIBRARY</t>
  </si>
  <si>
    <t>IREDELL COUNTY LIBRARY</t>
  </si>
  <si>
    <t>JACOB MAUNEY MEMORIAL LIBRARY</t>
  </si>
  <si>
    <t>LEE COUNTY LIBRARY</t>
  </si>
  <si>
    <t>LINCOLN COUNTY PUBLIC LIBRARY</t>
  </si>
  <si>
    <t>MADISON COUNTY PUBLIC LIBRARY</t>
  </si>
  <si>
    <t>MCDOWELL COUNTY PUBLIC LIBRARY</t>
  </si>
  <si>
    <t>MOORESVILLE PUBLIC LIBRARY</t>
  </si>
  <si>
    <t>NANTAHALA REGIONAL LIBRARY</t>
  </si>
  <si>
    <t>NEUSE REGIONAL LIBRARY</t>
  </si>
  <si>
    <t>NEW HANOVER COUNTY PUBLIC LIBRARY</t>
  </si>
  <si>
    <t>NORTHWESTERN REGIONAL LIBRARY</t>
  </si>
  <si>
    <t>ONSLOW COUNTY PUBLIC LIBRARY</t>
  </si>
  <si>
    <t>PENDER COUNTY PUBLIC LIBRARY</t>
  </si>
  <si>
    <t>PERSON COUNTY PUBLIC LIBRARY</t>
  </si>
  <si>
    <t>PETTIGREW REGIONAL LIBRARY</t>
  </si>
  <si>
    <t>POLK COUNTY PUBLIC LIBRARY</t>
  </si>
  <si>
    <t>PUBLIC LIBRARY OF JOHNSTON COUNTY &amp; SMITHFIELD</t>
  </si>
  <si>
    <t>RANDOLPH PUBLIC LIBRARY</t>
  </si>
  <si>
    <t>ROANOKE RAPIDS PUBLIC LIBRARY</t>
  </si>
  <si>
    <t>ROBESON COUNTY PUBLIC LIBRARY</t>
  </si>
  <si>
    <t>ROCKINGHAM COUNTY PUBLIC LIBRARY</t>
  </si>
  <si>
    <t>ROWAN PUBLIC LIBRARY</t>
  </si>
  <si>
    <t>RUTHERFORD COUNTY LIBRARY</t>
  </si>
  <si>
    <t>SANDHILL REGIONAL LIBRARY SYSTEM</t>
  </si>
  <si>
    <t>SCOTLAND COUNTY MEMORIAL LIBRARY</t>
  </si>
  <si>
    <t>SHEPPARD MEMORIAL LIBRARY</t>
  </si>
  <si>
    <t>SOUTHERN PINES PUBLIC LIBRARY</t>
  </si>
  <si>
    <t>STANLY COUNTY PUBLIC LIBRARY</t>
  </si>
  <si>
    <t>TRANSYLVANIA COUNTY LIBRARY</t>
  </si>
  <si>
    <t>UNION COUNTY PUBLIC LIBRARY</t>
  </si>
  <si>
    <t>WAKE COUNTY PUBLIC LIBRARIES</t>
  </si>
  <si>
    <t>WARREN COUNTY MEMORIAL LIBRARY</t>
  </si>
  <si>
    <t>WAYNE COUNTY PUBLIC LIBRARY</t>
  </si>
  <si>
    <t>WILSON COUNTY PUBLIC LIBRARY</t>
  </si>
  <si>
    <t>BRASWELL MEMORIAL LIBRARY</t>
  </si>
  <si>
    <t>ORANGE COUNTY PUBLIC LIBRARY</t>
  </si>
  <si>
    <t>H. LESLIE PERRY MEMORIAL LIBRARY</t>
  </si>
  <si>
    <t>SAMPSON-CLINTON PUBLIC LIBRARY</t>
  </si>
  <si>
    <t>Fiscal Year 2020 Public Library Data</t>
  </si>
  <si>
    <t>Customized Library Data and Comparison Charts for Fiscal Year 2020</t>
  </si>
  <si>
    <t>For more information contact: Amanda Johnson, Data Analysis &amp; Communication Consultant, State Library of North Carolina
amanda.johnson@ncdcr.gov</t>
  </si>
  <si>
    <t>rev 12.10.20vg</t>
  </si>
  <si>
    <t>2020 Quick Report</t>
  </si>
  <si>
    <t>2020 Charts</t>
  </si>
  <si>
    <t>2020 Comparison Charts</t>
  </si>
  <si>
    <t>Library Comparison Charts for Fiscal Year (FY) 2020</t>
  </si>
  <si>
    <t>Library Data Charts for Fiscal Year (FY) 2020</t>
  </si>
  <si>
    <t>NW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</si>
</sst>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[&lt;=9999999]###\-####;\(###\)\ ###\-####"/>
    <numFmt numFmtId="167" formatCode="[&lt;=999999999999999]###\-####;\(###\)\ ###\-####\ \x#####"/>
    <numFmt numFmtId="168" formatCode="[&lt;=99999]00000;[&lt;=999999999]00000\-0000"/>
    <numFmt numFmtId="169" formatCode="_(* #,##0_);_(* \(#,##0\);_(* &quot;-&quot;??_);_(@_)"/>
    <numFmt numFmtId="170" formatCode="&quot;$&quot;#,##0.00"/>
    <numFmt numFmtId="171" formatCode="0.000"/>
    <numFmt numFmtId="172" formatCode="mm/dd/yy;@"/>
  </numFmts>
  <fonts count="114" x14ac:knownFonts="1">
    <font>
      <sz val="11"/>
      <color theme="1"/>
      <name val="Book Antiqua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Book Antiqua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Book Antiqua"/>
      <family val="2"/>
      <scheme val="minor"/>
    </font>
    <font>
      <b/>
      <sz val="16"/>
      <color theme="1"/>
      <name val="Book Antiqua"/>
      <family val="2"/>
      <scheme val="minor"/>
    </font>
    <font>
      <b/>
      <sz val="11"/>
      <color theme="1"/>
      <name val="Calibri"/>
      <family val="2"/>
    </font>
    <font>
      <sz val="11"/>
      <name val="Book Antiqua"/>
      <family val="2"/>
      <scheme val="minor"/>
    </font>
    <font>
      <b/>
      <sz val="22"/>
      <color theme="1"/>
      <name val="Book Antiqua"/>
      <family val="2"/>
      <scheme val="minor"/>
    </font>
    <font>
      <b/>
      <sz val="18"/>
      <color theme="1"/>
      <name val="Book Antiqua"/>
      <family val="2"/>
      <scheme val="minor"/>
    </font>
    <font>
      <b/>
      <u/>
      <sz val="16"/>
      <color theme="10"/>
      <name val="Calibri"/>
      <family val="2"/>
    </font>
    <font>
      <b/>
      <sz val="11"/>
      <color theme="1"/>
      <name val="Book Antiqua"/>
      <family val="2"/>
      <scheme val="minor"/>
    </font>
    <font>
      <b/>
      <sz val="18"/>
      <color theme="3"/>
      <name val="Lucida Sans"/>
      <family val="2"/>
      <scheme val="major"/>
    </font>
    <font>
      <b/>
      <sz val="15"/>
      <color theme="3"/>
      <name val="Book Antiqua"/>
      <family val="2"/>
      <scheme val="minor"/>
    </font>
    <font>
      <b/>
      <sz val="13"/>
      <color theme="3"/>
      <name val="Book Antiqua"/>
      <family val="2"/>
      <scheme val="minor"/>
    </font>
    <font>
      <b/>
      <sz val="11"/>
      <color theme="3"/>
      <name val="Book Antiqua"/>
      <family val="2"/>
      <scheme val="minor"/>
    </font>
    <font>
      <sz val="11"/>
      <color rgb="FF006100"/>
      <name val="Book Antiqua"/>
      <family val="2"/>
      <scheme val="minor"/>
    </font>
    <font>
      <sz val="11"/>
      <color rgb="FF9C0006"/>
      <name val="Book Antiqua"/>
      <family val="2"/>
      <scheme val="minor"/>
    </font>
    <font>
      <sz val="11"/>
      <color rgb="FF9C6500"/>
      <name val="Book Antiqua"/>
      <family val="2"/>
      <scheme val="minor"/>
    </font>
    <font>
      <sz val="11"/>
      <color rgb="FF3F3F76"/>
      <name val="Book Antiqua"/>
      <family val="2"/>
      <scheme val="minor"/>
    </font>
    <font>
      <b/>
      <sz val="11"/>
      <color rgb="FF3F3F3F"/>
      <name val="Book Antiqua"/>
      <family val="2"/>
      <scheme val="minor"/>
    </font>
    <font>
      <b/>
      <sz val="11"/>
      <color rgb="FFFA7D00"/>
      <name val="Book Antiqua"/>
      <family val="2"/>
      <scheme val="minor"/>
    </font>
    <font>
      <sz val="11"/>
      <color rgb="FFFA7D00"/>
      <name val="Book Antiqua"/>
      <family val="2"/>
      <scheme val="minor"/>
    </font>
    <font>
      <b/>
      <sz val="11"/>
      <color theme="0"/>
      <name val="Book Antiqua"/>
      <family val="2"/>
      <scheme val="minor"/>
    </font>
    <font>
      <sz val="11"/>
      <color rgb="FFFF0000"/>
      <name val="Book Antiqua"/>
      <family val="2"/>
      <scheme val="minor"/>
    </font>
    <font>
      <i/>
      <sz val="11"/>
      <color rgb="FF7F7F7F"/>
      <name val="Book Antiqua"/>
      <family val="2"/>
      <scheme val="minor"/>
    </font>
    <font>
      <sz val="11"/>
      <color theme="0"/>
      <name val="Book Antiqua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sz val="14"/>
      <color theme="1"/>
      <name val="Book Antiqua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2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4"/>
      <color theme="0" tint="-0.34998626667073579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u/>
      <sz val="10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theme="1"/>
      <name val="Book Antiqua"/>
      <family val="2"/>
      <scheme val="minor"/>
    </font>
    <font>
      <sz val="9"/>
      <color theme="1"/>
      <name val="Book Antiqua"/>
      <family val="2"/>
      <scheme val="minor"/>
    </font>
    <font>
      <b/>
      <sz val="8"/>
      <color theme="0" tint="-0.499984740745262"/>
      <name val="Book Antiqua"/>
      <family val="1"/>
    </font>
    <font>
      <sz val="8"/>
      <color theme="0" tint="-0.499984740745262"/>
      <name val="Book Antiqua"/>
      <family val="1"/>
    </font>
    <font>
      <sz val="14"/>
      <name val="Arial Narrow"/>
      <family val="2"/>
    </font>
    <font>
      <i/>
      <sz val="8"/>
      <color theme="1"/>
      <name val="Book Antiqua"/>
      <family val="1"/>
      <scheme val="minor"/>
    </font>
    <font>
      <b/>
      <sz val="14"/>
      <color theme="1"/>
      <name val="Book Antiqua"/>
      <family val="1"/>
    </font>
    <font>
      <u/>
      <sz val="8"/>
      <color theme="10"/>
      <name val="Calibri"/>
      <family val="2"/>
    </font>
    <font>
      <b/>
      <sz val="8"/>
      <color theme="1"/>
      <name val="Book Antiqua"/>
      <family val="2"/>
      <scheme val="minor"/>
    </font>
    <font>
      <sz val="8"/>
      <color theme="1"/>
      <name val="Book Antiqua"/>
      <family val="2"/>
      <scheme val="minor"/>
    </font>
    <font>
      <u/>
      <sz val="8"/>
      <color theme="0" tint="-0.34998626667073579"/>
      <name val="Calibri"/>
      <family val="2"/>
    </font>
    <font>
      <sz val="8"/>
      <color theme="1"/>
      <name val="Book Antiqua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theme="0" tint="-4.9989318521683403E-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ook Antiqua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Book Antiqua"/>
      <family val="2"/>
      <scheme val="minor"/>
    </font>
    <font>
      <b/>
      <sz val="14"/>
      <color theme="0"/>
      <name val="Arial"/>
      <family val="2"/>
    </font>
    <font>
      <b/>
      <sz val="26"/>
      <color theme="0"/>
      <name val="Arial"/>
      <family val="2"/>
    </font>
    <font>
      <b/>
      <sz val="16"/>
      <color rgb="FF214F6B"/>
      <name val="Calibri"/>
      <family val="2"/>
    </font>
    <font>
      <sz val="11"/>
      <color rgb="FF214F6B"/>
      <name val="Calibri"/>
      <family val="2"/>
    </font>
    <font>
      <b/>
      <sz val="14"/>
      <color rgb="FF214F6B"/>
      <name val="Book Antiqua"/>
      <family val="1"/>
    </font>
    <font>
      <sz val="9"/>
      <color theme="0"/>
      <name val="Book Antiqua"/>
      <family val="2"/>
      <scheme val="minor"/>
    </font>
    <font>
      <sz val="8"/>
      <color theme="0"/>
      <name val="Book Antiqua"/>
      <family val="2"/>
      <scheme val="minor"/>
    </font>
    <font>
      <b/>
      <sz val="20"/>
      <color theme="0"/>
      <name val="Calibri"/>
      <family val="2"/>
    </font>
    <font>
      <b/>
      <sz val="16"/>
      <color theme="0"/>
      <name val="Calibri"/>
      <family val="2"/>
    </font>
    <font>
      <u/>
      <sz val="14"/>
      <color theme="0"/>
      <name val="Calibri"/>
      <family val="2"/>
    </font>
    <font>
      <b/>
      <sz val="14"/>
      <color theme="0"/>
      <name val="Calibri"/>
      <family val="2"/>
    </font>
    <font>
      <b/>
      <sz val="8"/>
      <color theme="0"/>
      <name val="Calibri"/>
      <family val="2"/>
    </font>
    <font>
      <b/>
      <sz val="8"/>
      <color theme="0"/>
      <name val="Book Antiqua"/>
      <family val="1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8"/>
      <color theme="0"/>
      <name val="Book Antiqua"/>
      <family val="1"/>
    </font>
    <font>
      <sz val="20"/>
      <color theme="0"/>
      <name val="Book Antiqua"/>
      <family val="2"/>
      <scheme val="minor"/>
    </font>
    <font>
      <sz val="20"/>
      <color theme="0"/>
      <name val="Calibri"/>
      <family val="2"/>
    </font>
    <font>
      <u/>
      <sz val="20"/>
      <color theme="0"/>
      <name val="Calibri"/>
      <family val="2"/>
    </font>
    <font>
      <b/>
      <u/>
      <sz val="11"/>
      <color theme="10"/>
      <name val="Calibri"/>
      <family val="2"/>
    </font>
    <font>
      <b/>
      <sz val="22"/>
      <color rgb="FF214F6B"/>
      <name val="Gotham Black"/>
      <family val="3"/>
    </font>
    <font>
      <b/>
      <sz val="24"/>
      <color rgb="FF214F6B"/>
      <name val="Gotham Black"/>
      <family val="3"/>
    </font>
    <font>
      <sz val="14"/>
      <color rgb="FF214F6B"/>
      <name val="Calibri"/>
      <family val="2"/>
    </font>
    <font>
      <sz val="16"/>
      <color rgb="FF214F6B"/>
      <name val="Calibri"/>
      <family val="2"/>
    </font>
    <font>
      <sz val="12"/>
      <color rgb="FF214F6B"/>
      <name val="Calibri"/>
      <family val="2"/>
    </font>
    <font>
      <b/>
      <sz val="22"/>
      <color theme="0"/>
      <name val="Calibri"/>
      <family val="2"/>
    </font>
    <font>
      <sz val="12"/>
      <color theme="0"/>
      <name val="Calibri"/>
      <family val="2"/>
    </font>
    <font>
      <u/>
      <sz val="10"/>
      <color theme="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4F0EE"/>
        <bgColor indexed="64"/>
      </patternFill>
    </fill>
    <fill>
      <patternFill patternType="solid">
        <fgColor rgb="FF214F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214F6B"/>
      </left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thin">
        <color rgb="FF214F6B"/>
      </left>
      <right/>
      <top/>
      <bottom/>
      <diagonal/>
    </border>
    <border>
      <left style="thin">
        <color rgb="FF214F6B"/>
      </left>
      <right style="double">
        <color indexed="64"/>
      </right>
      <top style="thin">
        <color rgb="FF214F6B"/>
      </top>
      <bottom style="thin">
        <color rgb="FF214F6B"/>
      </bottom>
      <diagonal/>
    </border>
    <border>
      <left style="double">
        <color indexed="64"/>
      </left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thin">
        <color rgb="FF214F6B"/>
      </left>
      <right/>
      <top style="thin">
        <color rgb="FF214F6B"/>
      </top>
      <bottom style="thin">
        <color rgb="FF214F6B"/>
      </bottom>
      <diagonal/>
    </border>
    <border>
      <left/>
      <right/>
      <top style="thin">
        <color rgb="FF214F6B"/>
      </top>
      <bottom style="thin">
        <color rgb="FF214F6B"/>
      </bottom>
      <diagonal/>
    </border>
    <border>
      <left/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5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3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2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14" fontId="28" fillId="0" borderId="0" applyFont="0" applyFill="0" applyBorder="0" applyAlignment="0" applyProtection="0"/>
    <xf numFmtId="20" fontId="28" fillId="0" borderId="0" applyFont="0" applyFill="0" applyBorder="0" applyAlignment="0" applyProtection="0"/>
    <xf numFmtId="22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9" fontId="28" fillId="0" borderId="0" applyFont="0" applyFill="0" applyBorder="0" applyAlignment="0" applyProtection="0"/>
    <xf numFmtId="18" fontId="28" fillId="0" borderId="0" applyFont="0" applyFill="0" applyBorder="0" applyAlignment="0" applyProtection="0"/>
    <xf numFmtId="0" fontId="28" fillId="0" borderId="0" applyNumberFormat="0" applyFont="0" applyFill="0" applyBorder="0" applyProtection="0">
      <alignment horizontal="left" vertical="center"/>
    </xf>
    <xf numFmtId="0" fontId="28" fillId="0" borderId="0" applyNumberFormat="0" applyFont="0" applyFill="0" applyBorder="0" applyProtection="0">
      <alignment horizontal="left" vertical="center"/>
    </xf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30" fillId="0" borderId="0"/>
    <xf numFmtId="4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3" fillId="0" borderId="0"/>
    <xf numFmtId="44" fontId="3" fillId="0" borderId="0" applyFont="0" applyFill="0" applyBorder="0" applyAlignment="0" applyProtection="0"/>
    <xf numFmtId="0" fontId="53" fillId="0" borderId="0"/>
    <xf numFmtId="0" fontId="53" fillId="0" borderId="0"/>
    <xf numFmtId="0" fontId="33" fillId="0" borderId="0"/>
    <xf numFmtId="0" fontId="68" fillId="0" borderId="0"/>
    <xf numFmtId="0" fontId="33" fillId="0" borderId="0"/>
    <xf numFmtId="0" fontId="83" fillId="0" borderId="0"/>
  </cellStyleXfs>
  <cellXfs count="433">
    <xf numFmtId="0" fontId="0" fillId="0" borderId="0" xfId="0"/>
    <xf numFmtId="2" fontId="0" fillId="0" borderId="0" xfId="0" applyNumberFormat="1"/>
    <xf numFmtId="1" fontId="0" fillId="0" borderId="0" xfId="0" applyNumberFormat="1"/>
    <xf numFmtId="169" fontId="0" fillId="0" borderId="0" xfId="1" applyNumberFormat="1" applyFont="1"/>
    <xf numFmtId="9" fontId="0" fillId="0" borderId="0" xfId="3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18" xfId="0" applyFont="1" applyBorder="1"/>
    <xf numFmtId="0" fontId="35" fillId="0" borderId="20" xfId="0" applyFont="1" applyBorder="1"/>
    <xf numFmtId="3" fontId="35" fillId="0" borderId="21" xfId="0" applyNumberFormat="1" applyFont="1" applyBorder="1"/>
    <xf numFmtId="3" fontId="34" fillId="0" borderId="21" xfId="0" applyNumberFormat="1" applyFont="1" applyBorder="1"/>
    <xf numFmtId="4" fontId="35" fillId="0" borderId="21" xfId="0" applyNumberFormat="1" applyFont="1" applyBorder="1"/>
    <xf numFmtId="0" fontId="35" fillId="0" borderId="21" xfId="0" applyFont="1" applyBorder="1"/>
    <xf numFmtId="0" fontId="39" fillId="0" borderId="20" xfId="0" applyFont="1" applyBorder="1"/>
    <xf numFmtId="164" fontId="35" fillId="0" borderId="21" xfId="0" applyNumberFormat="1" applyFont="1" applyBorder="1"/>
    <xf numFmtId="0" fontId="35" fillId="0" borderId="22" xfId="0" applyFont="1" applyBorder="1"/>
    <xf numFmtId="0" fontId="29" fillId="33" borderId="13" xfId="45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9" fontId="29" fillId="33" borderId="13" xfId="1" applyNumberFormat="1" applyFont="1" applyFill="1" applyBorder="1" applyAlignment="1">
      <alignment horizontal="center" wrapText="1"/>
    </xf>
    <xf numFmtId="0" fontId="29" fillId="33" borderId="13" xfId="45" applyFont="1" applyFill="1" applyBorder="1" applyAlignment="1">
      <alignment horizontal="center"/>
    </xf>
    <xf numFmtId="2" fontId="29" fillId="33" borderId="13" xfId="1" applyNumberFormat="1" applyFont="1" applyFill="1" applyBorder="1" applyAlignment="1">
      <alignment horizontal="center" wrapText="1"/>
    </xf>
    <xf numFmtId="2" fontId="29" fillId="33" borderId="13" xfId="45" applyNumberFormat="1" applyFont="1" applyFill="1" applyBorder="1" applyAlignment="1">
      <alignment horizontal="center" wrapText="1"/>
    </xf>
    <xf numFmtId="9" fontId="29" fillId="33" borderId="13" xfId="3" applyFont="1" applyFill="1" applyBorder="1" applyAlignment="1">
      <alignment horizontal="center" wrapText="1"/>
    </xf>
    <xf numFmtId="2" fontId="29" fillId="34" borderId="13" xfId="1" applyNumberFormat="1" applyFont="1" applyFill="1" applyBorder="1" applyAlignment="1">
      <alignment horizontal="center" wrapText="1"/>
    </xf>
    <xf numFmtId="1" fontId="29" fillId="33" borderId="13" xfId="45" applyNumberFormat="1" applyFont="1" applyFill="1" applyBorder="1" applyAlignment="1">
      <alignment horizontal="center" wrapText="1"/>
    </xf>
    <xf numFmtId="0" fontId="29" fillId="33" borderId="2" xfId="45" applyFont="1" applyFill="1" applyBorder="1" applyAlignment="1">
      <alignment horizontal="center" wrapText="1"/>
    </xf>
    <xf numFmtId="1" fontId="29" fillId="33" borderId="2" xfId="45" applyNumberFormat="1" applyFont="1" applyFill="1" applyBorder="1" applyAlignment="1">
      <alignment horizontal="center" wrapText="1"/>
    </xf>
    <xf numFmtId="0" fontId="54" fillId="35" borderId="24" xfId="69" applyFont="1" applyFill="1" applyBorder="1" applyAlignment="1">
      <alignment horizontal="center"/>
    </xf>
    <xf numFmtId="0" fontId="54" fillId="0" borderId="14" xfId="69" applyFont="1" applyBorder="1" applyAlignment="1">
      <alignment wrapText="1"/>
    </xf>
    <xf numFmtId="1" fontId="54" fillId="0" borderId="14" xfId="69" applyNumberFormat="1" applyFont="1" applyBorder="1" applyAlignment="1">
      <alignment horizontal="right" wrapText="1"/>
    </xf>
    <xf numFmtId="164" fontId="54" fillId="0" borderId="14" xfId="69" applyNumberFormat="1" applyFont="1" applyBorder="1" applyAlignment="1">
      <alignment horizontal="right" wrapText="1"/>
    </xf>
    <xf numFmtId="0" fontId="53" fillId="0" borderId="0" xfId="69"/>
    <xf numFmtId="0" fontId="54" fillId="0" borderId="14" xfId="69" applyFont="1" applyBorder="1" applyAlignment="1">
      <alignment horizontal="center" wrapText="1"/>
    </xf>
    <xf numFmtId="0" fontId="54" fillId="35" borderId="25" xfId="69" applyFont="1" applyFill="1" applyBorder="1" applyAlignment="1">
      <alignment horizontal="center"/>
    </xf>
    <xf numFmtId="2" fontId="54" fillId="0" borderId="14" xfId="69" applyNumberFormat="1" applyFont="1" applyBorder="1" applyAlignment="1">
      <alignment horizontal="right" wrapText="1"/>
    </xf>
    <xf numFmtId="1" fontId="54" fillId="0" borderId="14" xfId="69" applyNumberFormat="1" applyFont="1" applyBorder="1" applyAlignment="1">
      <alignment horizontal="center" wrapText="1"/>
    </xf>
    <xf numFmtId="172" fontId="54" fillId="0" borderId="14" xfId="69" applyNumberFormat="1" applyFont="1" applyBorder="1" applyAlignment="1">
      <alignment horizontal="right" wrapText="1"/>
    </xf>
    <xf numFmtId="0" fontId="54" fillId="35" borderId="24" xfId="70" applyFont="1" applyFill="1" applyBorder="1" applyAlignment="1">
      <alignment horizontal="center"/>
    </xf>
    <xf numFmtId="0" fontId="54" fillId="0" borderId="14" xfId="70" applyFont="1" applyBorder="1"/>
    <xf numFmtId="1" fontId="54" fillId="0" borderId="14" xfId="70" applyNumberFormat="1" applyFont="1" applyBorder="1" applyAlignment="1">
      <alignment horizontal="right"/>
    </xf>
    <xf numFmtId="0" fontId="0" fillId="0" borderId="0" xfId="0" pivotButton="1"/>
    <xf numFmtId="1" fontId="0" fillId="0" borderId="0" xfId="0" applyNumberFormat="1" applyAlignment="1">
      <alignment horizontal="left"/>
    </xf>
    <xf numFmtId="2" fontId="54" fillId="35" borderId="25" xfId="69" applyNumberFormat="1" applyFont="1" applyFill="1" applyBorder="1" applyAlignment="1">
      <alignment horizontal="center"/>
    </xf>
    <xf numFmtId="0" fontId="32" fillId="35" borderId="25" xfId="69" applyFont="1" applyFill="1" applyBorder="1" applyAlignment="1">
      <alignment horizontal="center"/>
    </xf>
    <xf numFmtId="170" fontId="0" fillId="0" borderId="0" xfId="0" applyNumberFormat="1"/>
    <xf numFmtId="170" fontId="0" fillId="0" borderId="0" xfId="68" applyNumberFormat="1" applyFont="1"/>
    <xf numFmtId="169" fontId="54" fillId="0" borderId="14" xfId="1" applyNumberFormat="1" applyFont="1" applyBorder="1" applyAlignment="1">
      <alignment horizontal="right" wrapText="1"/>
    </xf>
    <xf numFmtId="43" fontId="29" fillId="33" borderId="13" xfId="1" applyFont="1" applyFill="1" applyBorder="1" applyAlignment="1">
      <alignment horizontal="center" wrapText="1"/>
    </xf>
    <xf numFmtId="43" fontId="0" fillId="0" borderId="0" xfId="1" applyFont="1"/>
    <xf numFmtId="169" fontId="54" fillId="35" borderId="24" xfId="1" applyNumberFormat="1" applyFont="1" applyFill="1" applyBorder="1" applyAlignment="1">
      <alignment horizontal="center"/>
    </xf>
    <xf numFmtId="2" fontId="32" fillId="35" borderId="25" xfId="69" applyNumberFormat="1" applyFont="1" applyFill="1" applyBorder="1" applyAlignment="1">
      <alignment horizontal="center"/>
    </xf>
    <xf numFmtId="171" fontId="0" fillId="0" borderId="0" xfId="0" applyNumberFormat="1"/>
    <xf numFmtId="169" fontId="32" fillId="35" borderId="25" xfId="1" applyNumberFormat="1" applyFont="1" applyFill="1" applyBorder="1" applyAlignment="1">
      <alignment horizontal="center"/>
    </xf>
    <xf numFmtId="169" fontId="0" fillId="0" borderId="0" xfId="0" applyNumberFormat="1"/>
    <xf numFmtId="43" fontId="0" fillId="0" borderId="0" xfId="0" applyNumberFormat="1"/>
    <xf numFmtId="43" fontId="32" fillId="35" borderId="25" xfId="1" applyFont="1" applyFill="1" applyBorder="1" applyAlignment="1">
      <alignment horizontal="center"/>
    </xf>
    <xf numFmtId="169" fontId="29" fillId="33" borderId="13" xfId="45" applyNumberFormat="1" applyFont="1" applyFill="1" applyBorder="1" applyAlignment="1">
      <alignment horizontal="center" wrapText="1"/>
    </xf>
    <xf numFmtId="169" fontId="54" fillId="35" borderId="24" xfId="69" applyNumberFormat="1" applyFont="1" applyFill="1" applyBorder="1" applyAlignment="1">
      <alignment horizontal="center"/>
    </xf>
    <xf numFmtId="169" fontId="54" fillId="0" borderId="14" xfId="69" applyNumberFormat="1" applyFont="1" applyBorder="1" applyAlignment="1">
      <alignment horizontal="right" wrapText="1"/>
    </xf>
    <xf numFmtId="169" fontId="53" fillId="0" borderId="0" xfId="1" applyNumberFormat="1" applyFont="1"/>
    <xf numFmtId="3" fontId="35" fillId="0" borderId="23" xfId="0" applyNumberFormat="1" applyFont="1" applyBorder="1"/>
    <xf numFmtId="169" fontId="35" fillId="0" borderId="21" xfId="1" applyNumberFormat="1" applyFont="1" applyBorder="1"/>
    <xf numFmtId="43" fontId="35" fillId="0" borderId="21" xfId="1" applyFont="1" applyBorder="1"/>
    <xf numFmtId="169" fontId="35" fillId="0" borderId="23" xfId="1" applyNumberFormat="1" applyFont="1" applyBorder="1"/>
    <xf numFmtId="164" fontId="34" fillId="0" borderId="21" xfId="0" applyNumberFormat="1" applyFont="1" applyBorder="1"/>
    <xf numFmtId="170" fontId="35" fillId="0" borderId="21" xfId="1" applyNumberFormat="1" applyFont="1" applyBorder="1"/>
    <xf numFmtId="164" fontId="35" fillId="0" borderId="23" xfId="0" applyNumberFormat="1" applyFont="1" applyBorder="1"/>
    <xf numFmtId="4" fontId="35" fillId="0" borderId="23" xfId="0" applyNumberFormat="1" applyFont="1" applyBorder="1"/>
    <xf numFmtId="170" fontId="35" fillId="0" borderId="21" xfId="0" applyNumberFormat="1" applyFont="1" applyBorder="1"/>
    <xf numFmtId="9" fontId="35" fillId="0" borderId="21" xfId="3" applyFont="1" applyBorder="1"/>
    <xf numFmtId="0" fontId="35" fillId="0" borderId="21" xfId="0" applyFont="1" applyBorder="1" applyAlignment="1">
      <alignment horizontal="right"/>
    </xf>
    <xf numFmtId="0" fontId="35" fillId="0" borderId="23" xfId="0" applyFont="1" applyBorder="1"/>
    <xf numFmtId="3" fontId="35" fillId="0" borderId="21" xfId="0" applyNumberFormat="1" applyFont="1" applyBorder="1" applyAlignment="1">
      <alignment horizontal="right"/>
    </xf>
    <xf numFmtId="169" fontId="35" fillId="0" borderId="21" xfId="1" applyNumberFormat="1" applyFont="1" applyBorder="1" applyAlignment="1">
      <alignment horizontal="right"/>
    </xf>
    <xf numFmtId="169" fontId="67" fillId="0" borderId="14" xfId="1" applyNumberFormat="1" applyFont="1" applyBorder="1" applyAlignment="1">
      <alignment horizontal="right" wrapText="1"/>
    </xf>
    <xf numFmtId="0" fontId="67" fillId="35" borderId="24" xfId="67" applyFont="1" applyFill="1" applyBorder="1" applyAlignment="1">
      <alignment horizontal="center"/>
    </xf>
    <xf numFmtId="1" fontId="67" fillId="0" borderId="14" xfId="67" applyNumberFormat="1" applyFont="1" applyBorder="1" applyAlignment="1">
      <alignment horizontal="right" wrapText="1"/>
    </xf>
    <xf numFmtId="3" fontId="67" fillId="0" borderId="14" xfId="67" applyNumberFormat="1" applyFont="1" applyBorder="1" applyAlignment="1">
      <alignment horizontal="right" wrapText="1"/>
    </xf>
    <xf numFmtId="169" fontId="70" fillId="33" borderId="13" xfId="1" applyNumberFormat="1" applyFont="1" applyFill="1" applyBorder="1" applyAlignment="1">
      <alignment horizontal="center" wrapText="1"/>
    </xf>
    <xf numFmtId="2" fontId="70" fillId="33" borderId="13" xfId="1" applyNumberFormat="1" applyFont="1" applyFill="1" applyBorder="1" applyAlignment="1">
      <alignment horizontal="center" wrapText="1"/>
    </xf>
    <xf numFmtId="169" fontId="71" fillId="0" borderId="0" xfId="1" applyNumberFormat="1" applyFont="1"/>
    <xf numFmtId="2" fontId="71" fillId="0" borderId="0" xfId="1" applyNumberFormat="1" applyFont="1"/>
    <xf numFmtId="169" fontId="70" fillId="33" borderId="13" xfId="1" applyNumberFormat="1" applyFont="1" applyFill="1" applyBorder="1" applyAlignment="1">
      <alignment horizontal="left" wrapText="1"/>
    </xf>
    <xf numFmtId="2" fontId="70" fillId="33" borderId="13" xfId="1" applyNumberFormat="1" applyFont="1" applyFill="1" applyBorder="1" applyAlignment="1">
      <alignment horizontal="left" wrapText="1"/>
    </xf>
    <xf numFmtId="0" fontId="67" fillId="35" borderId="24" xfId="73" applyFont="1" applyFill="1" applyBorder="1" applyAlignment="1">
      <alignment horizontal="center"/>
    </xf>
    <xf numFmtId="3" fontId="67" fillId="0" borderId="14" xfId="73" applyNumberFormat="1" applyFont="1" applyBorder="1" applyAlignment="1">
      <alignment horizontal="right" wrapText="1"/>
    </xf>
    <xf numFmtId="0" fontId="33" fillId="0" borderId="0" xfId="73"/>
    <xf numFmtId="3" fontId="67" fillId="0" borderId="14" xfId="73" applyNumberFormat="1" applyFont="1" applyBorder="1" applyAlignment="1">
      <alignment horizontal="left" wrapText="1"/>
    </xf>
    <xf numFmtId="3" fontId="43" fillId="0" borderId="0" xfId="0" applyNumberFormat="1" applyFont="1" applyAlignment="1">
      <alignment horizontal="right" wrapText="1"/>
    </xf>
    <xf numFmtId="3" fontId="43" fillId="0" borderId="0" xfId="0" pivotButton="1" applyNumberFormat="1" applyFont="1" applyAlignment="1">
      <alignment horizontal="right" wrapText="1"/>
    </xf>
    <xf numFmtId="3" fontId="43" fillId="0" borderId="0" xfId="0" applyNumberFormat="1" applyFont="1" applyAlignment="1">
      <alignment horizontal="left" wrapText="1"/>
    </xf>
    <xf numFmtId="3" fontId="43" fillId="0" borderId="0" xfId="0" pivotButton="1" applyNumberFormat="1" applyFont="1" applyAlignment="1">
      <alignment horizontal="left" wrapText="1"/>
    </xf>
    <xf numFmtId="169" fontId="70" fillId="33" borderId="29" xfId="1" applyNumberFormat="1" applyFont="1" applyFill="1" applyBorder="1" applyAlignment="1">
      <alignment horizontal="center" wrapText="1"/>
    </xf>
    <xf numFmtId="2" fontId="70" fillId="33" borderId="29" xfId="1" applyNumberFormat="1" applyFont="1" applyFill="1" applyBorder="1" applyAlignment="1">
      <alignment horizontal="center" wrapText="1"/>
    </xf>
    <xf numFmtId="169" fontId="67" fillId="0" borderId="30" xfId="1" applyNumberFormat="1" applyFont="1" applyBorder="1" applyAlignment="1">
      <alignment horizontal="right" wrapText="1"/>
    </xf>
    <xf numFmtId="169" fontId="72" fillId="0" borderId="14" xfId="1" applyNumberFormat="1" applyFont="1" applyBorder="1" applyAlignment="1">
      <alignment horizontal="right" wrapText="1"/>
    </xf>
    <xf numFmtId="164" fontId="72" fillId="0" borderId="14" xfId="71" applyNumberFormat="1" applyFont="1" applyBorder="1" applyAlignment="1">
      <alignment horizontal="right" wrapText="1"/>
    </xf>
    <xf numFmtId="0" fontId="72" fillId="0" borderId="14" xfId="71" applyFont="1" applyBorder="1" applyAlignment="1">
      <alignment horizontal="center" wrapText="1"/>
    </xf>
    <xf numFmtId="0" fontId="72" fillId="0" borderId="14" xfId="72" applyFont="1" applyBorder="1" applyAlignment="1">
      <alignment horizontal="center" wrapText="1"/>
    </xf>
    <xf numFmtId="0" fontId="72" fillId="0" borderId="14" xfId="72" applyFont="1" applyBorder="1"/>
    <xf numFmtId="0" fontId="72" fillId="0" borderId="14" xfId="72" applyFont="1" applyBorder="1" applyAlignment="1">
      <alignment wrapText="1"/>
    </xf>
    <xf numFmtId="0" fontId="72" fillId="0" borderId="14" xfId="72" applyFont="1" applyBorder="1" applyAlignment="1">
      <alignment horizontal="center"/>
    </xf>
    <xf numFmtId="43" fontId="72" fillId="0" borderId="14" xfId="1" applyFont="1" applyBorder="1" applyAlignment="1">
      <alignment horizontal="right" wrapText="1"/>
    </xf>
    <xf numFmtId="164" fontId="72" fillId="0" borderId="14" xfId="1" applyNumberFormat="1" applyFont="1" applyBorder="1" applyAlignment="1">
      <alignment horizontal="right" wrapText="1"/>
    </xf>
    <xf numFmtId="0" fontId="70" fillId="33" borderId="29" xfId="45" applyFont="1" applyFill="1" applyBorder="1" applyAlignment="1">
      <alignment horizontal="center"/>
    </xf>
    <xf numFmtId="0" fontId="70" fillId="33" borderId="29" xfId="45" applyFont="1" applyFill="1" applyBorder="1" applyAlignment="1">
      <alignment horizontal="center" wrapText="1"/>
    </xf>
    <xf numFmtId="2" fontId="70" fillId="33" borderId="29" xfId="45" applyNumberFormat="1" applyFont="1" applyFill="1" applyBorder="1" applyAlignment="1">
      <alignment horizontal="center" wrapText="1"/>
    </xf>
    <xf numFmtId="10" fontId="70" fillId="33" borderId="29" xfId="3" applyNumberFormat="1" applyFont="1" applyFill="1" applyBorder="1" applyAlignment="1">
      <alignment horizontal="center" wrapText="1"/>
    </xf>
    <xf numFmtId="2" fontId="70" fillId="34" borderId="29" xfId="1" applyNumberFormat="1" applyFont="1" applyFill="1" applyBorder="1" applyAlignment="1">
      <alignment horizontal="center" wrapText="1"/>
    </xf>
    <xf numFmtId="169" fontId="70" fillId="33" borderId="2" xfId="1" applyNumberFormat="1" applyFont="1" applyFill="1" applyBorder="1" applyAlignment="1">
      <alignment horizontal="center" wrapText="1"/>
    </xf>
    <xf numFmtId="0" fontId="70" fillId="33" borderId="2" xfId="45" applyFont="1" applyFill="1" applyBorder="1" applyAlignment="1">
      <alignment horizontal="center" wrapText="1"/>
    </xf>
    <xf numFmtId="43" fontId="70" fillId="33" borderId="29" xfId="1" applyFont="1" applyFill="1" applyBorder="1" applyAlignment="1">
      <alignment horizontal="center" wrapText="1"/>
    </xf>
    <xf numFmtId="0" fontId="71" fillId="0" borderId="0" xfId="59" applyFont="1">
      <alignment horizontal="left" vertical="center"/>
    </xf>
    <xf numFmtId="164" fontId="71" fillId="0" borderId="0" xfId="45" applyNumberFormat="1" applyFont="1"/>
    <xf numFmtId="170" fontId="70" fillId="0" borderId="0" xfId="45" applyNumberFormat="1" applyFont="1"/>
    <xf numFmtId="10" fontId="70" fillId="0" borderId="0" xfId="3" applyNumberFormat="1" applyFont="1"/>
    <xf numFmtId="2" fontId="70" fillId="0" borderId="0" xfId="48" applyNumberFormat="1" applyFont="1"/>
    <xf numFmtId="43" fontId="70" fillId="0" borderId="0" xfId="1" applyFont="1"/>
    <xf numFmtId="164" fontId="70" fillId="0" borderId="0" xfId="48" applyNumberFormat="1" applyFont="1"/>
    <xf numFmtId="169" fontId="70" fillId="0" borderId="0" xfId="1" applyNumberFormat="1" applyFont="1"/>
    <xf numFmtId="169" fontId="71" fillId="0" borderId="0" xfId="1" applyNumberFormat="1" applyFont="1" applyAlignment="1">
      <alignment wrapText="1"/>
    </xf>
    <xf numFmtId="2" fontId="71" fillId="0" borderId="0" xfId="45" applyNumberFormat="1" applyFont="1"/>
    <xf numFmtId="10" fontId="71" fillId="0" borderId="0" xfId="3" applyNumberFormat="1" applyFont="1"/>
    <xf numFmtId="2" fontId="71" fillId="0" borderId="0" xfId="48" applyNumberFormat="1" applyFont="1"/>
    <xf numFmtId="169" fontId="71" fillId="0" borderId="0" xfId="1" applyNumberFormat="1" applyFont="1" applyAlignment="1">
      <alignment horizontal="right" vertical="center"/>
    </xf>
    <xf numFmtId="2" fontId="71" fillId="0" borderId="0" xfId="1" applyNumberFormat="1" applyFont="1" applyAlignment="1">
      <alignment horizontal="left" vertical="center"/>
    </xf>
    <xf numFmtId="0" fontId="71" fillId="0" borderId="0" xfId="59" applyFont="1" applyAlignment="1">
      <alignment horizontal="center" vertical="center"/>
    </xf>
    <xf numFmtId="169" fontId="71" fillId="0" borderId="0" xfId="1" applyNumberFormat="1" applyFont="1" applyAlignment="1">
      <alignment horizontal="left" vertical="center"/>
    </xf>
    <xf numFmtId="14" fontId="71" fillId="0" borderId="0" xfId="52" applyFont="1"/>
    <xf numFmtId="169" fontId="70" fillId="33" borderId="26" xfId="1" applyNumberFormat="1" applyFont="1" applyFill="1" applyBorder="1" applyAlignment="1">
      <alignment horizontal="left"/>
    </xf>
    <xf numFmtId="169" fontId="70" fillId="33" borderId="27" xfId="1" applyNumberFormat="1" applyFont="1" applyFill="1" applyBorder="1" applyAlignment="1">
      <alignment horizontal="left"/>
    </xf>
    <xf numFmtId="169" fontId="70" fillId="33" borderId="28" xfId="1" applyNumberFormat="1" applyFont="1" applyFill="1" applyBorder="1" applyAlignment="1">
      <alignment horizontal="left"/>
    </xf>
    <xf numFmtId="0" fontId="70" fillId="33" borderId="13" xfId="45" applyFont="1" applyFill="1" applyBorder="1" applyAlignment="1">
      <alignment horizontal="center"/>
    </xf>
    <xf numFmtId="0" fontId="70" fillId="33" borderId="13" xfId="45" applyFont="1" applyFill="1" applyBorder="1" applyAlignment="1">
      <alignment horizontal="center" wrapText="1"/>
    </xf>
    <xf numFmtId="2" fontId="70" fillId="33" borderId="13" xfId="45" applyNumberFormat="1" applyFont="1" applyFill="1" applyBorder="1" applyAlignment="1">
      <alignment horizontal="center" wrapText="1"/>
    </xf>
    <xf numFmtId="10" fontId="70" fillId="33" borderId="13" xfId="3" applyNumberFormat="1" applyFont="1" applyFill="1" applyBorder="1" applyAlignment="1">
      <alignment horizontal="center" wrapText="1"/>
    </xf>
    <xf numFmtId="2" fontId="70" fillId="34" borderId="13" xfId="1" applyNumberFormat="1" applyFont="1" applyFill="1" applyBorder="1" applyAlignment="1">
      <alignment horizontal="center" wrapText="1"/>
    </xf>
    <xf numFmtId="43" fontId="70" fillId="33" borderId="13" xfId="1" applyFont="1" applyFill="1" applyBorder="1" applyAlignment="1">
      <alignment horizontal="center" wrapText="1"/>
    </xf>
    <xf numFmtId="0" fontId="70" fillId="0" borderId="0" xfId="0" applyFont="1" applyAlignment="1">
      <alignment horizontal="right"/>
    </xf>
    <xf numFmtId="0" fontId="73" fillId="0" borderId="1" xfId="0" applyFont="1" applyBorder="1" applyAlignment="1">
      <alignment horizontal="right" vertical="center"/>
    </xf>
    <xf numFmtId="169" fontId="70" fillId="33" borderId="13" xfId="1" applyNumberFormat="1" applyFont="1" applyFill="1" applyBorder="1" applyAlignment="1">
      <alignment horizontal="left"/>
    </xf>
    <xf numFmtId="0" fontId="70" fillId="33" borderId="13" xfId="45" applyFont="1" applyFill="1" applyBorder="1" applyAlignment="1">
      <alignment horizontal="left" wrapText="1"/>
    </xf>
    <xf numFmtId="2" fontId="70" fillId="33" borderId="13" xfId="45" applyNumberFormat="1" applyFont="1" applyFill="1" applyBorder="1" applyAlignment="1">
      <alignment horizontal="left" wrapText="1"/>
    </xf>
    <xf numFmtId="10" fontId="70" fillId="33" borderId="13" xfId="3" applyNumberFormat="1" applyFont="1" applyFill="1" applyBorder="1" applyAlignment="1">
      <alignment horizontal="left" wrapText="1"/>
    </xf>
    <xf numFmtId="170" fontId="70" fillId="33" borderId="13" xfId="45" applyNumberFormat="1" applyFont="1" applyFill="1" applyBorder="1" applyAlignment="1">
      <alignment horizontal="left" wrapText="1"/>
    </xf>
    <xf numFmtId="169" fontId="70" fillId="33" borderId="13" xfId="1" applyNumberFormat="1" applyFont="1" applyFill="1" applyBorder="1" applyAlignment="1">
      <alignment horizontal="right" wrapText="1"/>
    </xf>
    <xf numFmtId="2" fontId="70" fillId="34" borderId="13" xfId="1" applyNumberFormat="1" applyFont="1" applyFill="1" applyBorder="1" applyAlignment="1">
      <alignment horizontal="left" wrapText="1"/>
    </xf>
    <xf numFmtId="0" fontId="70" fillId="33" borderId="13" xfId="45" applyFont="1" applyFill="1" applyBorder="1" applyAlignment="1">
      <alignment horizontal="left"/>
    </xf>
    <xf numFmtId="43" fontId="70" fillId="33" borderId="13" xfId="45" applyNumberFormat="1" applyFont="1" applyFill="1" applyBorder="1" applyAlignment="1">
      <alignment horizontal="left" wrapText="1"/>
    </xf>
    <xf numFmtId="0" fontId="41" fillId="0" borderId="0" xfId="0" applyFont="1" applyAlignment="1">
      <alignment horizontal="center"/>
    </xf>
    <xf numFmtId="169" fontId="41" fillId="0" borderId="0" xfId="1" applyNumberFormat="1" applyFont="1"/>
    <xf numFmtId="2" fontId="41" fillId="0" borderId="0" xfId="0" applyNumberFormat="1" applyFont="1"/>
    <xf numFmtId="170" fontId="41" fillId="0" borderId="0" xfId="0" applyNumberFormat="1" applyFont="1"/>
    <xf numFmtId="10" fontId="41" fillId="0" borderId="0" xfId="3" applyNumberFormat="1" applyFont="1"/>
    <xf numFmtId="170" fontId="41" fillId="0" borderId="0" xfId="68" applyNumberFormat="1" applyFont="1"/>
    <xf numFmtId="169" fontId="67" fillId="0" borderId="30" xfId="1" applyNumberFormat="1" applyFont="1" applyBorder="1" applyAlignment="1">
      <alignment horizontal="right"/>
    </xf>
    <xf numFmtId="0" fontId="41" fillId="0" borderId="0" xfId="0" applyFont="1"/>
    <xf numFmtId="164" fontId="67" fillId="0" borderId="14" xfId="69" applyNumberFormat="1" applyFont="1" applyBorder="1" applyAlignment="1">
      <alignment horizontal="right"/>
    </xf>
    <xf numFmtId="169" fontId="67" fillId="0" borderId="14" xfId="1" applyNumberFormat="1" applyFont="1" applyBorder="1" applyAlignment="1">
      <alignment horizontal="right"/>
    </xf>
    <xf numFmtId="170" fontId="74" fillId="0" borderId="0" xfId="0" applyNumberFormat="1" applyFont="1"/>
    <xf numFmtId="0" fontId="74" fillId="0" borderId="0" xfId="0" applyFont="1"/>
    <xf numFmtId="0" fontId="67" fillId="0" borderId="0" xfId="67" applyFont="1" applyAlignment="1">
      <alignment horizontal="center" wrapText="1"/>
    </xf>
    <xf numFmtId="1" fontId="41" fillId="0" borderId="0" xfId="0" applyNumberFormat="1" applyFont="1"/>
    <xf numFmtId="169" fontId="41" fillId="0" borderId="0" xfId="1" applyNumberFormat="1" applyFont="1" applyAlignment="1">
      <alignment wrapText="1"/>
    </xf>
    <xf numFmtId="2" fontId="41" fillId="0" borderId="0" xfId="1" applyNumberFormat="1" applyFont="1"/>
    <xf numFmtId="169" fontId="41" fillId="0" borderId="0" xfId="1" applyNumberFormat="1" applyFont="1" applyAlignment="1">
      <alignment horizontal="right"/>
    </xf>
    <xf numFmtId="0" fontId="41" fillId="0" borderId="0" xfId="0" applyFont="1" applyAlignment="1">
      <alignment horizontal="center" wrapText="1"/>
    </xf>
    <xf numFmtId="164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/>
    <xf numFmtId="3" fontId="41" fillId="0" borderId="0" xfId="0" applyNumberFormat="1" applyFont="1" applyAlignment="1">
      <alignment horizontal="center"/>
    </xf>
    <xf numFmtId="3" fontId="41" fillId="0" borderId="0" xfId="0" applyNumberFormat="1" applyFont="1" applyAlignment="1">
      <alignment horizontal="center" wrapText="1"/>
    </xf>
    <xf numFmtId="169" fontId="41" fillId="0" borderId="3" xfId="1" applyNumberFormat="1" applyFont="1" applyBorder="1"/>
    <xf numFmtId="164" fontId="41" fillId="0" borderId="3" xfId="0" applyNumberFormat="1" applyFont="1" applyBorder="1"/>
    <xf numFmtId="170" fontId="41" fillId="0" borderId="3" xfId="0" applyNumberFormat="1" applyFont="1" applyBorder="1"/>
    <xf numFmtId="10" fontId="41" fillId="0" borderId="3" xfId="0" applyNumberFormat="1" applyFont="1" applyBorder="1"/>
    <xf numFmtId="3" fontId="41" fillId="0" borderId="3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3" xfId="0" applyNumberFormat="1" applyFont="1" applyBorder="1" applyAlignment="1">
      <alignment horizontal="center" wrapText="1"/>
    </xf>
    <xf numFmtId="0" fontId="41" fillId="0" borderId="3" xfId="0" applyFont="1" applyBorder="1" applyAlignment="1">
      <alignment horizontal="center"/>
    </xf>
    <xf numFmtId="0" fontId="41" fillId="0" borderId="3" xfId="0" applyFont="1" applyBorder="1"/>
    <xf numFmtId="2" fontId="41" fillId="0" borderId="3" xfId="0" applyNumberFormat="1" applyFont="1" applyBorder="1"/>
    <xf numFmtId="1" fontId="41" fillId="0" borderId="0" xfId="0" applyNumberFormat="1" applyFont="1" applyAlignment="1">
      <alignment horizontal="center"/>
    </xf>
    <xf numFmtId="169" fontId="67" fillId="0" borderId="14" xfId="1" applyNumberFormat="1" applyFont="1" applyBorder="1"/>
    <xf numFmtId="4" fontId="41" fillId="0" borderId="0" xfId="0" applyNumberFormat="1" applyFont="1" applyAlignment="1">
      <alignment horizontal="center"/>
    </xf>
    <xf numFmtId="169" fontId="41" fillId="0" borderId="0" xfId="1" applyNumberFormat="1" applyFont="1" applyAlignment="1">
      <alignment horizontal="center"/>
    </xf>
    <xf numFmtId="169" fontId="41" fillId="0" borderId="0" xfId="1" applyNumberFormat="1" applyFont="1" applyAlignment="1">
      <alignment horizontal="center" wrapText="1"/>
    </xf>
    <xf numFmtId="2" fontId="41" fillId="0" borderId="0" xfId="1" applyNumberFormat="1" applyFont="1" applyAlignment="1">
      <alignment horizontal="right"/>
    </xf>
    <xf numFmtId="2" fontId="41" fillId="0" borderId="0" xfId="0" applyNumberFormat="1" applyFont="1" applyAlignment="1">
      <alignment horizontal="center"/>
    </xf>
    <xf numFmtId="2" fontId="41" fillId="0" borderId="0" xfId="1" applyNumberFormat="1" applyFont="1" applyAlignment="1">
      <alignment horizontal="center" wrapText="1"/>
    </xf>
    <xf numFmtId="1" fontId="75" fillId="0" borderId="0" xfId="0" applyNumberFormat="1" applyFont="1"/>
    <xf numFmtId="10" fontId="75" fillId="0" borderId="0" xfId="3" applyNumberFormat="1" applyFont="1"/>
    <xf numFmtId="170" fontId="75" fillId="0" borderId="0" xfId="0" applyNumberFormat="1" applyFont="1"/>
    <xf numFmtId="169" fontId="75" fillId="0" borderId="0" xfId="1" applyNumberFormat="1" applyFont="1"/>
    <xf numFmtId="1" fontId="75" fillId="0" borderId="0" xfId="0" applyNumberFormat="1" applyFont="1" applyAlignment="1">
      <alignment horizontal="center"/>
    </xf>
    <xf numFmtId="169" fontId="75" fillId="0" borderId="0" xfId="1" applyNumberFormat="1" applyFont="1" applyAlignment="1">
      <alignment horizontal="center"/>
    </xf>
    <xf numFmtId="1" fontId="75" fillId="0" borderId="0" xfId="1" applyNumberFormat="1" applyFont="1" applyAlignment="1">
      <alignment horizontal="center" wrapText="1"/>
    </xf>
    <xf numFmtId="164" fontId="41" fillId="0" borderId="0" xfId="1" applyNumberFormat="1" applyFont="1"/>
    <xf numFmtId="0" fontId="77" fillId="0" borderId="14" xfId="67" applyFont="1" applyBorder="1"/>
    <xf numFmtId="3" fontId="77" fillId="0" borderId="14" xfId="67" applyNumberFormat="1" applyFont="1" applyBorder="1" applyAlignment="1">
      <alignment horizontal="right"/>
    </xf>
    <xf numFmtId="2" fontId="72" fillId="0" borderId="14" xfId="1" applyNumberFormat="1" applyFont="1" applyBorder="1" applyAlignment="1">
      <alignment horizontal="right" wrapText="1"/>
    </xf>
    <xf numFmtId="2" fontId="75" fillId="0" borderId="0" xfId="1" applyNumberFormat="1" applyFont="1"/>
    <xf numFmtId="2" fontId="75" fillId="0" borderId="0" xfId="0" applyNumberFormat="1" applyFont="1"/>
    <xf numFmtId="170" fontId="70" fillId="33" borderId="29" xfId="45" applyNumberFormat="1" applyFont="1" applyFill="1" applyBorder="1" applyAlignment="1">
      <alignment horizontal="center" wrapText="1"/>
    </xf>
    <xf numFmtId="170" fontId="71" fillId="0" borderId="0" xfId="45" applyNumberFormat="1" applyFont="1"/>
    <xf numFmtId="170" fontId="70" fillId="33" borderId="13" xfId="45" applyNumberFormat="1" applyFont="1" applyFill="1" applyBorder="1" applyAlignment="1">
      <alignment horizontal="center" wrapText="1"/>
    </xf>
    <xf numFmtId="164" fontId="70" fillId="33" borderId="29" xfId="45" applyNumberFormat="1" applyFont="1" applyFill="1" applyBorder="1" applyAlignment="1">
      <alignment horizontal="center" wrapText="1"/>
    </xf>
    <xf numFmtId="164" fontId="70" fillId="33" borderId="13" xfId="45" applyNumberFormat="1" applyFont="1" applyFill="1" applyBorder="1" applyAlignment="1">
      <alignment horizontal="center" wrapText="1"/>
    </xf>
    <xf numFmtId="164" fontId="75" fillId="0" borderId="0" xfId="0" applyNumberFormat="1" applyFont="1"/>
    <xf numFmtId="164" fontId="70" fillId="33" borderId="13" xfId="45" applyNumberFormat="1" applyFont="1" applyFill="1" applyBorder="1" applyAlignment="1">
      <alignment horizontal="left" wrapText="1"/>
    </xf>
    <xf numFmtId="2" fontId="70" fillId="0" borderId="0" xfId="1" applyNumberFormat="1" applyFont="1"/>
    <xf numFmtId="43" fontId="41" fillId="0" borderId="0" xfId="1" applyFont="1"/>
    <xf numFmtId="170" fontId="72" fillId="0" borderId="14" xfId="1" applyNumberFormat="1" applyFont="1" applyBorder="1" applyAlignment="1">
      <alignment horizontal="right" wrapText="1"/>
    </xf>
    <xf numFmtId="169" fontId="75" fillId="0" borderId="0" xfId="1" applyNumberFormat="1" applyFont="1" applyAlignment="1">
      <alignment wrapText="1"/>
    </xf>
    <xf numFmtId="164" fontId="41" fillId="0" borderId="0" xfId="3" applyNumberFormat="1" applyFont="1"/>
    <xf numFmtId="2" fontId="71" fillId="0" borderId="0" xfId="59" applyNumberFormat="1" applyFont="1">
      <alignment horizontal="left" vertical="center"/>
    </xf>
    <xf numFmtId="2" fontId="75" fillId="0" borderId="0" xfId="1" applyNumberFormat="1" applyFont="1" applyAlignment="1">
      <alignment horizontal="right"/>
    </xf>
    <xf numFmtId="43" fontId="71" fillId="0" borderId="0" xfId="1" applyFont="1"/>
    <xf numFmtId="43" fontId="41" fillId="0" borderId="3" xfId="1" applyFont="1" applyBorder="1"/>
    <xf numFmtId="43" fontId="41" fillId="0" borderId="0" xfId="1" applyFont="1" applyAlignment="1">
      <alignment horizontal="center"/>
    </xf>
    <xf numFmtId="43" fontId="75" fillId="0" borderId="0" xfId="1" applyFont="1" applyAlignment="1">
      <alignment horizontal="center"/>
    </xf>
    <xf numFmtId="43" fontId="70" fillId="33" borderId="13" xfId="1" applyFont="1" applyFill="1" applyBorder="1" applyAlignment="1">
      <alignment horizontal="left" wrapText="1"/>
    </xf>
    <xf numFmtId="43" fontId="67" fillId="0" borderId="14" xfId="1" applyFont="1" applyBorder="1" applyAlignment="1">
      <alignment horizontal="right"/>
    </xf>
    <xf numFmtId="43" fontId="75" fillId="0" borderId="0" xfId="1" applyFont="1"/>
    <xf numFmtId="169" fontId="71" fillId="0" borderId="0" xfId="1" applyNumberFormat="1" applyFont="1" applyAlignment="1">
      <alignment horizontal="center" vertical="center"/>
    </xf>
    <xf numFmtId="169" fontId="41" fillId="0" borderId="3" xfId="1" applyNumberFormat="1" applyFont="1" applyBorder="1" applyAlignment="1">
      <alignment horizontal="center"/>
    </xf>
    <xf numFmtId="2" fontId="70" fillId="0" borderId="0" xfId="52" applyNumberFormat="1" applyFont="1"/>
    <xf numFmtId="2" fontId="71" fillId="0" borderId="0" xfId="52" applyNumberFormat="1" applyFont="1"/>
    <xf numFmtId="2" fontId="71" fillId="0" borderId="0" xfId="1" applyNumberFormat="1" applyFont="1" applyAlignment="1">
      <alignment horizontal="right" vertical="center"/>
    </xf>
    <xf numFmtId="2" fontId="41" fillId="0" borderId="15" xfId="0" applyNumberFormat="1" applyFont="1" applyBorder="1"/>
    <xf numFmtId="2" fontId="41" fillId="0" borderId="16" xfId="0" applyNumberFormat="1" applyFont="1" applyBorder="1"/>
    <xf numFmtId="2" fontId="41" fillId="0" borderId="0" xfId="0" applyNumberFormat="1" applyFont="1" applyAlignment="1">
      <alignment horizontal="right"/>
    </xf>
    <xf numFmtId="2" fontId="70" fillId="33" borderId="13" xfId="1" applyNumberFormat="1" applyFont="1" applyFill="1" applyBorder="1" applyAlignment="1">
      <alignment horizontal="right" wrapText="1"/>
    </xf>
    <xf numFmtId="0" fontId="78" fillId="0" borderId="0" xfId="0" applyFont="1"/>
    <xf numFmtId="169" fontId="78" fillId="0" borderId="0" xfId="1" applyNumberFormat="1" applyFont="1"/>
    <xf numFmtId="0" fontId="35" fillId="0" borderId="0" xfId="0" applyFont="1" applyAlignment="1">
      <alignment wrapText="1"/>
    </xf>
    <xf numFmtId="0" fontId="35" fillId="0" borderId="20" xfId="0" applyFont="1" applyBorder="1" applyAlignment="1">
      <alignment wrapText="1"/>
    </xf>
    <xf numFmtId="0" fontId="35" fillId="0" borderId="22" xfId="0" applyFont="1" applyBorder="1" applyAlignment="1">
      <alignment wrapText="1"/>
    </xf>
    <xf numFmtId="0" fontId="36" fillId="0" borderId="20" xfId="0" applyFont="1" applyBorder="1" applyAlignment="1">
      <alignment horizontal="left" wrapText="1"/>
    </xf>
    <xf numFmtId="0" fontId="39" fillId="0" borderId="20" xfId="0" applyFont="1" applyBorder="1" applyAlignment="1">
      <alignment wrapText="1"/>
    </xf>
    <xf numFmtId="14" fontId="41" fillId="0" borderId="0" xfId="1" applyNumberFormat="1" applyFont="1"/>
    <xf numFmtId="14" fontId="41" fillId="0" borderId="0" xfId="0" applyNumberFormat="1" applyFont="1"/>
    <xf numFmtId="170" fontId="41" fillId="0" borderId="0" xfId="0" applyNumberFormat="1" applyFont="1" applyAlignment="1">
      <alignment horizontal="right"/>
    </xf>
    <xf numFmtId="170" fontId="70" fillId="33" borderId="29" xfId="1" applyNumberFormat="1" applyFont="1" applyFill="1" applyBorder="1" applyAlignment="1">
      <alignment horizontal="center" wrapText="1"/>
    </xf>
    <xf numFmtId="170" fontId="70" fillId="0" borderId="0" xfId="52" applyNumberFormat="1" applyFont="1"/>
    <xf numFmtId="170" fontId="41" fillId="0" borderId="15" xfId="0" applyNumberFormat="1" applyFont="1" applyBorder="1"/>
    <xf numFmtId="170" fontId="41" fillId="0" borderId="16" xfId="0" applyNumberFormat="1" applyFont="1" applyBorder="1"/>
    <xf numFmtId="0" fontId="84" fillId="0" borderId="14" xfId="74" applyFont="1" applyFill="1" applyBorder="1" applyAlignment="1">
      <alignment wrapText="1"/>
    </xf>
    <xf numFmtId="3" fontId="84" fillId="0" borderId="14" xfId="74" applyNumberFormat="1" applyFont="1" applyFill="1" applyBorder="1" applyAlignment="1">
      <alignment horizontal="right" wrapText="1"/>
    </xf>
    <xf numFmtId="1" fontId="84" fillId="0" borderId="14" xfId="74" applyNumberFormat="1" applyFont="1" applyFill="1" applyBorder="1" applyAlignment="1">
      <alignment horizontal="right" wrapText="1"/>
    </xf>
    <xf numFmtId="164" fontId="84" fillId="0" borderId="14" xfId="74" applyNumberFormat="1" applyFont="1" applyFill="1" applyBorder="1" applyAlignment="1">
      <alignment horizontal="right" wrapText="1"/>
    </xf>
    <xf numFmtId="0" fontId="84" fillId="0" borderId="14" xfId="74" applyFont="1" applyFill="1" applyBorder="1" applyAlignment="1">
      <alignment horizontal="center" wrapText="1"/>
    </xf>
    <xf numFmtId="4" fontId="84" fillId="0" borderId="14" xfId="74" applyNumberFormat="1" applyFont="1" applyFill="1" applyBorder="1" applyAlignment="1">
      <alignment horizontal="right" wrapText="1"/>
    </xf>
    <xf numFmtId="0" fontId="84" fillId="0" borderId="14" xfId="74" applyFont="1" applyFill="1" applyBorder="1" applyAlignment="1">
      <alignment horizontal="center"/>
    </xf>
    <xf numFmtId="169" fontId="41" fillId="0" borderId="0" xfId="1" applyNumberFormat="1" applyFont="1" applyAlignment="1"/>
    <xf numFmtId="43" fontId="41" fillId="0" borderId="0" xfId="1" applyNumberFormat="1" applyFont="1"/>
    <xf numFmtId="43" fontId="67" fillId="0" borderId="14" xfId="1" applyNumberFormat="1" applyFont="1" applyBorder="1" applyAlignment="1">
      <alignment horizontal="right" wrapText="1"/>
    </xf>
    <xf numFmtId="169" fontId="67" fillId="0" borderId="34" xfId="1" applyNumberFormat="1" applyFont="1" applyBorder="1" applyAlignment="1">
      <alignment horizontal="right" wrapText="1"/>
    </xf>
    <xf numFmtId="0" fontId="35" fillId="0" borderId="0" xfId="0" applyFont="1" applyBorder="1"/>
    <xf numFmtId="0" fontId="35" fillId="0" borderId="1" xfId="0" applyFont="1" applyBorder="1"/>
    <xf numFmtId="0" fontId="32" fillId="0" borderId="14" xfId="74" applyFont="1" applyFill="1" applyBorder="1" applyAlignment="1">
      <alignment wrapText="1"/>
    </xf>
    <xf numFmtId="3" fontId="85" fillId="0" borderId="18" xfId="48" applyFont="1" applyBorder="1"/>
    <xf numFmtId="3" fontId="85" fillId="0" borderId="0" xfId="48" applyFont="1"/>
    <xf numFmtId="3" fontId="85" fillId="0" borderId="38" xfId="48" applyFont="1" applyBorder="1"/>
    <xf numFmtId="169" fontId="70" fillId="37" borderId="29" xfId="1" applyNumberFormat="1" applyFont="1" applyFill="1" applyBorder="1" applyAlignment="1">
      <alignment horizontal="center" wrapText="1"/>
    </xf>
    <xf numFmtId="164" fontId="70" fillId="37" borderId="29" xfId="45" applyNumberFormat="1" applyFont="1" applyFill="1" applyBorder="1" applyAlignment="1">
      <alignment horizontal="center" wrapText="1"/>
    </xf>
    <xf numFmtId="164" fontId="70" fillId="36" borderId="29" xfId="45" applyNumberFormat="1" applyFont="1" applyFill="1" applyBorder="1" applyAlignment="1">
      <alignment horizontal="center" wrapText="1"/>
    </xf>
    <xf numFmtId="164" fontId="0" fillId="0" borderId="0" xfId="0" applyNumberFormat="1"/>
    <xf numFmtId="3" fontId="28" fillId="0" borderId="0" xfId="48"/>
    <xf numFmtId="169" fontId="70" fillId="38" borderId="29" xfId="1" applyNumberFormat="1" applyFont="1" applyFill="1" applyBorder="1" applyAlignment="1">
      <alignment horizontal="center" wrapText="1"/>
    </xf>
    <xf numFmtId="0" fontId="70" fillId="37" borderId="29" xfId="45" applyFont="1" applyFill="1" applyBorder="1" applyAlignment="1">
      <alignment horizontal="center" wrapText="1"/>
    </xf>
    <xf numFmtId="2" fontId="70" fillId="37" borderId="29" xfId="45" applyNumberFormat="1" applyFont="1" applyFill="1" applyBorder="1" applyAlignment="1">
      <alignment horizontal="center" wrapText="1"/>
    </xf>
    <xf numFmtId="169" fontId="70" fillId="37" borderId="2" xfId="1" applyNumberFormat="1" applyFont="1" applyFill="1" applyBorder="1" applyAlignment="1">
      <alignment horizontal="center" wrapText="1"/>
    </xf>
    <xf numFmtId="0" fontId="70" fillId="37" borderId="29" xfId="45" applyFont="1" applyFill="1" applyBorder="1" applyAlignment="1">
      <alignment horizontal="center"/>
    </xf>
    <xf numFmtId="14" fontId="84" fillId="0" borderId="14" xfId="74" applyNumberFormat="1" applyFont="1" applyFill="1" applyBorder="1" applyAlignment="1">
      <alignment wrapText="1"/>
    </xf>
    <xf numFmtId="0" fontId="84" fillId="0" borderId="14" xfId="3" applyNumberFormat="1" applyFont="1" applyFill="1" applyBorder="1" applyAlignment="1">
      <alignment horizontal="right" wrapText="1"/>
    </xf>
    <xf numFmtId="0" fontId="35" fillId="0" borderId="17" xfId="0" applyFont="1" applyBorder="1"/>
    <xf numFmtId="0" fontId="35" fillId="0" borderId="19" xfId="0" applyFont="1" applyBorder="1"/>
    <xf numFmtId="0" fontId="60" fillId="0" borderId="33" xfId="0" applyFont="1" applyFill="1" applyBorder="1" applyAlignment="1">
      <alignment vertical="top"/>
    </xf>
    <xf numFmtId="0" fontId="69" fillId="0" borderId="0" xfId="0" applyFont="1" applyFill="1" applyBorder="1"/>
    <xf numFmtId="0" fontId="81" fillId="0" borderId="0" xfId="0" applyFont="1" applyFill="1" applyBorder="1"/>
    <xf numFmtId="0" fontId="43" fillId="0" borderId="0" xfId="0" applyFont="1" applyFill="1"/>
    <xf numFmtId="0" fontId="0" fillId="0" borderId="0" xfId="0" applyFill="1"/>
    <xf numFmtId="0" fontId="2" fillId="0" borderId="0" xfId="0" applyFont="1" applyFill="1"/>
    <xf numFmtId="0" fontId="60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43" fillId="0" borderId="0" xfId="0" applyFont="1" applyFill="1" applyBorder="1"/>
    <xf numFmtId="0" fontId="81" fillId="0" borderId="0" xfId="0" applyFont="1" applyFill="1"/>
    <xf numFmtId="0" fontId="76" fillId="0" borderId="0" xfId="0" applyFont="1" applyFill="1"/>
    <xf numFmtId="0" fontId="10" fillId="0" borderId="0" xfId="0" applyFont="1" applyFill="1"/>
    <xf numFmtId="0" fontId="47" fillId="0" borderId="0" xfId="0" applyFont="1" applyFill="1" applyAlignment="1">
      <alignment horizontal="left"/>
    </xf>
    <xf numFmtId="2" fontId="0" fillId="0" borderId="0" xfId="0" applyNumberFormat="1" applyFill="1"/>
    <xf numFmtId="0" fontId="47" fillId="0" borderId="0" xfId="0" applyFont="1" applyFill="1" applyBorder="1" applyAlignment="1">
      <alignment horizontal="right"/>
    </xf>
    <xf numFmtId="0" fontId="49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wrapText="1"/>
    </xf>
    <xf numFmtId="0" fontId="46" fillId="0" borderId="0" xfId="0" applyFont="1" applyFill="1"/>
    <xf numFmtId="2" fontId="40" fillId="0" borderId="0" xfId="0" applyNumberFormat="1" applyFont="1" applyFill="1"/>
    <xf numFmtId="0" fontId="40" fillId="0" borderId="0" xfId="0" applyFont="1" applyFill="1"/>
    <xf numFmtId="0" fontId="59" fillId="0" borderId="0" xfId="0" applyFont="1" applyFill="1"/>
    <xf numFmtId="0" fontId="41" fillId="0" borderId="0" xfId="0" applyFont="1" applyFill="1" applyAlignment="1">
      <alignment horizontal="left" wrapText="1"/>
    </xf>
    <xf numFmtId="0" fontId="41" fillId="0" borderId="0" xfId="0" applyFont="1" applyFill="1"/>
    <xf numFmtId="0" fontId="82" fillId="0" borderId="0" xfId="0" applyFont="1" applyFill="1"/>
    <xf numFmtId="0" fontId="52" fillId="0" borderId="0" xfId="2" applyFont="1" applyFill="1" applyAlignment="1" applyProtection="1"/>
    <xf numFmtId="0" fontId="7" fillId="0" borderId="0" xfId="0" applyFont="1" applyFill="1" applyAlignment="1">
      <alignment horizontal="right"/>
    </xf>
    <xf numFmtId="9" fontId="3" fillId="0" borderId="0" xfId="3" applyFill="1"/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5" fontId="1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3" fontId="1" fillId="0" borderId="0" xfId="0" applyNumberFormat="1" applyFont="1" applyFill="1" applyAlignment="1">
      <alignment horizontal="center" vertical="center"/>
    </xf>
    <xf numFmtId="5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7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4" fontId="1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3" fontId="2" fillId="0" borderId="0" xfId="0" applyNumberFormat="1" applyFont="1" applyFill="1"/>
    <xf numFmtId="0" fontId="89" fillId="0" borderId="0" xfId="0" applyFont="1" applyFill="1"/>
    <xf numFmtId="0" fontId="6" fillId="41" borderId="0" xfId="0" applyFont="1" applyFill="1"/>
    <xf numFmtId="0" fontId="0" fillId="41" borderId="0" xfId="0" applyFill="1"/>
    <xf numFmtId="0" fontId="46" fillId="41" borderId="0" xfId="0" applyFont="1" applyFill="1"/>
    <xf numFmtId="0" fontId="10" fillId="41" borderId="0" xfId="0" applyFont="1" applyFill="1" applyAlignment="1">
      <alignment horizontal="center"/>
    </xf>
    <xf numFmtId="0" fontId="55" fillId="41" borderId="0" xfId="0" applyFont="1" applyFill="1" applyAlignment="1">
      <alignment horizontal="center"/>
    </xf>
    <xf numFmtId="0" fontId="63" fillId="41" borderId="0" xfId="0" applyFont="1" applyFill="1" applyAlignment="1">
      <alignment horizontal="center"/>
    </xf>
    <xf numFmtId="0" fontId="6" fillId="41" borderId="0" xfId="0" applyFont="1" applyFill="1" applyAlignment="1">
      <alignment horizontal="center"/>
    </xf>
    <xf numFmtId="0" fontId="9" fillId="41" borderId="0" xfId="0" applyFont="1" applyFill="1"/>
    <xf numFmtId="0" fontId="40" fillId="41" borderId="0" xfId="0" applyFont="1" applyFill="1" applyAlignment="1">
      <alignment horizontal="center" vertical="center"/>
    </xf>
    <xf numFmtId="0" fontId="5" fillId="41" borderId="0" xfId="0" applyFont="1" applyFill="1" applyAlignment="1">
      <alignment horizontal="center" vertical="center"/>
    </xf>
    <xf numFmtId="0" fontId="56" fillId="41" borderId="0" xfId="0" applyFont="1" applyFill="1"/>
    <xf numFmtId="0" fontId="64" fillId="41" borderId="0" xfId="0" applyFont="1" applyFill="1"/>
    <xf numFmtId="0" fontId="47" fillId="41" borderId="0" xfId="0" applyFont="1" applyFill="1"/>
    <xf numFmtId="0" fontId="4" fillId="41" borderId="0" xfId="2" applyFill="1" applyAlignment="1" applyProtection="1"/>
    <xf numFmtId="0" fontId="48" fillId="41" borderId="0" xfId="2" applyFont="1" applyFill="1" applyAlignment="1" applyProtection="1"/>
    <xf numFmtId="0" fontId="65" fillId="41" borderId="0" xfId="2" applyFont="1" applyFill="1" applyAlignment="1" applyProtection="1"/>
    <xf numFmtId="0" fontId="6" fillId="41" borderId="0" xfId="0" applyFont="1" applyFill="1" applyBorder="1" applyAlignment="1">
      <alignment horizontal="center"/>
    </xf>
    <xf numFmtId="0" fontId="63" fillId="41" borderId="0" xfId="0" applyFont="1" applyFill="1" applyBorder="1" applyAlignment="1">
      <alignment horizontal="center"/>
    </xf>
    <xf numFmtId="0" fontId="5" fillId="41" borderId="40" xfId="0" applyFont="1" applyFill="1" applyBorder="1" applyAlignment="1">
      <alignment horizontal="center" vertical="center"/>
    </xf>
    <xf numFmtId="0" fontId="0" fillId="41" borderId="0" xfId="0" applyFill="1" applyBorder="1"/>
    <xf numFmtId="0" fontId="88" fillId="41" borderId="0" xfId="0" applyFont="1" applyFill="1" applyBorder="1" applyAlignment="1">
      <alignment horizontal="center" vertical="center"/>
    </xf>
    <xf numFmtId="0" fontId="88" fillId="41" borderId="0" xfId="0" applyFont="1" applyFill="1" applyBorder="1" applyAlignment="1">
      <alignment horizontal="left" vertical="center"/>
    </xf>
    <xf numFmtId="0" fontId="61" fillId="41" borderId="0" xfId="0" applyFont="1" applyFill="1"/>
    <xf numFmtId="0" fontId="43" fillId="41" borderId="0" xfId="0" applyFont="1" applyFill="1"/>
    <xf numFmtId="0" fontId="42" fillId="41" borderId="0" xfId="0" applyFont="1" applyFill="1"/>
    <xf numFmtId="0" fontId="42" fillId="41" borderId="0" xfId="0" applyFont="1" applyFill="1" applyAlignment="1">
      <alignment horizontal="center"/>
    </xf>
    <xf numFmtId="0" fontId="44" fillId="41" borderId="0" xfId="0" applyFont="1" applyFill="1" applyAlignment="1">
      <alignment horizontal="center"/>
    </xf>
    <xf numFmtId="0" fontId="79" fillId="41" borderId="0" xfId="0" applyFont="1" applyFill="1" applyAlignment="1">
      <alignment horizontal="center"/>
    </xf>
    <xf numFmtId="0" fontId="57" fillId="41" borderId="0" xfId="0" applyFont="1" applyFill="1" applyAlignment="1">
      <alignment horizontal="center"/>
    </xf>
    <xf numFmtId="0" fontId="49" fillId="41" borderId="0" xfId="0" applyFont="1" applyFill="1"/>
    <xf numFmtId="0" fontId="80" fillId="41" borderId="0" xfId="0" applyFont="1" applyFill="1"/>
    <xf numFmtId="0" fontId="57" fillId="41" borderId="0" xfId="0" applyFont="1" applyFill="1"/>
    <xf numFmtId="0" fontId="49" fillId="41" borderId="0" xfId="0" applyFont="1" applyFill="1" applyAlignment="1">
      <alignment horizontal="center" vertical="center"/>
    </xf>
    <xf numFmtId="0" fontId="11" fillId="41" borderId="0" xfId="2" applyFont="1" applyFill="1" applyAlignment="1" applyProtection="1"/>
    <xf numFmtId="0" fontId="79" fillId="41" borderId="0" xfId="0" applyFont="1" applyFill="1"/>
    <xf numFmtId="0" fontId="50" fillId="41" borderId="0" xfId="0" applyFont="1" applyFill="1"/>
    <xf numFmtId="0" fontId="51" fillId="41" borderId="0" xfId="0" applyFont="1" applyFill="1"/>
    <xf numFmtId="0" fontId="66" fillId="41" borderId="0" xfId="0" applyFont="1" applyFill="1"/>
    <xf numFmtId="0" fontId="58" fillId="41" borderId="0" xfId="0" applyFont="1" applyFill="1"/>
    <xf numFmtId="0" fontId="41" fillId="41" borderId="0" xfId="0" applyFont="1" applyFill="1"/>
    <xf numFmtId="0" fontId="62" fillId="41" borderId="0" xfId="2" applyFont="1" applyFill="1" applyAlignment="1" applyProtection="1"/>
    <xf numFmtId="0" fontId="45" fillId="41" borderId="0" xfId="0" applyFont="1" applyFill="1"/>
    <xf numFmtId="0" fontId="27" fillId="40" borderId="0" xfId="0" applyFont="1" applyFill="1"/>
    <xf numFmtId="0" fontId="91" fillId="40" borderId="0" xfId="0" applyFont="1" applyFill="1"/>
    <xf numFmtId="0" fontId="92" fillId="40" borderId="0" xfId="0" applyFont="1" applyFill="1"/>
    <xf numFmtId="0" fontId="27" fillId="40" borderId="0" xfId="0" applyFont="1" applyFill="1" applyBorder="1"/>
    <xf numFmtId="0" fontId="91" fillId="40" borderId="0" xfId="0" applyFont="1" applyFill="1" applyBorder="1"/>
    <xf numFmtId="0" fontId="92" fillId="40" borderId="0" xfId="0" applyFont="1" applyFill="1" applyBorder="1"/>
    <xf numFmtId="0" fontId="95" fillId="40" borderId="0" xfId="2" applyFont="1" applyFill="1" applyBorder="1" applyAlignment="1" applyProtection="1"/>
    <xf numFmtId="0" fontId="96" fillId="40" borderId="0" xfId="0" applyFont="1" applyFill="1" applyBorder="1"/>
    <xf numFmtId="0" fontId="97" fillId="40" borderId="0" xfId="0" applyFont="1" applyFill="1" applyBorder="1"/>
    <xf numFmtId="0" fontId="98" fillId="40" borderId="0" xfId="0" applyFont="1" applyFill="1" applyBorder="1"/>
    <xf numFmtId="0" fontId="99" fillId="40" borderId="0" xfId="0" applyFont="1" applyFill="1" applyBorder="1"/>
    <xf numFmtId="0" fontId="100" fillId="40" borderId="0" xfId="0" applyFont="1" applyFill="1" applyBorder="1"/>
    <xf numFmtId="0" fontId="101" fillId="40" borderId="0" xfId="0" applyFont="1" applyFill="1" applyBorder="1"/>
    <xf numFmtId="0" fontId="94" fillId="40" borderId="0" xfId="0" applyFont="1" applyFill="1" applyBorder="1"/>
    <xf numFmtId="0" fontId="93" fillId="40" borderId="0" xfId="0" applyFont="1" applyFill="1" applyBorder="1"/>
    <xf numFmtId="0" fontId="103" fillId="40" borderId="0" xfId="0" applyFont="1" applyFill="1" applyBorder="1"/>
    <xf numFmtId="0" fontId="104" fillId="40" borderId="0" xfId="2" applyFont="1" applyFill="1" applyBorder="1" applyAlignment="1" applyProtection="1"/>
    <xf numFmtId="0" fontId="108" fillId="0" borderId="0" xfId="0" applyFont="1" applyFill="1" applyBorder="1" applyAlignment="1">
      <alignment horizontal="right" wrapText="1"/>
    </xf>
    <xf numFmtId="0" fontId="110" fillId="0" borderId="0" xfId="0" applyFont="1" applyFill="1" applyAlignment="1">
      <alignment horizontal="right"/>
    </xf>
    <xf numFmtId="0" fontId="109" fillId="0" borderId="0" xfId="0" applyFont="1" applyFill="1" applyAlignment="1">
      <alignment horizontal="right"/>
    </xf>
    <xf numFmtId="0" fontId="47" fillId="0" borderId="35" xfId="0" applyFont="1" applyFill="1" applyBorder="1" applyAlignment="1">
      <alignment horizontal="center" vertical="center"/>
    </xf>
    <xf numFmtId="0" fontId="110" fillId="0" borderId="35" xfId="0" applyFont="1" applyFill="1" applyBorder="1" applyAlignment="1">
      <alignment horizontal="center" vertical="center"/>
    </xf>
    <xf numFmtId="0" fontId="29" fillId="33" borderId="46" xfId="0" applyFont="1" applyFill="1" applyBorder="1" applyAlignment="1">
      <alignment horizontal="left"/>
    </xf>
    <xf numFmtId="164" fontId="70" fillId="43" borderId="29" xfId="45" applyNumberFormat="1" applyFont="1" applyFill="1" applyBorder="1" applyAlignment="1">
      <alignment horizontal="center" wrapText="1"/>
    </xf>
    <xf numFmtId="169" fontId="70" fillId="43" borderId="29" xfId="1" applyNumberFormat="1" applyFont="1" applyFill="1" applyBorder="1" applyAlignment="1">
      <alignment horizontal="center" wrapText="1"/>
    </xf>
    <xf numFmtId="0" fontId="4" fillId="0" borderId="35" xfId="2" applyFill="1" applyBorder="1" applyAlignment="1" applyProtection="1">
      <alignment horizontal="center" vertical="center"/>
    </xf>
    <xf numFmtId="164" fontId="70" fillId="34" borderId="29" xfId="45" applyNumberFormat="1" applyFont="1" applyFill="1" applyBorder="1" applyAlignment="1">
      <alignment horizontal="center" wrapText="1"/>
    </xf>
    <xf numFmtId="0" fontId="112" fillId="40" borderId="0" xfId="0" applyFont="1" applyFill="1" applyAlignment="1">
      <alignment horizontal="left" wrapText="1"/>
    </xf>
    <xf numFmtId="0" fontId="113" fillId="42" borderId="0" xfId="2" applyFont="1" applyFill="1" applyAlignment="1" applyProtection="1">
      <alignment horizontal="left" wrapText="1"/>
    </xf>
    <xf numFmtId="0" fontId="109" fillId="0" borderId="0" xfId="0" applyFont="1" applyFill="1" applyAlignment="1">
      <alignment horizontal="left"/>
    </xf>
    <xf numFmtId="0" fontId="111" fillId="40" borderId="0" xfId="0" applyFont="1" applyFill="1" applyAlignment="1">
      <alignment horizontal="center"/>
    </xf>
    <xf numFmtId="0" fontId="89" fillId="0" borderId="31" xfId="0" applyFont="1" applyFill="1" applyBorder="1" applyAlignment="1">
      <alignment horizontal="left" wrapText="1"/>
    </xf>
    <xf numFmtId="0" fontId="89" fillId="0" borderId="32" xfId="0" applyFont="1" applyFill="1" applyBorder="1" applyAlignment="1">
      <alignment horizontal="left" wrapText="1"/>
    </xf>
    <xf numFmtId="0" fontId="89" fillId="0" borderId="36" xfId="0" applyFont="1" applyFill="1" applyBorder="1" applyAlignment="1">
      <alignment horizontal="left" wrapText="1"/>
    </xf>
    <xf numFmtId="0" fontId="89" fillId="0" borderId="37" xfId="0" applyFont="1" applyFill="1" applyBorder="1" applyAlignment="1">
      <alignment horizontal="left" wrapText="1"/>
    </xf>
    <xf numFmtId="0" fontId="89" fillId="0" borderId="3" xfId="0" applyFont="1" applyFill="1" applyBorder="1" applyAlignment="1">
      <alignment horizontal="left" wrapText="1"/>
    </xf>
    <xf numFmtId="0" fontId="89" fillId="0" borderId="16" xfId="0" applyFont="1" applyFill="1" applyBorder="1" applyAlignment="1">
      <alignment horizontal="left" wrapText="1"/>
    </xf>
    <xf numFmtId="0" fontId="4" fillId="0" borderId="35" xfId="2" applyFill="1" applyBorder="1" applyAlignment="1" applyProtection="1">
      <alignment horizontal="center" vertical="center"/>
    </xf>
    <xf numFmtId="0" fontId="108" fillId="0" borderId="0" xfId="0" applyFont="1" applyFill="1" applyBorder="1" applyAlignment="1">
      <alignment horizontal="right" vertical="center" wrapText="1"/>
    </xf>
    <xf numFmtId="0" fontId="34" fillId="39" borderId="17" xfId="0" applyFont="1" applyFill="1" applyBorder="1" applyAlignment="1">
      <alignment horizontal="center"/>
    </xf>
    <xf numFmtId="0" fontId="34" fillId="39" borderId="19" xfId="0" applyFont="1" applyFill="1" applyBorder="1" applyAlignment="1">
      <alignment horizontal="center"/>
    </xf>
    <xf numFmtId="0" fontId="34" fillId="39" borderId="20" xfId="0" applyFont="1" applyFill="1" applyBorder="1" applyAlignment="1">
      <alignment horizontal="center"/>
    </xf>
    <xf numFmtId="0" fontId="34" fillId="39" borderId="21" xfId="0" applyFont="1" applyFill="1" applyBorder="1" applyAlignment="1">
      <alignment horizontal="center"/>
    </xf>
    <xf numFmtId="0" fontId="87" fillId="40" borderId="17" xfId="0" applyFont="1" applyFill="1" applyBorder="1" applyAlignment="1">
      <alignment horizontal="center"/>
    </xf>
    <xf numFmtId="0" fontId="87" fillId="40" borderId="18" xfId="0" applyFont="1" applyFill="1" applyBorder="1" applyAlignment="1">
      <alignment horizontal="center"/>
    </xf>
    <xf numFmtId="0" fontId="87" fillId="40" borderId="19" xfId="0" applyFont="1" applyFill="1" applyBorder="1" applyAlignment="1">
      <alignment horizontal="center"/>
    </xf>
    <xf numFmtId="0" fontId="86" fillId="40" borderId="20" xfId="0" applyFont="1" applyFill="1" applyBorder="1" applyAlignment="1">
      <alignment horizontal="center"/>
    </xf>
    <xf numFmtId="0" fontId="86" fillId="40" borderId="0" xfId="0" applyFont="1" applyFill="1" applyBorder="1" applyAlignment="1">
      <alignment horizontal="center"/>
    </xf>
    <xf numFmtId="0" fontId="86" fillId="40" borderId="21" xfId="0" applyFont="1" applyFill="1" applyBorder="1" applyAlignment="1">
      <alignment horizontal="center"/>
    </xf>
    <xf numFmtId="0" fontId="93" fillId="40" borderId="0" xfId="0" applyFont="1" applyFill="1" applyBorder="1" applyAlignment="1">
      <alignment horizontal="left" vertical="center"/>
    </xf>
    <xf numFmtId="0" fontId="88" fillId="41" borderId="0" xfId="0" applyFont="1" applyFill="1" applyAlignment="1">
      <alignment horizontal="center"/>
    </xf>
    <xf numFmtId="0" fontId="107" fillId="41" borderId="0" xfId="0" applyFont="1" applyFill="1" applyAlignment="1">
      <alignment horizontal="center"/>
    </xf>
    <xf numFmtId="0" fontId="105" fillId="41" borderId="41" xfId="2" applyFont="1" applyFill="1" applyBorder="1" applyAlignment="1" applyProtection="1">
      <alignment horizontal="center" vertical="center"/>
    </xf>
    <xf numFmtId="0" fontId="105" fillId="41" borderId="42" xfId="2" applyFont="1" applyFill="1" applyBorder="1" applyAlignment="1" applyProtection="1">
      <alignment horizontal="center" vertical="center"/>
    </xf>
    <xf numFmtId="0" fontId="105" fillId="41" borderId="43" xfId="2" applyFont="1" applyFill="1" applyBorder="1" applyAlignment="1" applyProtection="1">
      <alignment horizontal="center" vertical="center"/>
    </xf>
    <xf numFmtId="0" fontId="105" fillId="41" borderId="44" xfId="2" applyFont="1" applyFill="1" applyBorder="1" applyAlignment="1" applyProtection="1">
      <alignment horizontal="center" vertical="center"/>
    </xf>
    <xf numFmtId="0" fontId="105" fillId="41" borderId="45" xfId="2" applyFont="1" applyFill="1" applyBorder="1" applyAlignment="1" applyProtection="1">
      <alignment horizontal="center" vertical="center"/>
    </xf>
    <xf numFmtId="49" fontId="99" fillId="40" borderId="0" xfId="0" applyNumberFormat="1" applyFont="1" applyFill="1" applyAlignment="1">
      <alignment horizontal="right" vertical="center" wrapText="1"/>
    </xf>
    <xf numFmtId="0" fontId="93" fillId="40" borderId="0" xfId="0" applyFont="1" applyFill="1" applyBorder="1" applyAlignment="1">
      <alignment horizontal="left"/>
    </xf>
    <xf numFmtId="0" fontId="93" fillId="40" borderId="0" xfId="0" applyFont="1" applyFill="1" applyBorder="1" applyAlignment="1">
      <alignment horizontal="center" vertical="center"/>
    </xf>
    <xf numFmtId="0" fontId="106" fillId="41" borderId="0" xfId="0" applyFont="1" applyFill="1" applyAlignment="1">
      <alignment horizontal="center"/>
    </xf>
    <xf numFmtId="0" fontId="90" fillId="41" borderId="0" xfId="0" applyFont="1" applyFill="1" applyAlignment="1">
      <alignment horizontal="center"/>
    </xf>
    <xf numFmtId="0" fontId="93" fillId="40" borderId="0" xfId="0" applyFont="1" applyFill="1" applyBorder="1"/>
    <xf numFmtId="0" fontId="102" fillId="40" borderId="0" xfId="0" applyFont="1" applyFill="1" applyBorder="1"/>
    <xf numFmtId="0" fontId="105" fillId="41" borderId="39" xfId="2" applyFont="1" applyFill="1" applyBorder="1" applyAlignment="1" applyProtection="1">
      <alignment horizontal="center" vertical="center"/>
    </xf>
    <xf numFmtId="0" fontId="50" fillId="41" borderId="0" xfId="0" applyFont="1" applyFill="1" applyAlignment="1">
      <alignment horizontal="center"/>
    </xf>
    <xf numFmtId="0" fontId="11" fillId="41" borderId="0" xfId="2" applyFont="1" applyFill="1" applyAlignment="1" applyProtection="1">
      <alignment horizontal="left"/>
    </xf>
  </cellXfs>
  <cellStyles count="7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65" xr:uid="{00000000-0005-0000-0000-00001C000000}"/>
    <cellStyle name="Currency" xfId="68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5" xr:uid="{00000000-0005-0000-0000-000029000000}"/>
    <cellStyle name="Normal 3" xfId="64" xr:uid="{00000000-0005-0000-0000-00002A000000}"/>
    <cellStyle name="Normal_2016Data" xfId="71" xr:uid="{00000000-0005-0000-0000-00002B000000}"/>
    <cellStyle name="Normal_2016Data_1" xfId="72" xr:uid="{00000000-0005-0000-0000-00002C000000}"/>
    <cellStyle name="Normal_2018Data" xfId="74" xr:uid="{CDFC4CBD-6B8C-4C26-80DF-466172C69769}"/>
    <cellStyle name="Normal_branch" xfId="70" xr:uid="{00000000-0005-0000-0000-00002D000000}"/>
    <cellStyle name="Normal_BranchInfo" xfId="73" xr:uid="{00000000-0005-0000-0000-00002E000000}"/>
    <cellStyle name="Normal_Sheet1" xfId="67" xr:uid="{00000000-0005-0000-0000-00002F000000}"/>
    <cellStyle name="Normal_Sheet1_2" xfId="69" xr:uid="{00000000-0005-0000-0000-000030000000}"/>
    <cellStyle name="Note" xfId="18" builtinId="10" customBuiltin="1"/>
    <cellStyle name="Output" xfId="13" builtinId="21" customBuiltin="1"/>
    <cellStyle name="Percent" xfId="3" builtinId="5"/>
    <cellStyle name="Percent 2" xfId="66" xr:uid="{00000000-0005-0000-0000-000034000000}"/>
    <cellStyle name="sCurrency" xfId="49" xr:uid="{00000000-0005-0000-0000-000035000000}"/>
    <cellStyle name="sDate" xfId="54" xr:uid="{00000000-0005-0000-0000-000036000000}"/>
    <cellStyle name="sDecimal" xfId="47" xr:uid="{00000000-0005-0000-0000-000037000000}"/>
    <cellStyle name="sInteger" xfId="48" xr:uid="{00000000-0005-0000-0000-000038000000}"/>
    <cellStyle name="sLongDate" xfId="55" xr:uid="{00000000-0005-0000-0000-000039000000}"/>
    <cellStyle name="sLongTime" xfId="57" xr:uid="{00000000-0005-0000-0000-00003A000000}"/>
    <cellStyle name="sMediumDate" xfId="56" xr:uid="{00000000-0005-0000-0000-00003B000000}"/>
    <cellStyle name="sMediumTime" xfId="58" xr:uid="{00000000-0005-0000-0000-00003C000000}"/>
    <cellStyle name="sNumber" xfId="46" xr:uid="{00000000-0005-0000-0000-00003D000000}"/>
    <cellStyle name="sPercent" xfId="50" xr:uid="{00000000-0005-0000-0000-00003E000000}"/>
    <cellStyle name="sPhone" xfId="61" xr:uid="{00000000-0005-0000-0000-00003F000000}"/>
    <cellStyle name="sPhoneExt" xfId="62" xr:uid="{00000000-0005-0000-0000-000040000000}"/>
    <cellStyle name="sRichText" xfId="60" xr:uid="{00000000-0005-0000-0000-000041000000}"/>
    <cellStyle name="sShortDate" xfId="52" xr:uid="{00000000-0005-0000-0000-000042000000}"/>
    <cellStyle name="sShortTime" xfId="53" xr:uid="{00000000-0005-0000-0000-000043000000}"/>
    <cellStyle name="sStandard" xfId="51" xr:uid="{00000000-0005-0000-0000-000044000000}"/>
    <cellStyle name="sText" xfId="59" xr:uid="{00000000-0005-0000-0000-000045000000}"/>
    <cellStyle name="sZip" xfId="63" xr:uid="{00000000-0005-0000-0000-000046000000}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name val="Calibri"/>
        <scheme val="none"/>
      </font>
      <numFmt numFmtId="3" formatCode="#,##0"/>
      <alignment horizontal="right" wrapText="1" readingOrder="0"/>
    </dxf>
  </dxfs>
  <tableStyles count="0" defaultTableStyle="TableStyleMedium9" defaultPivotStyle="PivotStyleLight16"/>
  <colors>
    <mruColors>
      <color rgb="FF5EA3CE"/>
      <color rgb="FF214F6B"/>
      <color rgb="FFAAE0DC"/>
      <color rgb="FF36938C"/>
      <color rgb="FFD4F0EE"/>
      <color rgb="FFFFCC66"/>
      <color rgb="FF00CC99"/>
      <color rgb="FFFF9966"/>
      <color rgb="FF6ABAD0"/>
      <color rgb="FF9383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Library Visits Per Capita FY2020</a:t>
            </a:r>
          </a:p>
        </c:rich>
      </c:tx>
      <c:layout>
        <c:manualLayout>
          <c:xMode val="edge"/>
          <c:yMode val="edge"/>
          <c:x val="0.15494734241698974"/>
          <c:y val="5.63816728486729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98217410323709"/>
          <c:y val="0.23172462817147871"/>
          <c:w val="0.82982338145231849"/>
          <c:h val="0.570655803441243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1A6-4F57-9996-652C60F3756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A41-4A87-8CA4-AFF27E0A517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41-4A87-8CA4-AFF27E0A51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'2020Data'!$CJ$102:$CJ$104</c:f>
              <c:numCache>
                <c:formatCode>0.00</c:formatCode>
                <c:ptCount val="3"/>
                <c:pt idx="0">
                  <c:v>1.4412485854394568</c:v>
                </c:pt>
                <c:pt idx="1">
                  <c:v>1.6795977765857861</c:v>
                </c:pt>
                <c:pt idx="2">
                  <c:v>2.1265207958881884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6-4F57-9996-652C60F37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906560"/>
        <c:axId val="213908096"/>
      </c:barChart>
      <c:catAx>
        <c:axId val="2139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908096"/>
        <c:crosses val="autoZero"/>
        <c:auto val="1"/>
        <c:lblAlgn val="ctr"/>
        <c:lblOffset val="100"/>
        <c:noMultiLvlLbl val="0"/>
      </c:catAx>
      <c:valAx>
        <c:axId val="2139080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390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Collection Turnover Rate FY2020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91492162550889E-2"/>
          <c:y val="0.22246536891221941"/>
          <c:w val="0.87167223292134965"/>
          <c:h val="0.570655803441243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CE-4751-9E34-BBD07EBEBC1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4319-4567-BB0E-612860F7942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319-4567-BB0E-612860F7942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'2020Data'!$BY$102:$BY$104</c:f>
              <c:numCache>
                <c:formatCode>0.00</c:formatCode>
                <c:ptCount val="3"/>
                <c:pt idx="0">
                  <c:v>0.88570627688649073</c:v>
                </c:pt>
                <c:pt idx="1">
                  <c:v>1.4846750649894689</c:v>
                </c:pt>
                <c:pt idx="2">
                  <c:v>1.275205534905776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E-4751-9E34-BBD07EBEBC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88800"/>
        <c:axId val="221390336"/>
      </c:barChart>
      <c:catAx>
        <c:axId val="2213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90336"/>
        <c:crosses val="autoZero"/>
        <c:auto val="1"/>
        <c:lblAlgn val="ctr"/>
        <c:lblOffset val="100"/>
        <c:noMultiLvlLbl val="0"/>
      </c:catAx>
      <c:valAx>
        <c:axId val="221390336"/>
        <c:scaling>
          <c:orientation val="minMax"/>
        </c:scaling>
        <c:delete val="1"/>
        <c:axPos val="l"/>
        <c:numFmt formatCode="0.00%" sourceLinked="0"/>
        <c:majorTickMark val="none"/>
        <c:minorTickMark val="none"/>
        <c:tickLblPos val="none"/>
        <c:crossAx val="221388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Operating Revenue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layout>
        <c:manualLayout>
          <c:xMode val="edge"/>
          <c:yMode val="edge"/>
          <c:x val="0.19976463121219754"/>
          <c:y val="6.036101083032491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49-4103-88BB-34FCB405D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849-4103-88BB-34FCB405D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C849-4103-88BB-34FCB405D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'2020Data'!$AQ$102:$AQ$104</c:f>
              <c:numCache>
                <c:formatCode>"$"#,##0.00</c:formatCode>
                <c:ptCount val="3"/>
                <c:pt idx="0">
                  <c:v>14.938042248208223</c:v>
                </c:pt>
                <c:pt idx="1">
                  <c:v>19.437584645042026</c:v>
                </c:pt>
                <c:pt idx="2">
                  <c:v>25.396720968539146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9-4103-88BB-34FCB405D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8784768"/>
        <c:axId val="208786560"/>
      </c:barChart>
      <c:catAx>
        <c:axId val="20878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786560"/>
        <c:crosses val="autoZero"/>
        <c:auto val="1"/>
        <c:lblAlgn val="ctr"/>
        <c:lblOffset val="100"/>
        <c:noMultiLvlLbl val="0"/>
      </c:catAx>
      <c:valAx>
        <c:axId val="20878656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878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Total Local Government Revenue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E08-4D07-AF3B-2E6A23743F2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8-4D07-AF3B-2E6A23743F2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FE08-4D07-AF3B-2E6A23743F23}"/>
              </c:ext>
            </c:extLst>
          </c:dPt>
          <c:dLbls>
            <c:dLbl>
              <c:idx val="0"/>
              <c:spPr>
                <a:effectLst>
                  <a:glow rad="101600">
                    <a:srgbClr val="00B050">
                      <a:alpha val="60000"/>
                    </a:srgbClr>
                  </a:glow>
                </a:effectLst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214F6B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08-4D07-AF3B-2E6A23743F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'2020Data'!$AJ$102:$AJ$104</c:f>
              <c:numCache>
                <c:formatCode>"$"#,##0.00</c:formatCode>
                <c:ptCount val="3"/>
                <c:pt idx="0">
                  <c:v>23.97137872500943</c:v>
                </c:pt>
                <c:pt idx="1">
                  <c:v>33.083990779230895</c:v>
                </c:pt>
                <c:pt idx="2">
                  <c:v>38.851330074472422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8-4D07-AF3B-2E6A23743F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8964224"/>
        <c:axId val="208970112"/>
      </c:barChart>
      <c:catAx>
        <c:axId val="2089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970112"/>
        <c:crosses val="autoZero"/>
        <c:auto val="1"/>
        <c:lblAlgn val="ctr"/>
        <c:lblOffset val="100"/>
        <c:noMultiLvlLbl val="0"/>
      </c:catAx>
      <c:valAx>
        <c:axId val="20897011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896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Total Operating Expenditures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9E8-4B2D-87E9-6CA0FA2F52F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9E8-4B2D-87E9-6CA0FA2F52F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29E8-4B2D-87E9-6CA0FA2F52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'2020Data'!$W$102:$W$104</c:f>
              <c:numCache>
                <c:formatCode>"$"#,##0.00</c:formatCode>
                <c:ptCount val="3"/>
                <c:pt idx="0">
                  <c:v>14.308215060354582</c:v>
                </c:pt>
                <c:pt idx="1">
                  <c:v>18.620136685354584</c:v>
                </c:pt>
                <c:pt idx="2">
                  <c:v>23.990049306525083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8-4B2D-87E9-6CA0FA2F52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9396864"/>
        <c:axId val="209398400"/>
      </c:barChart>
      <c:catAx>
        <c:axId val="209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398400"/>
        <c:crosses val="autoZero"/>
        <c:auto val="1"/>
        <c:lblAlgn val="ctr"/>
        <c:lblOffset val="100"/>
        <c:noMultiLvlLbl val="0"/>
      </c:catAx>
      <c:valAx>
        <c:axId val="20939840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939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Salaries/Wages Expenditures</a:t>
            </a:r>
          </a:p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0B6-42EC-A2B2-563893A2253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B6-42EC-A2B2-563893A2253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0B6-42EC-A2B2-563893A22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'2020Data'!$M$102:$M$104</c:f>
              <c:numCache>
                <c:formatCode>"$"#,##0.00</c:formatCode>
                <c:ptCount val="3"/>
                <c:pt idx="0">
                  <c:v>10.463952282157676</c:v>
                </c:pt>
                <c:pt idx="1">
                  <c:v>13.827870322506932</c:v>
                </c:pt>
                <c:pt idx="2">
                  <c:v>17.437238764081602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6-42EC-A2B2-563893A22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9415552"/>
        <c:axId val="209417344"/>
      </c:barChart>
      <c:catAx>
        <c:axId val="2094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>
                <a:solidFill>
                  <a:srgbClr val="214F6B"/>
                </a:solidFill>
              </a:defRPr>
            </a:pPr>
            <a:endParaRPr lang="en-US"/>
          </a:p>
        </c:txPr>
        <c:crossAx val="209417344"/>
        <c:crosses val="autoZero"/>
        <c:auto val="1"/>
        <c:lblAlgn val="ctr"/>
        <c:lblOffset val="100"/>
        <c:noMultiLvlLbl val="0"/>
      </c:catAx>
      <c:valAx>
        <c:axId val="20941734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941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Library Materials Expenditures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EA3C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64-48BB-BCC2-21614EE83A8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4-48BB-BCC2-21614EE83A8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64-48BB-BCC2-21614EE83A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'2020Data'!$R$102:$R$104</c:f>
              <c:numCache>
                <c:formatCode>"$"#,##0.00</c:formatCode>
                <c:ptCount val="3"/>
                <c:pt idx="0">
                  <c:v>0.86193889098453413</c:v>
                </c:pt>
                <c:pt idx="1">
                  <c:v>1.7358408875844511</c:v>
                </c:pt>
                <c:pt idx="2">
                  <c:v>2.4539138888612335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4-48BB-BCC2-21614EE83A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1175296"/>
        <c:axId val="211176832"/>
      </c:barChart>
      <c:catAx>
        <c:axId val="2111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76832"/>
        <c:crosses val="autoZero"/>
        <c:auto val="1"/>
        <c:lblAlgn val="ctr"/>
        <c:lblOffset val="100"/>
        <c:noMultiLvlLbl val="0"/>
      </c:catAx>
      <c:valAx>
        <c:axId val="21117683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1117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Library Materials Expenditures as a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Operating Expenditures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631-4E89-92FC-34BAEE7A8FE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631-4E89-92FC-34BAEE7A8FE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631-4E89-92FC-34BAEE7A8F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'2020Data'!$Y$102:$Y$104</c:f>
              <c:numCache>
                <c:formatCode>0.00%</c:formatCode>
                <c:ptCount val="3"/>
                <c:pt idx="0">
                  <c:v>6.0240839779715595E-2</c:v>
                </c:pt>
                <c:pt idx="1">
                  <c:v>9.401925443605634E-2</c:v>
                </c:pt>
                <c:pt idx="2">
                  <c:v>0.10030630260243596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31-4E89-92FC-34BAEE7A8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1210624"/>
        <c:axId val="211212160"/>
      </c:barChart>
      <c:catAx>
        <c:axId val="21121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212160"/>
        <c:crosses val="autoZero"/>
        <c:auto val="1"/>
        <c:lblAlgn val="ctr"/>
        <c:lblOffset val="100"/>
        <c:noMultiLvlLbl val="0"/>
      </c:catAx>
      <c:valAx>
        <c:axId val="2112121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121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Other Operating Expenditures as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Total Operating Expenditures FY2020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E1-440F-8F15-E8A5C33BAFD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7EE1-440F-8F15-E8A5C33BAFD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7EE1-440F-8F15-E8A5C33BAFD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'2020Data'!$Z$102:$Z$104</c:f>
              <c:numCache>
                <c:formatCode>0.00%</c:formatCode>
                <c:ptCount val="3"/>
                <c:pt idx="0">
                  <c:v>0.20843437665931094</c:v>
                </c:pt>
                <c:pt idx="1">
                  <c:v>0.15745806630799139</c:v>
                </c:pt>
                <c:pt idx="2">
                  <c:v>0.16707952841077636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E1-440F-8F15-E8A5C33BAF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793408"/>
        <c:axId val="213803392"/>
      </c:barChart>
      <c:catAx>
        <c:axId val="21379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</a:defRPr>
            </a:pPr>
            <a:endParaRPr lang="en-US"/>
          </a:p>
        </c:txPr>
        <c:crossAx val="213803392"/>
        <c:crosses val="autoZero"/>
        <c:auto val="1"/>
        <c:lblAlgn val="ctr"/>
        <c:lblOffset val="100"/>
        <c:noMultiLvlLbl val="0"/>
      </c:catAx>
      <c:valAx>
        <c:axId val="2138033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37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 Staff Expenditures as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Operating Expenditures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498-48F4-96C0-554565BCA8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498-48F4-96C0-554565BCA8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D498-48F4-96C0-554565BCA8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'2020Data'!$X$102:$X$104</c:f>
              <c:numCache>
                <c:formatCode>0.00%</c:formatCode>
                <c:ptCount val="3"/>
                <c:pt idx="0">
                  <c:v>0.73132478356097341</c:v>
                </c:pt>
                <c:pt idx="1">
                  <c:v>0.74852267925595217</c:v>
                </c:pt>
                <c:pt idx="2">
                  <c:v>0.73261416898678755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8-48F4-96C0-554565BCA8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582976"/>
        <c:axId val="213584512"/>
      </c:barChart>
      <c:catAx>
        <c:axId val="2135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584512"/>
        <c:crosses val="autoZero"/>
        <c:auto val="1"/>
        <c:lblAlgn val="ctr"/>
        <c:lblOffset val="100"/>
        <c:noMultiLvlLbl val="0"/>
      </c:catAx>
      <c:valAx>
        <c:axId val="2135845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358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 Full-Time Equivalent Library Employees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5A5-44C3-9C16-B0AAFCD17E3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5A5-44C3-9C16-B0AAFCD17E3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C5A5-44C3-9C16-B0AAFCD17E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'2020Data'!$CS$102:$CS$104</c:f>
              <c:numCache>
                <c:formatCode>_(* #,##0.00_);_(* \(#,##0.00\);_(* "-"??_);_(@_)</c:formatCode>
                <c:ptCount val="3"/>
                <c:pt idx="0">
                  <c:v>48.19</c:v>
                </c:pt>
                <c:pt idx="1">
                  <c:v>43.451249999999995</c:v>
                </c:pt>
                <c:pt idx="2">
                  <c:v>38.054878048780481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5-44C3-9C16-B0AAFCD17E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610496"/>
        <c:axId val="213612032"/>
      </c:barChart>
      <c:catAx>
        <c:axId val="21361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612032"/>
        <c:crosses val="autoZero"/>
        <c:auto val="1"/>
        <c:lblAlgn val="ctr"/>
        <c:lblOffset val="100"/>
        <c:noMultiLvlLbl val="0"/>
      </c:catAx>
      <c:valAx>
        <c:axId val="2136120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1361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Collection Use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25-46EE-A8F4-B76DB24D246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527-48C6-B167-A143F9A4BE8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527-48C6-B167-A143F9A4B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'2020Data'!$BU$102:$BU$104</c:f>
              <c:numCache>
                <c:formatCode>0.00</c:formatCode>
                <c:ptCount val="3"/>
                <c:pt idx="0">
                  <c:v>2.3093231327800829</c:v>
                </c:pt>
                <c:pt idx="1">
                  <c:v>3.5345396659479178</c:v>
                </c:pt>
                <c:pt idx="2">
                  <c:v>4.2170592216911889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5-46EE-A8F4-B76DB24D24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7362688"/>
        <c:axId val="213954944"/>
      </c:barChart>
      <c:catAx>
        <c:axId val="207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954944"/>
        <c:crosses val="autoZero"/>
        <c:auto val="1"/>
        <c:lblAlgn val="ctr"/>
        <c:lblOffset val="100"/>
        <c:noMultiLvlLbl val="0"/>
      </c:catAx>
      <c:valAx>
        <c:axId val="21395494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0736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Population per ALA-MLS Librarian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79-4C11-88BB-F7C82A93CCA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079-4C11-88BB-F7C82A93CCA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2079-4C11-88BB-F7C82A93CC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'2020Data'!$CP$102:$CP$104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25313.507204932135</c:v>
                </c:pt>
                <c:pt idx="2">
                  <c:v>16132.899857650826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79-4C11-88BB-F7C82A93CC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636992"/>
        <c:axId val="213638528"/>
      </c:barChart>
      <c:catAx>
        <c:axId val="21363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</a:defRPr>
            </a:pPr>
            <a:endParaRPr lang="en-US"/>
          </a:p>
        </c:txPr>
        <c:crossAx val="213638528"/>
        <c:crosses val="autoZero"/>
        <c:auto val="1"/>
        <c:lblAlgn val="ctr"/>
        <c:lblOffset val="100"/>
        <c:noMultiLvlLbl val="0"/>
      </c:catAx>
      <c:valAx>
        <c:axId val="21363852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1363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Unduplicated*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Hours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Open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in a Typical Week FY2020</a:t>
            </a:r>
          </a:p>
        </c:rich>
      </c:tx>
      <c:layout>
        <c:manualLayout>
          <c:xMode val="edge"/>
          <c:yMode val="edge"/>
          <c:x val="0.2209764631461382"/>
          <c:y val="2.074621584038995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D1-4F15-B756-DB5458CCD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0D1-4F15-B756-DB5458CCD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E0D1-4F15-B756-DB5458CCD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'2020Data'!$DH$102:$DH$104</c:f>
              <c:numCache>
                <c:formatCode>_(* #,##0_);_(* \(#,##0\);_(* "-"??_);_(@_)</c:formatCode>
                <c:ptCount val="3"/>
                <c:pt idx="0">
                  <c:v>0.19602272727272727</c:v>
                </c:pt>
                <c:pt idx="1">
                  <c:v>9.0308723216088196E-2</c:v>
                </c:pt>
                <c:pt idx="2">
                  <c:v>0.13537368983226386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1-4F15-B756-DB5458CCD6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299072"/>
        <c:axId val="221300608"/>
      </c:barChart>
      <c:catAx>
        <c:axId val="2212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00608"/>
        <c:crosses val="autoZero"/>
        <c:auto val="1"/>
        <c:lblAlgn val="ctr"/>
        <c:lblOffset val="100"/>
        <c:noMultiLvlLbl val="0"/>
      </c:catAx>
      <c:valAx>
        <c:axId val="2213006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2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Population</a:t>
            </a:r>
            <a:r>
              <a:rPr lang="en-US" sz="1400" baseline="0">
                <a:solidFill>
                  <a:srgbClr val="214F6B"/>
                </a:solidFill>
              </a:rPr>
              <a:t> per Total Paid Staff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E1-44BC-8242-951577CACB6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8E1-44BC-8242-951577CACB6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8E1-44BC-8242-951577CAC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'2020Data'!$CT$102:$CT$104</c:f>
              <c:numCache>
                <c:formatCode>_(* #,##0_);_(* \(#,##0\);_(* "-"??_);_(@_)</c:formatCode>
                <c:ptCount val="3"/>
                <c:pt idx="0">
                  <c:v>3520.7304420004152</c:v>
                </c:pt>
                <c:pt idx="1">
                  <c:v>4150.1961925210117</c:v>
                </c:pt>
                <c:pt idx="2">
                  <c:v>3494.5780374933361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1-44BC-8242-951577CACB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452928"/>
        <c:axId val="221467008"/>
      </c:barChart>
      <c:catAx>
        <c:axId val="22145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467008"/>
        <c:crosses val="autoZero"/>
        <c:auto val="1"/>
        <c:lblAlgn val="ctr"/>
        <c:lblOffset val="100"/>
        <c:noMultiLvlLbl val="0"/>
      </c:catAx>
      <c:valAx>
        <c:axId val="2214670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45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Reference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4E9-483C-AF7C-043A3965B3E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3EE-43CE-BA9C-ACA407885E3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83EE-43CE-BA9C-ACA407885E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'2020Data'!$BO$102:$BO$104</c:f>
              <c:numCache>
                <c:formatCode>0.00</c:formatCode>
                <c:ptCount val="3"/>
                <c:pt idx="0">
                  <c:v>0.76345011316484346</c:v>
                </c:pt>
                <c:pt idx="1">
                  <c:v>0.45302204046836558</c:v>
                </c:pt>
                <c:pt idx="2">
                  <c:v>0.48077898841289152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9-483C-AF7C-043A3965B3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0982400"/>
        <c:axId val="210983936"/>
      </c:barChart>
      <c:catAx>
        <c:axId val="2109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0983936"/>
        <c:crosses val="autoZero"/>
        <c:auto val="1"/>
        <c:lblAlgn val="ctr"/>
        <c:lblOffset val="100"/>
        <c:noMultiLvlLbl val="0"/>
      </c:catAx>
      <c:valAx>
        <c:axId val="2109839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098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Library Square Footage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3950617283950615E-2"/>
          <c:y val="0.19460207612456748"/>
          <c:w val="0.96604938271604934"/>
          <c:h val="0.63351006729695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A5-4498-95D5-B049A420A1E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5-4498-95D5-B049A420A1E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A5-4498-95D5-B049A420A1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'2020Data'!$I$102:$I$104</c:f>
              <c:numCache>
                <c:formatCode>0.00</c:formatCode>
                <c:ptCount val="3"/>
                <c:pt idx="0">
                  <c:v>0.61075000000000002</c:v>
                </c:pt>
                <c:pt idx="1">
                  <c:v>0.42757249999999997</c:v>
                </c:pt>
                <c:pt idx="2">
                  <c:v>0.55860402439024393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5-4498-95D5-B049A420A1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009600"/>
        <c:axId val="222015488"/>
      </c:barChart>
      <c:catAx>
        <c:axId val="2220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015488"/>
        <c:crosses val="autoZero"/>
        <c:auto val="1"/>
        <c:lblAlgn val="ctr"/>
        <c:lblOffset val="100"/>
        <c:noMultiLvlLbl val="0"/>
      </c:catAx>
      <c:valAx>
        <c:axId val="2220154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009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Physical</a:t>
            </a:r>
            <a:r>
              <a:rPr lang="en-US" sz="1400" baseline="0">
                <a:solidFill>
                  <a:srgbClr val="214F6B"/>
                </a:solidFill>
              </a:rPr>
              <a:t> Material Expenditure per Physical Circulation</a:t>
            </a:r>
            <a:r>
              <a:rPr lang="en-US" sz="1400">
                <a:solidFill>
                  <a:srgbClr val="214F6B"/>
                </a:solidFill>
              </a:rPr>
              <a:t>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9-4A92-BBA3-0F9366F75B6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C69-4A92-BBA3-0F9366F75B6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C69-4A92-BBA3-0F9366F75B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'2020Data'!$EA$102:$EA$104</c:f>
              <c:numCache>
                <c:formatCode>"$"#,##0.00</c:formatCode>
                <c:ptCount val="3"/>
                <c:pt idx="0">
                  <c:v>0.20776575882653361</c:v>
                </c:pt>
                <c:pt idx="1">
                  <c:v>0.35300887941788955</c:v>
                </c:pt>
                <c:pt idx="2">
                  <c:v>0.49983097653631681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9-4A92-BBA3-0F9366F75B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Digital</a:t>
            </a:r>
            <a:r>
              <a:rPr lang="en-US" sz="1400" baseline="0">
                <a:solidFill>
                  <a:srgbClr val="214F6B"/>
                </a:solidFill>
              </a:rPr>
              <a:t> Material Expenditure per 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 baseline="0">
                <a:solidFill>
                  <a:srgbClr val="214F6B"/>
                </a:solidFill>
              </a:rPr>
              <a:t>Digital Circulation</a:t>
            </a:r>
            <a:r>
              <a:rPr lang="en-US" sz="1400">
                <a:solidFill>
                  <a:srgbClr val="214F6B"/>
                </a:solidFill>
              </a:rPr>
              <a:t>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0E-45A8-9692-EBD9A53A89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A0E-45A8-9692-EBD9A53A89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A0E-45A8-9692-EBD9A53A89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'2020Data'!$EB$102:$EB$104</c:f>
              <c:numCache>
                <c:formatCode>"$"#,##0.00</c:formatCode>
                <c:ptCount val="3"/>
                <c:pt idx="0">
                  <c:v>0.70994604081480239</c:v>
                </c:pt>
                <c:pt idx="1">
                  <c:v>0.35750312901273357</c:v>
                </c:pt>
                <c:pt idx="2">
                  <c:v>0.53005193551369711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0E-45A8-9692-EBD9A53A89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Annual</a:t>
            </a:r>
            <a:r>
              <a:rPr lang="en-US" sz="1400" baseline="0">
                <a:solidFill>
                  <a:srgbClr val="214F6B"/>
                </a:solidFill>
              </a:rPr>
              <a:t> Volunteer Hours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layout>
        <c:manualLayout>
          <c:xMode val="edge"/>
          <c:yMode val="edge"/>
          <c:x val="0.25098587213635332"/>
          <c:y val="4.506392335269281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7D-470D-96BC-8992EDF2771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27D-470D-96BC-8992EDF2771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27D-470D-96BC-8992EDF277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'2020Data'!$CU$102:$CU$104</c:f>
              <c:numCache>
                <c:formatCode>_(* #,##0_);_(* \(#,##0\);_(* "-"??_);_(@_)</c:formatCode>
                <c:ptCount val="3"/>
                <c:pt idx="0">
                  <c:v>4751</c:v>
                </c:pt>
                <c:pt idx="1">
                  <c:v>2612.0279166666664</c:v>
                </c:pt>
                <c:pt idx="2">
                  <c:v>2097.8565822784808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7D-470D-96BC-8992EDF27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Library Visits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4F9-41CF-9CE2-2F6F8384F45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822-4E17-A6DB-46AB4F37940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22-4E17-A6DB-46AB4F37940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822-4E17-A6DB-46AB4F37940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22-4E17-A6DB-46AB4F37940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F9-41CF-9CE2-2F6F8384F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'2020Data'!$CJ$113:$CJ$118</c:f>
              <c:numCache>
                <c:formatCode>0.00</c:formatCode>
                <c:ptCount val="6"/>
                <c:pt idx="0">
                  <c:v>1.4412485854394568</c:v>
                </c:pt>
                <c:pt idx="1">
                  <c:v>1.2035527082119977</c:v>
                </c:pt>
                <c:pt idx="2">
                  <c:v>1.8411324014854549</c:v>
                </c:pt>
                <c:pt idx="3">
                  <c:v>1.0516596330549819</c:v>
                </c:pt>
                <c:pt idx="4">
                  <c:v>1.1764782495441521</c:v>
                </c:pt>
                <c:pt idx="5">
                  <c:v>2.1265207958881884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9-41CF-9CE2-2F6F8384F4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421568"/>
        <c:axId val="221423104"/>
      </c:barChart>
      <c:catAx>
        <c:axId val="22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423104"/>
        <c:crosses val="autoZero"/>
        <c:auto val="1"/>
        <c:lblAlgn val="ctr"/>
        <c:lblOffset val="100"/>
        <c:noMultiLvlLbl val="0"/>
      </c:catAx>
      <c:valAx>
        <c:axId val="22142310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421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Use </a:t>
            </a:r>
            <a:r>
              <a:rPr lang="en-US" sz="1600">
                <a:solidFill>
                  <a:srgbClr val="214F6B"/>
                </a:solidFill>
              </a:rPr>
              <a:t>Per Capita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04-4831-B359-04222EA06730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96C9-41A5-ADD2-ACA2B27A7F7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96C9-41A5-ADD2-ACA2B27A7F73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96C9-41A5-ADD2-ACA2B27A7F7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96C9-41A5-ADD2-ACA2B27A7F7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304-4831-B359-04222EA067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'2020Data'!$BU$113:$BU$118</c:f>
              <c:numCache>
                <c:formatCode>0.00</c:formatCode>
                <c:ptCount val="6"/>
                <c:pt idx="0">
                  <c:v>2.3093231327800829</c:v>
                </c:pt>
                <c:pt idx="1">
                  <c:v>3.8748592506309456</c:v>
                </c:pt>
                <c:pt idx="2">
                  <c:v>3.2953179801939343</c:v>
                </c:pt>
                <c:pt idx="3">
                  <c:v>0.76313190266678643</c:v>
                </c:pt>
                <c:pt idx="4">
                  <c:v>1.6229747330033863</c:v>
                </c:pt>
                <c:pt idx="5">
                  <c:v>4.2170592216911889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4-4831-B359-04222EA067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193536"/>
        <c:axId val="222195072"/>
      </c:barChart>
      <c:catAx>
        <c:axId val="22219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195072"/>
        <c:crosses val="autoZero"/>
        <c:auto val="1"/>
        <c:lblAlgn val="ctr"/>
        <c:lblOffset val="100"/>
        <c:noMultiLvlLbl val="0"/>
      </c:catAx>
      <c:valAx>
        <c:axId val="22219507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19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Program</a:t>
            </a:r>
            <a:r>
              <a:rPr lang="en-US" sz="1400" baseline="0">
                <a:solidFill>
                  <a:srgbClr val="214F6B"/>
                </a:solidFill>
              </a:rPr>
              <a:t> Attendance</a:t>
            </a:r>
            <a:r>
              <a:rPr lang="en-US" sz="1400">
                <a:solidFill>
                  <a:srgbClr val="214F6B"/>
                </a:solidFill>
              </a:rPr>
              <a:t> Per Capita FY2020</a:t>
            </a:r>
          </a:p>
        </c:rich>
      </c:tx>
      <c:layout>
        <c:manualLayout>
          <c:xMode val="edge"/>
          <c:yMode val="edge"/>
          <c:x val="0.17467658586636095"/>
          <c:y val="5.365080819687154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F2C-4B3B-959A-1DA2FCB4952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35EC-4532-823B-9C45E9EF6E1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5EC-4532-823B-9C45E9EF6E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'2020Data'!$CH$102:$CH$104</c:f>
              <c:numCache>
                <c:formatCode>0.00</c:formatCode>
                <c:ptCount val="3"/>
                <c:pt idx="0">
                  <c:v>0.83029399283289329</c:v>
                </c:pt>
                <c:pt idx="1">
                  <c:v>0.23263483007667049</c:v>
                </c:pt>
                <c:pt idx="2">
                  <c:v>0.25252810133774278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C-4B3B-959A-1DA2FCB495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687552"/>
        <c:axId val="215689088"/>
      </c:barChart>
      <c:catAx>
        <c:axId val="21568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689088"/>
        <c:crosses val="autoZero"/>
        <c:auto val="1"/>
        <c:lblAlgn val="ctr"/>
        <c:lblOffset val="100"/>
        <c:noMultiLvlLbl val="0"/>
      </c:catAx>
      <c:valAx>
        <c:axId val="2156890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68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Program Attendance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0B3-4C19-B09D-F6A23221AF7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3CC7-474E-9D0E-27A231D4E3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CC7-474E-9D0E-27A231D4E3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3CC7-474E-9D0E-27A231D4E3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3CC7-474E-9D0E-27A231D4E3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0B3-4C19-B09D-F6A23221AF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'2020Data'!$CH$113:$CH$118</c:f>
              <c:numCache>
                <c:formatCode>0.00</c:formatCode>
                <c:ptCount val="6"/>
                <c:pt idx="0">
                  <c:v>0.83029399283289329</c:v>
                </c:pt>
                <c:pt idx="1">
                  <c:v>0.21467676179382644</c:v>
                </c:pt>
                <c:pt idx="2">
                  <c:v>0.22012971941407056</c:v>
                </c:pt>
                <c:pt idx="3">
                  <c:v>0.12575199784502111</c:v>
                </c:pt>
                <c:pt idx="4">
                  <c:v>0.18713206564209431</c:v>
                </c:pt>
                <c:pt idx="5">
                  <c:v>0.25252810133774278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3-4C19-B09D-F6A23221AF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28480"/>
        <c:axId val="222230016"/>
      </c:barChart>
      <c:catAx>
        <c:axId val="22222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230016"/>
        <c:crosses val="autoZero"/>
        <c:auto val="1"/>
        <c:lblAlgn val="ctr"/>
        <c:lblOffset val="100"/>
        <c:noMultiLvlLbl val="0"/>
      </c:catAx>
      <c:valAx>
        <c:axId val="2222300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22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 algn="ctr"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Reference Questions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083047311393914E-2"/>
          <c:y val="0.12163119683008659"/>
          <c:w val="0.87273500765917267"/>
          <c:h val="0.714395320827569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3F6-40CA-B259-99E4C5662CF5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94DF-426E-BE70-15E0BA072546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94DF-426E-BE70-15E0BA072546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94DF-426E-BE70-15E0BA072546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94DF-426E-BE70-15E0BA07254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3F6-40CA-B259-99E4C5662C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'2020Data'!$BO$113:$BO$118</c:f>
              <c:numCache>
                <c:formatCode>0.00</c:formatCode>
                <c:ptCount val="6"/>
                <c:pt idx="0">
                  <c:v>0.76345011316484346</c:v>
                </c:pt>
                <c:pt idx="1">
                  <c:v>0.57998446903513878</c:v>
                </c:pt>
                <c:pt idx="2">
                  <c:v>0.15790695275428099</c:v>
                </c:pt>
                <c:pt idx="3">
                  <c:v>0.10804824758313131</c:v>
                </c:pt>
                <c:pt idx="4">
                  <c:v>4.6887210210992444E-2</c:v>
                </c:pt>
                <c:pt idx="5">
                  <c:v>0.48077898841289152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6-40CA-B259-99E4C5662C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50880"/>
        <c:axId val="222252416"/>
      </c:barChart>
      <c:catAx>
        <c:axId val="2222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252416"/>
        <c:crosses val="autoZero"/>
        <c:auto val="1"/>
        <c:lblAlgn val="ctr"/>
        <c:lblOffset val="100"/>
        <c:noMultiLvlLbl val="0"/>
      </c:catAx>
      <c:valAx>
        <c:axId val="2222524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Population per Professional Librarian (MLS)</a:t>
            </a:r>
          </a:p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  <a:latin typeface="Calibri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E2-4184-AB34-0C4F9F917065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E842-4817-B6AB-3E05656DDC7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1369-497A-9D51-296A3D6A5300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1369-497A-9D51-296A3D6A5300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E842-4817-B6AB-3E05656DDC7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5E2-4184-AB34-0C4F9F9170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'2020Data'!$CP$113:$CP$118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25755</c:v>
                </c:pt>
                <c:pt idx="2">
                  <c:v>12280.601741884402</c:v>
                </c:pt>
                <c:pt idx="3">
                  <c:v>33411</c:v>
                </c:pt>
                <c:pt idx="4">
                  <c:v>38390</c:v>
                </c:pt>
                <c:pt idx="5">
                  <c:v>16132.899857650826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184-AB34-0C4F9F9170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94016"/>
        <c:axId val="222295552"/>
      </c:barChart>
      <c:catAx>
        <c:axId val="22229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22295552"/>
        <c:crosses val="autoZero"/>
        <c:auto val="1"/>
        <c:lblAlgn val="ctr"/>
        <c:lblOffset val="100"/>
        <c:noMultiLvlLbl val="0"/>
      </c:catAx>
      <c:valAx>
        <c:axId val="222295552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29401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Public Service</a:t>
            </a:r>
            <a:r>
              <a:rPr lang="en-US" sz="1600" baseline="0">
                <a:solidFill>
                  <a:srgbClr val="214F6B"/>
                </a:solidFill>
              </a:rPr>
              <a:t> Hours Per Capita</a:t>
            </a:r>
            <a:r>
              <a:rPr lang="en-US" sz="1600">
                <a:solidFill>
                  <a:srgbClr val="214F6B"/>
                </a:solidFill>
              </a:rPr>
              <a:t>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8923654920073189"/>
          <c:y val="4.183750613548900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8B-421B-A9BF-FE01B0E65068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6A41-4D3E-9DC8-B28EF167B85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6A41-4D3E-9DC8-B28EF167B85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6A41-4D3E-9DC8-B28EF167B85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6A41-4D3E-9DC8-B28EF167B85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08B-421B-A9BF-FE01B0E6506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'2020Data'!$DH$113:$DH$118</c:f>
              <c:numCache>
                <c:formatCode>_(* #,##0_);_(* \(#,##0\);_(* "-"??_);_(@_)</c:formatCode>
                <c:ptCount val="6"/>
                <c:pt idx="0">
                  <c:v>0.19602272727272727</c:v>
                </c:pt>
                <c:pt idx="1">
                  <c:v>0.22970297029702971</c:v>
                </c:pt>
                <c:pt idx="2">
                  <c:v>7.2854342892510832E-2</c:v>
                </c:pt>
                <c:pt idx="3">
                  <c:v>0.24901978390350482</c:v>
                </c:pt>
                <c:pt idx="4">
                  <c:v>0.12745506642354779</c:v>
                </c:pt>
                <c:pt idx="5">
                  <c:v>0.13537368983226386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B-421B-A9BF-FE01B0E650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324608"/>
        <c:axId val="222326144"/>
      </c:barChart>
      <c:catAx>
        <c:axId val="2223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326144"/>
        <c:crosses val="autoZero"/>
        <c:auto val="1"/>
        <c:lblAlgn val="ctr"/>
        <c:lblOffset val="100"/>
        <c:noMultiLvlLbl val="0"/>
      </c:catAx>
      <c:valAx>
        <c:axId val="22232614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32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Population per Total Paid Staff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412027631044291E-2"/>
          <c:y val="0.23991138334860504"/>
          <c:w val="0.9553027224705406"/>
          <c:h val="0.65736568385026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BB-48BF-9BE8-436DE523BBD0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E747-4DF0-82D0-58D3B214B96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E747-4DF0-82D0-58D3B214B96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E747-4DF0-82D0-58D3B214B96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E747-4DF0-82D0-58D3B214B96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0BB-48BF-9BE8-436DE523BB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'2020Data'!$CT$113:$CT$118</c:f>
              <c:numCache>
                <c:formatCode>_(* #,##0_);_(* \(#,##0\);_(* "-"??_);_(@_)</c:formatCode>
                <c:ptCount val="6"/>
                <c:pt idx="0">
                  <c:v>3520.7304420004152</c:v>
                </c:pt>
                <c:pt idx="1">
                  <c:v>2341.3636363636365</c:v>
                </c:pt>
                <c:pt idx="2">
                  <c:v>3116.4155113522202</c:v>
                </c:pt>
                <c:pt idx="3">
                  <c:v>3691.8232044198894</c:v>
                </c:pt>
                <c:pt idx="4">
                  <c:v>3309.4827586206898</c:v>
                </c:pt>
                <c:pt idx="5">
                  <c:v>3494.5780374933361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B-48BF-9BE8-436DE523BB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351360"/>
        <c:axId val="222352896"/>
      </c:barChart>
      <c:catAx>
        <c:axId val="22235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2352896"/>
        <c:crosses val="autoZero"/>
        <c:auto val="1"/>
        <c:lblAlgn val="ctr"/>
        <c:lblOffset val="100"/>
        <c:noMultiLvlLbl val="0"/>
      </c:catAx>
      <c:valAx>
        <c:axId val="222352896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351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Colletion Use Per Paid Staff </a:t>
            </a:r>
            <a:r>
              <a:rPr lang="en-US" sz="1600" b="1" i="0" u="none" strike="noStrike" kern="1200" baseline="0">
                <a:solidFill>
                  <a:srgbClr val="214F6B"/>
                </a:solidFill>
                <a:latin typeface="Calibri"/>
                <a:ea typeface="Calibri"/>
                <a:cs typeface="Calibri"/>
              </a:rPr>
              <a:t>FY2020</a:t>
            </a:r>
            <a:endParaRPr lang="en-US" sz="1400" b="1" i="0" u="none" strike="noStrike" kern="1200" baseline="0">
              <a:solidFill>
                <a:srgbClr val="214F6B"/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25659988108181037"/>
          <c:y val="2.73452401159696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6BE-4427-818F-5B5D481424E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2C7-40D2-A28C-CA7C08953889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C2C7-40D2-A28C-CA7C08953889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C2C7-40D2-A28C-CA7C08953889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C2C7-40D2-A28C-CA7C0895388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6BE-4427-818F-5B5D481424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'2020Data'!$BV$113:$BV$118</c:f>
              <c:numCache>
                <c:formatCode>_(* #,##0_);_(* \(#,##0\);_(* "-"??_);_(@_)</c:formatCode>
                <c:ptCount val="6"/>
                <c:pt idx="0">
                  <c:v>8130.5042539946053</c:v>
                </c:pt>
                <c:pt idx="1">
                  <c:v>9072.454545454546</c:v>
                </c:pt>
                <c:pt idx="2">
                  <c:v>10269.580068314244</c:v>
                </c:pt>
                <c:pt idx="3">
                  <c:v>2817.3480662983425</c:v>
                </c:pt>
                <c:pt idx="4">
                  <c:v>5371.2068965517246</c:v>
                </c:pt>
                <c:pt idx="5">
                  <c:v>12440.601421887757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E-4427-818F-5B5D481424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402432"/>
        <c:axId val="222403968"/>
      </c:barChart>
      <c:catAx>
        <c:axId val="2224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403968"/>
        <c:crosses val="autoZero"/>
        <c:auto val="1"/>
        <c:lblAlgn val="ctr"/>
        <c:lblOffset val="100"/>
        <c:noMultiLvlLbl val="0"/>
      </c:catAx>
      <c:valAx>
        <c:axId val="22240396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4024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Books In Print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446277548639755E-2"/>
          <c:y val="0.15647106779274225"/>
          <c:w val="0.89627329917093657"/>
          <c:h val="0.64445287955426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746-48E1-8C30-B77FA530F0D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925C-40C8-B804-EAB41553712C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925C-40C8-B804-EAB41553712C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925C-40C8-B804-EAB41553712C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925C-40C8-B804-EAB41553712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746-48E1-8C30-B77FA530F0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'2020Data'!$BA$113:$BA$118</c:f>
              <c:numCache>
                <c:formatCode>0.00</c:formatCode>
                <c:ptCount val="6"/>
                <c:pt idx="0">
                  <c:v>1.9574511976612599</c:v>
                </c:pt>
                <c:pt idx="1">
                  <c:v>2.9889924286546301</c:v>
                </c:pt>
                <c:pt idx="2">
                  <c:v>1.2855825768516609</c:v>
                </c:pt>
                <c:pt idx="3">
                  <c:v>1.4486845649636346</c:v>
                </c:pt>
                <c:pt idx="4">
                  <c:v>1.3403490492315706</c:v>
                </c:pt>
                <c:pt idx="5">
                  <c:v>1.8303539087647127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6-48E1-8C30-B77FA530F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485952"/>
        <c:axId val="223487488"/>
      </c:barChart>
      <c:catAx>
        <c:axId val="2234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487488"/>
        <c:crosses val="autoZero"/>
        <c:auto val="1"/>
        <c:lblAlgn val="ctr"/>
        <c:lblOffset val="100"/>
        <c:noMultiLvlLbl val="0"/>
      </c:catAx>
      <c:valAx>
        <c:axId val="2234874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348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Use</a:t>
            </a:r>
            <a:r>
              <a:rPr lang="en-US" sz="1600">
                <a:solidFill>
                  <a:srgbClr val="214F6B"/>
                </a:solidFill>
              </a:rPr>
              <a:t> per Library Visit </a:t>
            </a:r>
            <a:r>
              <a:rPr lang="en-US" sz="1600" b="1" i="0" baseline="0">
                <a:solidFill>
                  <a:srgbClr val="214F6B"/>
                </a:solidFill>
              </a:rPr>
              <a:t>FY2020</a:t>
            </a:r>
            <a:endParaRPr lang="en-US" sz="1800" b="0" i="0" baseline="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3173483019542382"/>
          <c:y val="2.725739079082737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D2-44EB-B09B-9DD659F4905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B68C-4668-8F60-9534BAAE42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B68C-4668-8F60-9534BAAE42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B68C-4668-8F60-9534BAAE42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B68C-4668-8F60-9534BAAE42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8D2-44EB-B09B-9DD659F490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'2020Data'!$BX$113:$BX$118</c:f>
              <c:numCache>
                <c:formatCode>_(* #,##0.00_);_(* \(#,##0.00\);_(* "-"??_);_(@_)</c:formatCode>
                <c:ptCount val="6"/>
                <c:pt idx="0">
                  <c:v>1.6023073022312373</c:v>
                </c:pt>
                <c:pt idx="1">
                  <c:v>3.2195177030405677</c:v>
                </c:pt>
                <c:pt idx="2">
                  <c:v>1.7898321584776953</c:v>
                </c:pt>
                <c:pt idx="3">
                  <c:v>0.72564533113242446</c:v>
                </c:pt>
                <c:pt idx="4">
                  <c:v>1.379519539466401</c:v>
                </c:pt>
                <c:pt idx="5" formatCode="0.00">
                  <c:v>1.9800662230484027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4EB-B09B-9DD659F490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555584"/>
        <c:axId val="223557120"/>
      </c:barChart>
      <c:catAx>
        <c:axId val="2235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3557120"/>
        <c:crosses val="autoZero"/>
        <c:auto val="1"/>
        <c:lblAlgn val="ctr"/>
        <c:lblOffset val="100"/>
        <c:noMultiLvlLbl val="0"/>
      </c:catAx>
      <c:valAx>
        <c:axId val="2235571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2355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Collection Turnover Rate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C6-4412-8B2D-4642B7D0D20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8C46-43FB-A826-BBBE86844D6C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8C46-43FB-A826-BBBE86844D6C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8C46-43FB-A826-BBBE86844D6C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8C46-43FB-A826-BBBE86844D6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8C6-4412-8B2D-4642B7D0D20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'2020Data'!$BY$113:$BY$118</c:f>
              <c:numCache>
                <c:formatCode>0.00</c:formatCode>
                <c:ptCount val="6"/>
                <c:pt idx="0">
                  <c:v>0.88570627688649073</c:v>
                </c:pt>
                <c:pt idx="1">
                  <c:v>0.68977028853032352</c:v>
                </c:pt>
                <c:pt idx="2">
                  <c:v>1.4929400974424283</c:v>
                </c:pt>
                <c:pt idx="3">
                  <c:v>0.25323030778551353</c:v>
                </c:pt>
                <c:pt idx="4">
                  <c:v>0.41564766078945437</c:v>
                </c:pt>
                <c:pt idx="5">
                  <c:v>1.275205534905776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6-4412-8B2D-4642B7D0D2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578368"/>
        <c:axId val="223584256"/>
      </c:barChart>
      <c:catAx>
        <c:axId val="2235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3584256"/>
        <c:crosses val="autoZero"/>
        <c:auto val="1"/>
        <c:lblAlgn val="ctr"/>
        <c:lblOffset val="100"/>
        <c:noMultiLvlLbl val="0"/>
      </c:catAx>
      <c:valAx>
        <c:axId val="223584256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one"/>
        <c:crossAx val="22357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 Use Per Capita Digital (lighter) vs. Physical (darker)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 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60-40A5-93A9-96DA416682D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E3C5-4E64-9292-E3FB2641E72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3C5-4E64-9292-E3FB2641E723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E3C5-4E64-9292-E3FB2641E72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3C5-4E64-9292-E3FB2641E72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260-40A5-93A9-96DA41668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'2020Data'!$DY$113:$DY$118</c:f>
              <c:numCache>
                <c:formatCode>0.00</c:formatCode>
                <c:ptCount val="6"/>
                <c:pt idx="0">
                  <c:v>1.9936462655601659</c:v>
                </c:pt>
                <c:pt idx="1">
                  <c:v>3.387711124053582</c:v>
                </c:pt>
                <c:pt idx="2">
                  <c:v>2.7166804208788942</c:v>
                </c:pt>
                <c:pt idx="3">
                  <c:v>0.65743318068899459</c:v>
                </c:pt>
                <c:pt idx="4">
                  <c:v>1.5037770252669966</c:v>
                </c:pt>
                <c:pt idx="5">
                  <c:v>2.7663975973874755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0-40A5-93A9-96DA416682DF}"/>
            </c:ext>
          </c:extLst>
        </c:ser>
        <c:ser>
          <c:idx val="1"/>
          <c:order val="1"/>
          <c:tx>
            <c:v>Digital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6938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60-40A5-93A9-96DA416682DF}"/>
              </c:ext>
            </c:extLst>
          </c:dPt>
          <c:dPt>
            <c:idx val="1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C5-4E64-9292-E3FB2641E723}"/>
              </c:ext>
            </c:extLst>
          </c:dPt>
          <c:dPt>
            <c:idx val="2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3C5-4E64-9292-E3FB2641E723}"/>
              </c:ext>
            </c:extLst>
          </c:dPt>
          <c:dPt>
            <c:idx val="3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C5-4E64-9292-E3FB2641E723}"/>
              </c:ext>
            </c:extLst>
          </c:dPt>
          <c:dPt>
            <c:idx val="4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3C5-4E64-9292-E3FB2641E72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60-40A5-93A9-96DA41668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'2020Data'!$DZ$113:$DZ$118</c:f>
              <c:numCache>
                <c:formatCode>0.00</c:formatCode>
                <c:ptCount val="6"/>
                <c:pt idx="0">
                  <c:v>0.315676867219917</c:v>
                </c:pt>
                <c:pt idx="1">
                  <c:v>0.48714812657736362</c:v>
                </c:pt>
                <c:pt idx="2">
                  <c:v>0.57863755931504024</c:v>
                </c:pt>
                <c:pt idx="3">
                  <c:v>0.10569872197779175</c:v>
                </c:pt>
                <c:pt idx="4">
                  <c:v>0.11919770773638969</c:v>
                </c:pt>
                <c:pt idx="5">
                  <c:v>1.4506616243037131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60-40A5-93A9-96DA416682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42880"/>
        <c:axId val="226852864"/>
      </c:barChart>
      <c:catAx>
        <c:axId val="22684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852864"/>
        <c:crosses val="autoZero"/>
        <c:auto val="1"/>
        <c:lblAlgn val="ctr"/>
        <c:lblOffset val="100"/>
        <c:noMultiLvlLbl val="0"/>
      </c:catAx>
      <c:valAx>
        <c:axId val="22685286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42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Books in Print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A87-46A8-9978-2D6C8DDE80F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A87-46A8-9978-2D6C8DDE80F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A87-46A8-9978-2D6C8DDE8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'2020Data'!$BA$102:$BA$104</c:f>
              <c:numCache>
                <c:formatCode>0.00</c:formatCode>
                <c:ptCount val="3"/>
                <c:pt idx="0">
                  <c:v>1.9574511976612599</c:v>
                </c:pt>
                <c:pt idx="1">
                  <c:v>1.3640787104308798</c:v>
                </c:pt>
                <c:pt idx="2">
                  <c:v>1.8303539087647127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7-46A8-9978-2D6C8DDE8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18144"/>
        <c:axId val="215732224"/>
      </c:barChart>
      <c:catAx>
        <c:axId val="2157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32224"/>
        <c:crosses val="autoZero"/>
        <c:auto val="1"/>
        <c:lblAlgn val="ctr"/>
        <c:lblOffset val="100"/>
        <c:noMultiLvlLbl val="0"/>
      </c:catAx>
      <c:valAx>
        <c:axId val="21573222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71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Children's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>
                <a:solidFill>
                  <a:srgbClr val="214F6B"/>
                </a:solidFill>
              </a:rPr>
              <a:t>Circulation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8582621890236681"/>
          <c:y val="5.92479989894466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99027678358387E-2"/>
          <c:y val="0.28571587254664838"/>
          <c:w val="0.90717638988308258"/>
          <c:h val="0.56647586287208984"/>
        </c:manualLayout>
      </c:layout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B08-43A2-A7A1-47DC2DCCF4A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6882-439D-817E-E0E75DFCDCC6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6882-439D-817E-E0E75DFCDCC6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6882-439D-817E-E0E75DFCDCC6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6882-439D-817E-E0E75DFCDCC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7B08-43A2-A7A1-47DC2DCCF4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'2020Data'!$DW$113:$DW$118</c:f>
              <c:numCache>
                <c:formatCode>0.00</c:formatCode>
                <c:ptCount val="6"/>
                <c:pt idx="0">
                  <c:v>0.82229583176159937</c:v>
                </c:pt>
                <c:pt idx="1">
                  <c:v>1.7556979227334497</c:v>
                </c:pt>
                <c:pt idx="2">
                  <c:v>1.18635883020425</c:v>
                </c:pt>
                <c:pt idx="3">
                  <c:v>0.31169375355421869</c:v>
                </c:pt>
                <c:pt idx="4">
                  <c:v>0.65423287314404788</c:v>
                </c:pt>
                <c:pt idx="5">
                  <c:v>1.2707104774760776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8-43A2-A7A1-47DC2DCCF4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84608"/>
        <c:axId val="2267676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Digital</c:v>
                </c:tx>
                <c:spPr>
                  <a:solidFill>
                    <a:schemeClr val="accent2">
                      <a:lumMod val="75000"/>
                    </a:schemeClr>
                  </a:solidFill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75000"/>
                      </a:schemeClr>
                    </a:solidFill>
                    <a:ln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7B08-43A2-A7A1-47DC2DCCF4A6}"/>
                    </c:ext>
                  </c:extLst>
                </c:dPt>
                <c:dLbls>
                  <c:dLbl>
                    <c:idx val="0"/>
                    <c:spPr>
                      <a:effectLst/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3-7B08-43A2-A7A1-47DC2DCCF4A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'2020Data'!$B$113:$B$118</c15:sqref>
                        </c15:formulaRef>
                      </c:ext>
                    </c:extLst>
                    <c:strCache>
                      <c:ptCount val="6"/>
                      <c:pt idx="0">
                        <c:v>NW REGIONAL</c:v>
                      </c:pt>
                      <c:pt idx="1">
                        <c:v>AMY REGIONAL</c:v>
                      </c:pt>
                      <c:pt idx="2">
                        <c:v>AMY REGIONAL</c:v>
                      </c:pt>
                      <c:pt idx="3">
                        <c:v>BHM REGIONAL</c:v>
                      </c:pt>
                      <c:pt idx="4">
                        <c:v>ALEXANDER </c:v>
                      </c:pt>
                      <c:pt idx="5">
                        <c:v>Average Statewide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'2020Data'!$DX$113:$DX$118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B08-43A2-A7A1-47DC2DCCF4A6}"/>
                  </c:ext>
                </c:extLst>
              </c15:ser>
            </c15:filteredBarSeries>
          </c:ext>
        </c:extLst>
      </c:barChart>
      <c:catAx>
        <c:axId val="2268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767616"/>
        <c:crosses val="autoZero"/>
        <c:auto val="1"/>
        <c:lblAlgn val="ctr"/>
        <c:lblOffset val="100"/>
        <c:noMultiLvlLbl val="0"/>
      </c:catAx>
      <c:valAx>
        <c:axId val="2267676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846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Collection-Items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B84-427F-B4F3-176A7DEC40D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891-4877-9E4C-0FF6640AA648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F891-4877-9E4C-0FF6640AA648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F891-4877-9E4C-0FF6640AA648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F891-4877-9E4C-0FF6640AA648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B84-427F-B4F3-176A7DEC40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'2020Data'!$BL$113:$BL$118</c:f>
              <c:numCache>
                <c:formatCode>0.00</c:formatCode>
                <c:ptCount val="6"/>
                <c:pt idx="0">
                  <c:v>2.6073238872123725</c:v>
                </c:pt>
                <c:pt idx="1">
                  <c:v>5.617608231411376</c:v>
                </c:pt>
                <c:pt idx="2">
                  <c:v>2.2072673818857025</c:v>
                </c:pt>
                <c:pt idx="3">
                  <c:v>3.0135883391697345</c:v>
                </c:pt>
                <c:pt idx="4">
                  <c:v>3.9046887210210994</c:v>
                </c:pt>
                <c:pt idx="5">
                  <c:v>5.289919482323227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4-427F-B4F3-176A7DEC4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13440"/>
        <c:axId val="226814976"/>
      </c:barChart>
      <c:catAx>
        <c:axId val="2268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814976"/>
        <c:crosses val="autoZero"/>
        <c:auto val="1"/>
        <c:lblAlgn val="ctr"/>
        <c:lblOffset val="100"/>
        <c:noMultiLvlLbl val="0"/>
      </c:catAx>
      <c:valAx>
        <c:axId val="2268149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13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Operating Revenue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F88-4BD1-ABBF-66CE52730B59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764D-443A-8B5F-BD1F259CDC2D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764D-443A-8B5F-BD1F259CDC2D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0A1E-4A40-B0DF-BEB5BB10CF3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764D-443A-8B5F-BD1F259CDC2D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F88-4BD1-ABBF-66CE52730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'2020Data'!$AQ$113:$AQ$118</c:f>
              <c:numCache>
                <c:formatCode>"$"#,##0.00</c:formatCode>
                <c:ptCount val="6"/>
                <c:pt idx="0">
                  <c:v>14.938042248208223</c:v>
                </c:pt>
                <c:pt idx="1">
                  <c:v>16.239390409629198</c:v>
                </c:pt>
                <c:pt idx="2">
                  <c:v>16.795356663915825</c:v>
                </c:pt>
                <c:pt idx="3">
                  <c:v>12.802205860345396</c:v>
                </c:pt>
                <c:pt idx="4">
                  <c:v>14.891143526960146</c:v>
                </c:pt>
                <c:pt idx="5">
                  <c:v>25.396720968539146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8-4BD1-ABBF-66CE52730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943744"/>
        <c:axId val="226945280"/>
      </c:barChart>
      <c:catAx>
        <c:axId val="2269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945280"/>
        <c:crosses val="autoZero"/>
        <c:auto val="1"/>
        <c:lblAlgn val="ctr"/>
        <c:lblOffset val="100"/>
        <c:noMultiLvlLbl val="0"/>
      </c:catAx>
      <c:valAx>
        <c:axId val="22694528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694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Total Local Government Revenue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B57-4ED7-99F4-575C74F578C4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4105-44FD-B0BF-8E0792A46997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4105-44FD-B0BF-8E0792A46997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105-44FD-B0BF-8E0792A46997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105-44FD-B0BF-8E0792A4699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B57-4ED7-99F4-575C74F578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'2020Data'!$AJ$113:$AJ$118</c:f>
              <c:numCache>
                <c:formatCode>"$"#,##0.00</c:formatCode>
                <c:ptCount val="6"/>
                <c:pt idx="0">
                  <c:v>23.97137872500943</c:v>
                </c:pt>
                <c:pt idx="1">
                  <c:v>23.362337410211609</c:v>
                </c:pt>
                <c:pt idx="2">
                  <c:v>28.967737775943881</c:v>
                </c:pt>
                <c:pt idx="3">
                  <c:v>17.830175690640807</c:v>
                </c:pt>
                <c:pt idx="4">
                  <c:v>25.882677780672051</c:v>
                </c:pt>
                <c:pt idx="5">
                  <c:v>38.851330074472422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7-4ED7-99F4-575C74F578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974336"/>
        <c:axId val="226976128"/>
      </c:barChart>
      <c:catAx>
        <c:axId val="2269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976128"/>
        <c:crosses val="autoZero"/>
        <c:auto val="1"/>
        <c:lblAlgn val="ctr"/>
        <c:lblOffset val="100"/>
        <c:noMultiLvlLbl val="0"/>
      </c:catAx>
      <c:valAx>
        <c:axId val="226976128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697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Total Operating Expenditures</a:t>
            </a:r>
          </a:p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1D5-48F5-A58F-826ABBB5E4E2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D97B-4BCA-BE86-936F916C55DA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D97B-4BCA-BE86-936F916C55DA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D97B-4BCA-BE86-936F916C55DA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D97B-4BCA-BE86-936F916C55D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1D5-48F5-A58F-826ABBB5E4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'2020Data'!$W$113:$W$118</c:f>
              <c:numCache>
                <c:formatCode>"$"#,##0.00</c:formatCode>
                <c:ptCount val="6"/>
                <c:pt idx="0">
                  <c:v>14.308215060354582</c:v>
                </c:pt>
                <c:pt idx="1">
                  <c:v>16.362415065035915</c:v>
                </c:pt>
                <c:pt idx="2">
                  <c:v>16.987260160924283</c:v>
                </c:pt>
                <c:pt idx="3">
                  <c:v>12.19094010954476</c:v>
                </c:pt>
                <c:pt idx="4">
                  <c:v>13.844438655899975</c:v>
                </c:pt>
                <c:pt idx="5">
                  <c:v>23.990049306525083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D5-48F5-A58F-826ABBB5E4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025280"/>
        <c:axId val="227026816"/>
      </c:barChart>
      <c:catAx>
        <c:axId val="22702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026816"/>
        <c:crosses val="autoZero"/>
        <c:auto val="1"/>
        <c:lblAlgn val="ctr"/>
        <c:lblOffset val="100"/>
        <c:noMultiLvlLbl val="0"/>
      </c:catAx>
      <c:valAx>
        <c:axId val="227026816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02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Other Operating Expenditures as Percentage of </a:t>
            </a:r>
            <a:br>
              <a:rPr lang="en-US" sz="1600">
                <a:solidFill>
                  <a:srgbClr val="214F6B"/>
                </a:solidFill>
              </a:rPr>
            </a:br>
            <a:r>
              <a:rPr lang="en-US" sz="1600">
                <a:solidFill>
                  <a:srgbClr val="214F6B"/>
                </a:solidFill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0070C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351-4731-A38A-4C58AC95ABF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2BA3-4C7B-A6C1-010C16E3837B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BA3-4C7B-A6C1-010C16E3837B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2BA3-4C7B-A6C1-010C16E3837B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BA3-4C7B-A6C1-010C16E3837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351-4731-A38A-4C58AC95ABFE}"/>
              </c:ext>
            </c:extLst>
          </c:dPt>
          <c:dLbls>
            <c:dLbl>
              <c:idx val="1"/>
              <c:layout>
                <c:manualLayout>
                  <c:x val="0"/>
                  <c:y val="4.1363607614952535E-3"/>
                </c:manualLayout>
              </c:layout>
              <c:tx>
                <c:rich>
                  <a:bodyPr/>
                  <a:lstStyle/>
                  <a:p>
                    <a:fld id="{8C370A0E-9F50-4045-8F75-7022E6544C7C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BA3-4C7B-A6C1-010C16E383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'2020Data'!$Z$113:$Z$118</c:f>
              <c:numCache>
                <c:formatCode>0.00%</c:formatCode>
                <c:ptCount val="6"/>
                <c:pt idx="0">
                  <c:v>0.20843437665931094</c:v>
                </c:pt>
                <c:pt idx="1">
                  <c:v>0.2606961325442439</c:v>
                </c:pt>
                <c:pt idx="2">
                  <c:v>0.15969723606265693</c:v>
                </c:pt>
                <c:pt idx="3">
                  <c:v>0.17556587525763451</c:v>
                </c:pt>
                <c:pt idx="4">
                  <c:v>0.13532572701547355</c:v>
                </c:pt>
                <c:pt idx="5">
                  <c:v>0.16707952841077636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1-4731-A38A-4C58AC95AB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055872"/>
        <c:axId val="227057664"/>
      </c:barChart>
      <c:catAx>
        <c:axId val="2270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057664"/>
        <c:crosses val="autoZero"/>
        <c:auto val="1"/>
        <c:lblAlgn val="ctr"/>
        <c:lblOffset val="100"/>
        <c:noMultiLvlLbl val="0"/>
      </c:catAx>
      <c:valAx>
        <c:axId val="2270576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05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Library Materials Expenditures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0860661230082542"/>
          <c:y val="3.111111111111125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3D9-4BD8-AA31-FBC3D02FBA8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F9FE-449F-9902-C4D0FFE5CFB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F9FE-449F-9902-C4D0FFE5CFB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F9FE-449F-9902-C4D0FFE5CFB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F9FE-449F-9902-C4D0FFE5CFB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3D9-4BD8-AA31-FBC3D02FBA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'2020Data'!$R$113:$R$118</c:f>
              <c:numCache>
                <c:formatCode>"$"#,##0.00</c:formatCode>
                <c:ptCount val="6"/>
                <c:pt idx="0">
                  <c:v>0.86193889098453413</c:v>
                </c:pt>
                <c:pt idx="1">
                  <c:v>1.2948941953018831</c:v>
                </c:pt>
                <c:pt idx="2">
                  <c:v>0.99757582009490409</c:v>
                </c:pt>
                <c:pt idx="3">
                  <c:v>0.8560803328245189</c:v>
                </c:pt>
                <c:pt idx="4">
                  <c:v>1.3853347225840063</c:v>
                </c:pt>
                <c:pt idx="5">
                  <c:v>2.4539138888612335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9-4BD8-AA31-FBC3D02FBA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64544"/>
        <c:axId val="227166080"/>
      </c:barChart>
      <c:catAx>
        <c:axId val="22716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66080"/>
        <c:crosses val="autoZero"/>
        <c:auto val="1"/>
        <c:lblAlgn val="ctr"/>
        <c:lblOffset val="100"/>
        <c:noMultiLvlLbl val="0"/>
      </c:catAx>
      <c:valAx>
        <c:axId val="22716608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164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Salaries/Wages Expenditures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79A-49F5-90A4-D7900B5F1FA2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05B2-42CB-93FC-D0909061154B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05B2-42CB-93FC-D0909061154B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05B2-42CB-93FC-D0909061154B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05B2-42CB-93FC-D0909061154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79A-49F5-90A4-D7900B5F1F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'2020Data'!$M$113:$M$118</c:f>
              <c:numCache>
                <c:formatCode>"$"#,##0.00</c:formatCode>
                <c:ptCount val="6"/>
                <c:pt idx="0">
                  <c:v>10.463952282157676</c:v>
                </c:pt>
                <c:pt idx="1">
                  <c:v>10.801902543195496</c:v>
                </c:pt>
                <c:pt idx="2">
                  <c:v>13.276865844852486</c:v>
                </c:pt>
                <c:pt idx="3">
                  <c:v>9.1945467061746129</c:v>
                </c:pt>
                <c:pt idx="4">
                  <c:v>10.585595207085179</c:v>
                </c:pt>
                <c:pt idx="5">
                  <c:v>17.437238764081602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A-49F5-90A4-D7900B5F1F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44064"/>
        <c:axId val="227145600"/>
      </c:barChart>
      <c:catAx>
        <c:axId val="2271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45600"/>
        <c:crosses val="autoZero"/>
        <c:auto val="1"/>
        <c:lblAlgn val="ctr"/>
        <c:lblOffset val="100"/>
        <c:noMultiLvlLbl val="0"/>
      </c:catAx>
      <c:valAx>
        <c:axId val="22714560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144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Library Materials Expenditure as Percentage of </a:t>
            </a:r>
            <a:br>
              <a:rPr lang="en-US" sz="1600">
                <a:solidFill>
                  <a:srgbClr val="214F6B"/>
                </a:solidFill>
              </a:rPr>
            </a:br>
            <a:r>
              <a:rPr lang="en-US" sz="1600">
                <a:solidFill>
                  <a:srgbClr val="214F6B"/>
                </a:solidFill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885-4D3E-8501-606D4B3604C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63A6-48BC-9CA4-15A2BEBC8D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63A6-48BC-9CA4-15A2BEBC8D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63A6-48BC-9CA4-15A2BEBC8D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63A6-48BC-9CA4-15A2BEBC8D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85-4D3E-8501-606D4B3604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'2020Data'!$Y$113:$Y$118</c:f>
              <c:numCache>
                <c:formatCode>0.00%</c:formatCode>
                <c:ptCount val="6"/>
                <c:pt idx="0">
                  <c:v>6.0240839779715595E-2</c:v>
                </c:pt>
                <c:pt idx="1">
                  <c:v>7.9138329528682008E-2</c:v>
                </c:pt>
                <c:pt idx="2">
                  <c:v>5.8724939198236521E-2</c:v>
                </c:pt>
                <c:pt idx="3">
                  <c:v>7.0222667417934426E-2</c:v>
                </c:pt>
                <c:pt idx="4">
                  <c:v>0.10006434764284425</c:v>
                </c:pt>
                <c:pt idx="5">
                  <c:v>0.10030630260243596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5-4D3E-8501-606D4B3604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66560"/>
        <c:axId val="227268096"/>
      </c:barChart>
      <c:catAx>
        <c:axId val="2272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50" b="1">
                <a:solidFill>
                  <a:srgbClr val="214F6B"/>
                </a:solidFill>
              </a:defRPr>
            </a:pPr>
            <a:endParaRPr lang="en-US"/>
          </a:p>
        </c:txPr>
        <c:crossAx val="227268096"/>
        <c:crosses val="autoZero"/>
        <c:auto val="1"/>
        <c:lblAlgn val="ctr"/>
        <c:lblOffset val="100"/>
        <c:noMultiLvlLbl val="0"/>
      </c:catAx>
      <c:valAx>
        <c:axId val="22726809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266560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Total Full-Time Equivalent</a:t>
            </a:r>
            <a:r>
              <a:rPr lang="en-US" sz="1600" baseline="0">
                <a:solidFill>
                  <a:srgbClr val="214F6B"/>
                </a:solidFill>
                <a:latin typeface="Calibri" pitchFamily="34" charset="0"/>
              </a:rPr>
              <a:t> (FTE) Library Employees</a:t>
            </a: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 </a:t>
            </a:r>
            <a:br>
              <a:rPr lang="en-US" sz="1600">
                <a:solidFill>
                  <a:srgbClr val="214F6B"/>
                </a:solidFill>
                <a:latin typeface="Calibri" pitchFamily="34" charset="0"/>
              </a:rPr>
            </a:b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  <a:latin typeface="Calibri" pitchFamily="34" charset="0"/>
            </a:endParaRPr>
          </a:p>
        </c:rich>
      </c:tx>
      <c:layout>
        <c:manualLayout>
          <c:xMode val="edge"/>
          <c:yMode val="edge"/>
          <c:x val="0.15303554276738629"/>
          <c:y val="3.84993846650825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D1D-4C11-B635-AA913EA48B04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B35F-4017-955B-3D1B8BE94170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B35F-4017-955B-3D1B8BE94170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B35F-4017-955B-3D1B8BE94170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B35F-4017-955B-3D1B8BE94170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D1D-4C11-B635-AA913EA48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'2020Data'!$CS$113:$CS$118</c:f>
              <c:numCache>
                <c:formatCode>_(* #,##0.00_);_(* \(#,##0.00\);_(* "-"??_);_(@_)</c:formatCode>
                <c:ptCount val="6"/>
                <c:pt idx="0">
                  <c:v>48.19</c:v>
                </c:pt>
                <c:pt idx="1">
                  <c:v>22</c:v>
                </c:pt>
                <c:pt idx="2">
                  <c:v>49.77</c:v>
                </c:pt>
                <c:pt idx="3">
                  <c:v>18.100000000000001</c:v>
                </c:pt>
                <c:pt idx="4">
                  <c:v>11.6</c:v>
                </c:pt>
                <c:pt idx="5">
                  <c:v>38.054878048780481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D-4C11-B635-AA913EA48B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123904"/>
        <c:axId val="222125440"/>
      </c:barChart>
      <c:catAx>
        <c:axId val="22212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22125440"/>
        <c:crosses val="autoZero"/>
        <c:auto val="1"/>
        <c:lblAlgn val="ctr"/>
        <c:lblOffset val="100"/>
        <c:noMultiLvlLbl val="0"/>
      </c:catAx>
      <c:valAx>
        <c:axId val="222125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22123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Collection Total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Items Per Capita 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62F-421B-B75E-452218934F8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6EEC-4014-8442-54B9BEF2BC5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6EEC-4014-8442-54B9BEF2BC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'2020Data'!$BL$102:$BL$104</c:f>
              <c:numCache>
                <c:formatCode>0.00</c:formatCode>
                <c:ptCount val="3"/>
                <c:pt idx="0">
                  <c:v>2.6073238872123725</c:v>
                </c:pt>
                <c:pt idx="1">
                  <c:v>2.7708339020060211</c:v>
                </c:pt>
                <c:pt idx="2">
                  <c:v>5.289919482323227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F-421B-B75E-452218934F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56800"/>
        <c:axId val="215758336"/>
      </c:barChart>
      <c:catAx>
        <c:axId val="2157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58336"/>
        <c:crosses val="autoZero"/>
        <c:auto val="1"/>
        <c:lblAlgn val="ctr"/>
        <c:lblOffset val="100"/>
        <c:noMultiLvlLbl val="0"/>
      </c:catAx>
      <c:valAx>
        <c:axId val="2157583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756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Library Square Footage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4289352811014542"/>
          <c:y val="2.8177412164220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77-4961-80D7-B204A8C2F82D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27D-467D-A9AD-380F46BA3658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C27D-467D-A9AD-380F46BA3658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C27D-467D-A9AD-380F46BA3658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C27D-467D-A9AD-380F46BA3658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A577-4961-80D7-B204A8C2F8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'2020Data'!$I$113:$I$118</c:f>
              <c:numCache>
                <c:formatCode>0.00</c:formatCode>
                <c:ptCount val="6"/>
                <c:pt idx="0">
                  <c:v>0.61075000000000002</c:v>
                </c:pt>
                <c:pt idx="1">
                  <c:v>0.55469000000000002</c:v>
                </c:pt>
                <c:pt idx="2">
                  <c:v>0.45840999999999998</c:v>
                </c:pt>
                <c:pt idx="3">
                  <c:v>0.47832000000000002</c:v>
                </c:pt>
                <c:pt idx="4">
                  <c:v>0.34176000000000001</c:v>
                </c:pt>
                <c:pt idx="5">
                  <c:v>0.55860402439024393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7-4961-80D7-B204A8C2F8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78848"/>
        <c:axId val="227280384"/>
      </c:barChart>
      <c:catAx>
        <c:axId val="2272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7280384"/>
        <c:crosses val="autoZero"/>
        <c:auto val="1"/>
        <c:lblAlgn val="ctr"/>
        <c:lblOffset val="100"/>
        <c:noMultiLvlLbl val="0"/>
      </c:catAx>
      <c:valAx>
        <c:axId val="22728038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72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Salaries/Wages Expenditures as Percentage of </a:t>
            </a:r>
            <a:b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</a:b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FY2020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AE0DC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0B-4953-A9AC-5F1797DF40C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505-49A9-B76C-E18F5E0AFDC5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505-49A9-B76C-E18F5E0AFDC5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0505-49A9-B76C-E18F5E0AFDC5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505-49A9-B76C-E18F5E0AFDC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40B-4953-A9AC-5F1797DF40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'2020Data'!$X$113:$X$118</c:f>
              <c:numCache>
                <c:formatCode>0.00%</c:formatCode>
                <c:ptCount val="6"/>
                <c:pt idx="0">
                  <c:v>0.73132478356097341</c:v>
                </c:pt>
                <c:pt idx="1">
                  <c:v>0.66016553792707411</c:v>
                </c:pt>
                <c:pt idx="2">
                  <c:v>0.78157782473910653</c:v>
                </c:pt>
                <c:pt idx="3">
                  <c:v>0.75421145732443107</c:v>
                </c:pt>
                <c:pt idx="4">
                  <c:v>0.76460992534168226</c:v>
                </c:pt>
                <c:pt idx="5">
                  <c:v>0.73261416898678755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0B-4953-A9AC-5F1797DF40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44064"/>
        <c:axId val="227145600"/>
      </c:barChart>
      <c:catAx>
        <c:axId val="2271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45600"/>
        <c:crosses val="autoZero"/>
        <c:auto val="1"/>
        <c:lblAlgn val="ctr"/>
        <c:lblOffset val="100"/>
        <c:noMultiLvlLbl val="0"/>
      </c:catAx>
      <c:valAx>
        <c:axId val="2271456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144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Annual</a:t>
            </a:r>
            <a:r>
              <a:rPr lang="en-US" sz="1600" baseline="0">
                <a:solidFill>
                  <a:srgbClr val="214F6B"/>
                </a:solidFill>
              </a:rPr>
              <a:t> Volunteer Hours FY2020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30563411388665895"/>
          <c:y val="3.28929336424459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E-4378-8CED-B7B82FF8C93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6BD3-482F-84DD-16BACBE9E5A9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098-4E1D-B8E0-022BB9B5436A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6BD3-482F-84DD-16BACBE9E5A9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098-4E1D-B8E0-022BB9B5436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181E-4378-8CED-B7B82FF8C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'2020Data'!$CU$113:$CU$118</c:f>
              <c:numCache>
                <c:formatCode>_(* #,##0_);_(* \(#,##0\);_(* "-"??_);_(@_)</c:formatCode>
                <c:ptCount val="6"/>
                <c:pt idx="0">
                  <c:v>4751</c:v>
                </c:pt>
                <c:pt idx="1">
                  <c:v>428</c:v>
                </c:pt>
                <c:pt idx="2">
                  <c:v>4570</c:v>
                </c:pt>
                <c:pt idx="3">
                  <c:v>231</c:v>
                </c:pt>
                <c:pt idx="4">
                  <c:v>0</c:v>
                </c:pt>
                <c:pt idx="5">
                  <c:v>2097.8565822784808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1E-4378-8CED-B7B82FF8C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78848"/>
        <c:axId val="227280384"/>
      </c:barChart>
      <c:catAx>
        <c:axId val="2272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80384"/>
        <c:crosses val="autoZero"/>
        <c:auto val="1"/>
        <c:lblAlgn val="ctr"/>
        <c:lblOffset val="100"/>
        <c:noMultiLvlLbl val="0"/>
      </c:catAx>
      <c:valAx>
        <c:axId val="22728038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72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600" b="1" i="0" baseline="0">
                <a:solidFill>
                  <a:srgbClr val="214F6B"/>
                </a:solidFill>
                <a:effectLst/>
              </a:rPr>
              <a:t>Physical Material Expenditure per Circulation FY2020</a:t>
            </a:r>
            <a:endParaRPr lang="en-US" sz="1200">
              <a:solidFill>
                <a:srgbClr val="214F6B"/>
              </a:solidFill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FB-4F87-8BFF-8CA331FDA23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BAFB-4F87-8BFF-8CA331FDA23E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BAFB-4F87-8BFF-8CA331FDA23E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BAFB-4F87-8BFF-8CA331FDA23E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AFB-4F87-8BFF-8CA331FDA23E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9D45-487A-9B5C-CFD540B0CD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'2020Data'!$EA$113:$EA$118</c:f>
              <c:numCache>
                <c:formatCode>"$"#,##0.00</c:formatCode>
                <c:ptCount val="6"/>
                <c:pt idx="0">
                  <c:v>0.20776575882653361</c:v>
                </c:pt>
                <c:pt idx="1">
                  <c:v>0.25175796510113724</c:v>
                </c:pt>
                <c:pt idx="2">
                  <c:v>0.20063200286763455</c:v>
                </c:pt>
                <c:pt idx="3">
                  <c:v>0.66637841844376844</c:v>
                </c:pt>
                <c:pt idx="4">
                  <c:v>0.47887646959418678</c:v>
                </c:pt>
                <c:pt idx="5">
                  <c:v>0.49983097653631681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B-4F87-8BFF-8CA331FDA2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31616"/>
        <c:axId val="227233152"/>
      </c:barChart>
      <c:catAx>
        <c:axId val="227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33152"/>
        <c:crosses val="autoZero"/>
        <c:auto val="1"/>
        <c:lblAlgn val="ctr"/>
        <c:lblOffset val="100"/>
        <c:noMultiLvlLbl val="0"/>
      </c:catAx>
      <c:valAx>
        <c:axId val="22723315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2316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600" b="1" i="0" baseline="0">
                <a:solidFill>
                  <a:srgbClr val="214F6B"/>
                </a:solidFill>
                <a:effectLst/>
              </a:rPr>
              <a:t>Digital Material Expenditure per Circulation FY2020</a:t>
            </a:r>
            <a:endParaRPr lang="en-US" sz="1200">
              <a:solidFill>
                <a:srgbClr val="214F6B"/>
              </a:solidFill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49-43B6-A592-CBAB672F807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D949-43B6-A592-CBAB672F807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B-D949-43B6-A592-CBAB672F807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F-D949-43B6-A592-CBAB672F807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D949-43B6-A592-CBAB672F807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949-43B6-A592-CBAB672F80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'2020Data'!$B$113:$B$118</c:f>
              <c:strCache>
                <c:ptCount val="6"/>
                <c:pt idx="0">
                  <c:v>NW REGIONAL</c:v>
                </c:pt>
                <c:pt idx="1">
                  <c:v>AMY REGIONAL</c:v>
                </c:pt>
                <c:pt idx="2">
                  <c:v>AMY REGIONAL</c:v>
                </c:pt>
                <c:pt idx="3">
                  <c:v>BHM REGIONAL</c:v>
                </c:pt>
                <c:pt idx="4">
                  <c:v>ALEXANDER </c:v>
                </c:pt>
                <c:pt idx="5">
                  <c:v>Average Statewide</c:v>
                </c:pt>
              </c:strCache>
            </c:strRef>
          </c:cat>
          <c:val>
            <c:numRef>
              <c:f>'2020Data'!$EB$113:$EB$118</c:f>
              <c:numCache>
                <c:formatCode>"$"#,##0.00</c:formatCode>
                <c:ptCount val="6"/>
                <c:pt idx="0">
                  <c:v>0.70994604081480239</c:v>
                </c:pt>
                <c:pt idx="1">
                  <c:v>0</c:v>
                </c:pt>
                <c:pt idx="2">
                  <c:v>0.18441431102296404</c:v>
                </c:pt>
                <c:pt idx="3">
                  <c:v>0.95313606116381144</c:v>
                </c:pt>
                <c:pt idx="4">
                  <c:v>1.4825174825174825</c:v>
                </c:pt>
                <c:pt idx="5">
                  <c:v>0.53005193551369711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49-43B6-A592-CBAB672F80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31616"/>
        <c:axId val="227233152"/>
      </c:barChart>
      <c:catAx>
        <c:axId val="227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33152"/>
        <c:crosses val="autoZero"/>
        <c:auto val="1"/>
        <c:lblAlgn val="ctr"/>
        <c:lblOffset val="100"/>
        <c:noMultiLvlLbl val="0"/>
      </c:catAx>
      <c:valAx>
        <c:axId val="22723315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2316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>
                <a:solidFill>
                  <a:srgbClr val="214F6B"/>
                </a:solidFill>
              </a:rPr>
              <a:t>Circulation</a:t>
            </a:r>
            <a:r>
              <a:rPr lang="en-US" sz="1400" b="1" baseline="0">
                <a:solidFill>
                  <a:srgbClr val="214F6B"/>
                </a:solidFill>
              </a:rPr>
              <a:t> per paid Staff</a:t>
            </a:r>
            <a:br>
              <a:rPr lang="en-US" sz="1400" b="1" baseline="0">
                <a:solidFill>
                  <a:srgbClr val="214F6B"/>
                </a:solidFill>
              </a:rPr>
            </a:br>
            <a:r>
              <a:rPr lang="en-US" sz="1400" b="1">
                <a:solidFill>
                  <a:srgbClr val="214F6B"/>
                </a:solidFill>
              </a:rPr>
              <a:t>FY2020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2FB-4153-9806-680CCEE3A0B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48C-416A-AD2B-AB583462098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48C-416A-AD2B-AB58346209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'2020Data'!$BV$102:$BV$104</c:f>
              <c:numCache>
                <c:formatCode>_(* #,##0_);_(* \(#,##0\);_(* "-"??_);_(@_)</c:formatCode>
                <c:ptCount val="3"/>
                <c:pt idx="0">
                  <c:v>8130.5042539946053</c:v>
                </c:pt>
                <c:pt idx="1">
                  <c:v>13595.517467432559</c:v>
                </c:pt>
                <c:pt idx="2">
                  <c:v>12440.601421887757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B-4153-9806-680CCEE3A0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91104"/>
        <c:axId val="215792640"/>
      </c:barChart>
      <c:catAx>
        <c:axId val="2157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92640"/>
        <c:crosses val="autoZero"/>
        <c:auto val="1"/>
        <c:lblAlgn val="ctr"/>
        <c:lblOffset val="100"/>
        <c:noMultiLvlLbl val="0"/>
      </c:catAx>
      <c:valAx>
        <c:axId val="215792640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1579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214F6B"/>
                </a:solidFill>
              </a:defRPr>
            </a:pPr>
            <a:r>
              <a:rPr lang="en-US" sz="1400" b="1">
                <a:solidFill>
                  <a:srgbClr val="214F6B"/>
                </a:solidFill>
              </a:rPr>
              <a:t>Digital (lighter) vs. Physical (darker) Item Usage FY2020</a:t>
            </a:r>
          </a:p>
        </c:rich>
      </c:tx>
      <c:layout>
        <c:manualLayout>
          <c:xMode val="edge"/>
          <c:yMode val="edge"/>
          <c:x val="0.11321691178306323"/>
          <c:y val="4.674588389305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11498671432161"/>
          <c:y val="0.27558161054196895"/>
          <c:w val="0.84904284339003833"/>
          <c:h val="0.58026689935524522"/>
        </c:manualLayout>
      </c:layout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rgbClr val="214F6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922-4427-8950-9A5B1B5AE6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5CDF-48BA-B7AF-01E22D80056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CDF-48BA-B7AF-01E22D8005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'2020Data'!$DY$102:$DY$104</c:f>
              <c:numCache>
                <c:formatCode>0.00</c:formatCode>
                <c:ptCount val="3"/>
                <c:pt idx="0">
                  <c:v>1.9936462655601659</c:v>
                </c:pt>
                <c:pt idx="1">
                  <c:v>2.3251697596805201</c:v>
                </c:pt>
                <c:pt idx="2">
                  <c:v>2.7663975973874755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2-4427-8950-9A5B1B5AE638}"/>
            </c:ext>
          </c:extLst>
        </c:ser>
        <c:ser>
          <c:idx val="1"/>
          <c:order val="1"/>
          <c:tx>
            <c:v>Digital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22-4427-8950-9A5B1B5AE6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CDF-48BA-B7AF-01E22D80056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CDF-48BA-B7AF-01E22D80056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'2020Data'!$DZ$102:$DZ$104</c:f>
              <c:numCache>
                <c:formatCode>0.00</c:formatCode>
                <c:ptCount val="3"/>
                <c:pt idx="0">
                  <c:v>0.315676867219917</c:v>
                </c:pt>
                <c:pt idx="1">
                  <c:v>1.2093699062673979</c:v>
                </c:pt>
                <c:pt idx="2">
                  <c:v>1.4506616243037131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22-4427-8950-9A5B1B5AE6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36320"/>
        <c:axId val="221337856"/>
      </c:barChart>
      <c:catAx>
        <c:axId val="2213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1337856"/>
        <c:crosses val="autoZero"/>
        <c:auto val="1"/>
        <c:lblAlgn val="ctr"/>
        <c:lblOffset val="100"/>
        <c:noMultiLvlLbl val="0"/>
      </c:catAx>
      <c:valAx>
        <c:axId val="22133785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33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 algn="ctr">
        <a:defRPr lang="en-US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Children's Circulation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FY2020</a:t>
            </a:r>
          </a:p>
        </c:rich>
      </c:tx>
      <c:layout>
        <c:manualLayout>
          <c:xMode val="edge"/>
          <c:yMode val="edge"/>
          <c:x val="0.20547495641660798"/>
          <c:y val="2.95570206216571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98217410323709"/>
          <c:y val="0.39591936424613638"/>
          <c:w val="0.82982338145231849"/>
          <c:h val="0.42034995625547134"/>
        </c:manualLayout>
      </c:layout>
      <c:barChart>
        <c:barDir val="col"/>
        <c:grouping val="clustered"/>
        <c:varyColors val="0"/>
        <c:ser>
          <c:idx val="2"/>
          <c:order val="0"/>
          <c:tx>
            <c:v>Physical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90D-4D2D-84A1-D87071B2109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85F-4A9C-B391-F6152F6F10B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85F-4A9C-B391-F6152F6F1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'2020Data'!$DW$102:$DW$104</c:f>
              <c:numCache>
                <c:formatCode>0.00</c:formatCode>
                <c:ptCount val="3"/>
                <c:pt idx="0">
                  <c:v>0.82229583176159937</c:v>
                </c:pt>
                <c:pt idx="1">
                  <c:v>0.96885529022714534</c:v>
                </c:pt>
                <c:pt idx="2">
                  <c:v>1.2707104774760776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D-4D2D-84A1-D87071B210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72800"/>
        <c:axId val="22137433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v>Digital</c:v>
                </c:tx>
                <c:spPr>
                  <a:solidFill>
                    <a:schemeClr val="accent2">
                      <a:lumMod val="75000"/>
                    </a:schemeClr>
                  </a:solidFill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75000"/>
                      </a:schemeClr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2-590D-4D2D-84A1-D87071B210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'2020Data'!$B$102:$B$104</c15:sqref>
                        </c15:formulaRef>
                      </c:ext>
                    </c:extLst>
                    <c:strCache>
                      <c:ptCount val="3"/>
                      <c:pt idx="0">
                        <c:v>NW Regional</c:v>
                      </c:pt>
                      <c:pt idx="1">
                        <c:v>Average 100,000-249,999 population</c:v>
                      </c:pt>
                      <c:pt idx="2">
                        <c:v>Average Statewide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'2020Data'!$DX$102:$DX$104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90D-4D2D-84A1-D87071B21093}"/>
                  </c:ext>
                </c:extLst>
              </c15:ser>
            </c15:filteredBarSeries>
          </c:ext>
        </c:extLst>
      </c:barChart>
      <c:catAx>
        <c:axId val="22137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74336"/>
        <c:crosses val="autoZero"/>
        <c:auto val="1"/>
        <c:lblAlgn val="ctr"/>
        <c:lblOffset val="100"/>
        <c:noMultiLvlLbl val="0"/>
      </c:catAx>
      <c:valAx>
        <c:axId val="2213743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37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 b="1" i="0" u="none" strike="noStrike" kern="1200" baseline="0">
                <a:solidFill>
                  <a:srgbClr val="214F6B"/>
                </a:solidFill>
                <a:latin typeface="Calibri"/>
                <a:ea typeface="Calibri"/>
                <a:cs typeface="Calibri"/>
              </a:rPr>
              <a:t>Circulation</a:t>
            </a:r>
            <a:r>
              <a:rPr lang="en-US" sz="140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  <a:latin typeface="Calibri" pitchFamily="34" charset="0"/>
              </a:rPr>
              <a:t>Per Library Visit </a:t>
            </a:r>
            <a:br>
              <a:rPr lang="en-US" sz="1400">
                <a:solidFill>
                  <a:srgbClr val="214F6B"/>
                </a:solidFill>
                <a:latin typeface="Calibri" pitchFamily="34" charset="0"/>
              </a:rPr>
            </a:br>
            <a:r>
              <a:rPr lang="en-US" sz="1400">
                <a:solidFill>
                  <a:srgbClr val="214F6B"/>
                </a:solidFill>
                <a:latin typeface="Calibri" pitchFamily="34" charset="0"/>
              </a:rPr>
              <a:t>FY2020</a:t>
            </a:r>
          </a:p>
        </c:rich>
      </c:tx>
      <c:layout>
        <c:manualLayout>
          <c:xMode val="edge"/>
          <c:yMode val="edge"/>
          <c:x val="0.21236486927393741"/>
          <c:y val="3.132048431435260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C6A-4481-805C-C586D8CD759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076F-46B8-BDE1-ECC874A631F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076F-46B8-BDE1-ECC874A631F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'2020Data'!$B$102:$B$104</c:f>
              <c:strCache>
                <c:ptCount val="3"/>
                <c:pt idx="0">
                  <c:v>NW Regional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'2020Data'!$BX$102:$BX$104</c:f>
              <c:numCache>
                <c:formatCode>0.00</c:formatCode>
                <c:ptCount val="3"/>
                <c:pt idx="0">
                  <c:v>1.6023073022312373</c:v>
                </c:pt>
                <c:pt idx="1">
                  <c:v>2.1053671909785132</c:v>
                </c:pt>
                <c:pt idx="2">
                  <c:v>1.9800662230484027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A-4481-805C-C586D8CD75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4337792"/>
        <c:axId val="214351872"/>
      </c:barChart>
      <c:catAx>
        <c:axId val="21433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14351872"/>
        <c:crosses val="autoZero"/>
        <c:auto val="1"/>
        <c:lblAlgn val="ctr"/>
        <c:lblOffset val="100"/>
        <c:noMultiLvlLbl val="0"/>
      </c:catAx>
      <c:valAx>
        <c:axId val="214351872"/>
        <c:scaling>
          <c:orientation val="minMax"/>
        </c:scaling>
        <c:delete val="1"/>
        <c:axPos val="l"/>
        <c:numFmt formatCode="0.00" sourceLinked="0"/>
        <c:majorTickMark val="none"/>
        <c:minorTickMark val="none"/>
        <c:tickLblPos val="none"/>
        <c:crossAx val="214337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creativecommons.org/licenses/by-nc-sa/4.0/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image" Target="../media/image4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18" Type="http://schemas.openxmlformats.org/officeDocument/2006/relationships/chart" Target="../charts/chart45.xml"/><Relationship Id="rId26" Type="http://schemas.openxmlformats.org/officeDocument/2006/relationships/chart" Target="../charts/chart53.xml"/><Relationship Id="rId3" Type="http://schemas.openxmlformats.org/officeDocument/2006/relationships/chart" Target="../charts/chart30.xml"/><Relationship Id="rId21" Type="http://schemas.openxmlformats.org/officeDocument/2006/relationships/chart" Target="../charts/chart48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17" Type="http://schemas.openxmlformats.org/officeDocument/2006/relationships/chart" Target="../charts/chart44.xml"/><Relationship Id="rId25" Type="http://schemas.openxmlformats.org/officeDocument/2006/relationships/chart" Target="../charts/chart52.xml"/><Relationship Id="rId2" Type="http://schemas.openxmlformats.org/officeDocument/2006/relationships/chart" Target="../charts/chart29.xml"/><Relationship Id="rId16" Type="http://schemas.openxmlformats.org/officeDocument/2006/relationships/chart" Target="../charts/chart43.xml"/><Relationship Id="rId20" Type="http://schemas.openxmlformats.org/officeDocument/2006/relationships/chart" Target="../charts/chart47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24" Type="http://schemas.openxmlformats.org/officeDocument/2006/relationships/chart" Target="../charts/chart51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23" Type="http://schemas.openxmlformats.org/officeDocument/2006/relationships/chart" Target="../charts/chart50.xml"/><Relationship Id="rId28" Type="http://schemas.openxmlformats.org/officeDocument/2006/relationships/image" Target="../media/image5.png"/><Relationship Id="rId10" Type="http://schemas.openxmlformats.org/officeDocument/2006/relationships/chart" Target="../charts/chart37.xml"/><Relationship Id="rId19" Type="http://schemas.openxmlformats.org/officeDocument/2006/relationships/chart" Target="../charts/chart46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Relationship Id="rId22" Type="http://schemas.openxmlformats.org/officeDocument/2006/relationships/chart" Target="../charts/chart49.xml"/><Relationship Id="rId27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1209674</xdr:colOff>
      <xdr:row>1</xdr:row>
      <xdr:rowOff>0</xdr:rowOff>
    </xdr:from>
    <xdr:to>
      <xdr:col>4</xdr:col>
      <xdr:colOff>367915</xdr:colOff>
      <xdr:row>8</xdr:row>
      <xdr:rowOff>120592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1E0C6B-DAEC-402B-8A76-A0BC2026B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49" y="190500"/>
          <a:ext cx="4473191" cy="1558867"/>
        </a:xfrm>
        <a:prstGeom prst="rect">
          <a:avLst/>
        </a:prstGeom>
      </xdr:spPr>
    </xdr:pic>
    <xdr:clientData/>
  </xdr:twoCellAnchor>
  <xdr:twoCellAnchor editAs="oneCell">
    <xdr:from>
      <xdr:col>0</xdr:col>
      <xdr:colOff>156210</xdr:colOff>
      <xdr:row>27</xdr:row>
      <xdr:rowOff>99060</xdr:rowOff>
    </xdr:from>
    <xdr:to>
      <xdr:col>1</xdr:col>
      <xdr:colOff>384810</xdr:colOff>
      <xdr:row>29</xdr:row>
      <xdr:rowOff>20955</xdr:rowOff>
    </xdr:to>
    <xdr:pic>
      <xdr:nvPicPr>
        <xdr:cNvPr id="4" name="Picture 32" descr="Creative Commons Licens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DCE0E-3045-40A7-9F51-0F7A3F860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210" y="6614160"/>
          <a:ext cx="94297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159666</xdr:colOff>
      <xdr:row>21</xdr:row>
      <xdr:rowOff>28575</xdr:rowOff>
    </xdr:from>
    <xdr:to>
      <xdr:col>10</xdr:col>
      <xdr:colOff>131885</xdr:colOff>
      <xdr:row>31</xdr:row>
      <xdr:rowOff>112213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15692</xdr:colOff>
      <xdr:row>63</xdr:row>
      <xdr:rowOff>96527</xdr:rowOff>
    </xdr:from>
    <xdr:to>
      <xdr:col>13</xdr:col>
      <xdr:colOff>624203</xdr:colOff>
      <xdr:row>75</xdr:row>
      <xdr:rowOff>47231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15381</xdr:colOff>
      <xdr:row>32</xdr:row>
      <xdr:rowOff>106680</xdr:rowOff>
    </xdr:from>
    <xdr:to>
      <xdr:col>6</xdr:col>
      <xdr:colOff>623892</xdr:colOff>
      <xdr:row>44</xdr:row>
      <xdr:rowOff>200660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86539</xdr:colOff>
      <xdr:row>95</xdr:row>
      <xdr:rowOff>141145</xdr:rowOff>
    </xdr:from>
    <xdr:to>
      <xdr:col>7</xdr:col>
      <xdr:colOff>119196</xdr:colOff>
      <xdr:row>107</xdr:row>
      <xdr:rowOff>64945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35558</xdr:colOff>
      <xdr:row>95</xdr:row>
      <xdr:rowOff>197943</xdr:rowOff>
    </xdr:from>
    <xdr:to>
      <xdr:col>14</xdr:col>
      <xdr:colOff>68215</xdr:colOff>
      <xdr:row>107</xdr:row>
      <xdr:rowOff>121743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94103</xdr:colOff>
      <xdr:row>76</xdr:row>
      <xdr:rowOff>60960</xdr:rowOff>
    </xdr:from>
    <xdr:to>
      <xdr:col>6</xdr:col>
      <xdr:colOff>533400</xdr:colOff>
      <xdr:row>88</xdr:row>
      <xdr:rowOff>163467</xdr:rowOff>
    </xdr:to>
    <xdr:graphicFrame macro="">
      <xdr:nvGraphicFramePr>
        <xdr:cNvPr id="39" name="Chart 1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5534</xdr:colOff>
      <xdr:row>46</xdr:row>
      <xdr:rowOff>89171</xdr:rowOff>
    </xdr:from>
    <xdr:to>
      <xdr:col>6</xdr:col>
      <xdr:colOff>581978</xdr:colOff>
      <xdr:row>59</xdr:row>
      <xdr:rowOff>96521</xdr:rowOff>
    </xdr:to>
    <xdr:graphicFrame macro="">
      <xdr:nvGraphicFramePr>
        <xdr:cNvPr id="41" name="Chart 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596855</xdr:colOff>
      <xdr:row>46</xdr:row>
      <xdr:rowOff>71437</xdr:rowOff>
    </xdr:from>
    <xdr:to>
      <xdr:col>13</xdr:col>
      <xdr:colOff>540385</xdr:colOff>
      <xdr:row>59</xdr:row>
      <xdr:rowOff>180975</xdr:rowOff>
    </xdr:to>
    <xdr:graphicFrame macro="">
      <xdr:nvGraphicFramePr>
        <xdr:cNvPr id="45" name="Chart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56273</xdr:colOff>
      <xdr:row>76</xdr:row>
      <xdr:rowOff>117745</xdr:rowOff>
    </xdr:from>
    <xdr:to>
      <xdr:col>14</xdr:col>
      <xdr:colOff>30873</xdr:colOff>
      <xdr:row>89</xdr:row>
      <xdr:rowOff>19368</xdr:rowOff>
    </xdr:to>
    <xdr:graphicFrame macro="">
      <xdr:nvGraphicFramePr>
        <xdr:cNvPr id="55" name="Chart 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50897</xdr:colOff>
      <xdr:row>63</xdr:row>
      <xdr:rowOff>34711</xdr:rowOff>
    </xdr:from>
    <xdr:to>
      <xdr:col>7</xdr:col>
      <xdr:colOff>28037</xdr:colOff>
      <xdr:row>75</xdr:row>
      <xdr:rowOff>28996</xdr:rowOff>
    </xdr:to>
    <xdr:graphicFrame macro="">
      <xdr:nvGraphicFramePr>
        <xdr:cNvPr id="57" name="Chart 1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87314</xdr:colOff>
      <xdr:row>6</xdr:row>
      <xdr:rowOff>7938</xdr:rowOff>
    </xdr:from>
    <xdr:to>
      <xdr:col>14</xdr:col>
      <xdr:colOff>214313</xdr:colOff>
      <xdr:row>13</xdr:row>
      <xdr:rowOff>22860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93054" y="1455738"/>
          <a:ext cx="8150859" cy="1737042"/>
        </a:xfrm>
        <a:prstGeom prst="rect">
          <a:avLst/>
        </a:prstGeom>
        <a:ln>
          <a:solidFill>
            <a:schemeClr val="accent4">
              <a:lumMod val="75000"/>
            </a:schemeClr>
          </a:solidFill>
        </a:ln>
        <a:effectLst>
          <a:softEdge rad="127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tx1"/>
              </a:solidFill>
              <a:latin typeface="Calibri" pitchFamily="34" charset="0"/>
            </a:rPr>
            <a:t>What you can do with these charts:</a:t>
          </a:r>
        </a:p>
        <a:p>
          <a:r>
            <a:rPr lang="en-US" sz="110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</a:t>
          </a:r>
          <a:r>
            <a:rPr lang="en-US" sz="1100">
              <a:solidFill>
                <a:schemeClr val="tx1"/>
              </a:solidFill>
              <a:latin typeface="Calibri" pitchFamily="34" charset="0"/>
              <a:sym typeface="Symbol"/>
            </a:rPr>
            <a:t> </a:t>
          </a:r>
          <a:r>
            <a:rPr lang="en-US" sz="1100">
              <a:solidFill>
                <a:schemeClr val="tx1"/>
              </a:solidFill>
              <a:latin typeface="Calibri" pitchFamily="34" charset="0"/>
            </a:rPr>
            <a:t>Print all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of them at once , or create a PDF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Copy and paste individual charts into a document or presentation (when pasting charts, use paste special/picture)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Re-word titles, change colors or other characteristics, change the y-axis values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(especially helpful where differences appear exaggerated)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Source for this data:  </a:t>
          </a:r>
          <a:r>
            <a:rPr lang="en-US" sz="1100" b="0" baseline="0">
              <a:solidFill>
                <a:schemeClr val="tx1"/>
              </a:solidFill>
              <a:latin typeface="Calibri" pitchFamily="34" charset="0"/>
            </a:rPr>
            <a:t>Public Library Survey/NC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Annual Statistical Report for Local Fiscal Year 2020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NOTE: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These charts are only as valid as the data that was provided by each library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            Not all of these charts will be meaningful for your library, especially if there is incomplete or inconsistent data</a:t>
          </a:r>
        </a:p>
        <a:p>
          <a:pPr algn="l">
            <a:spcBef>
              <a:spcPts val="600"/>
            </a:spcBef>
            <a:spcAft>
              <a:spcPts val="0"/>
            </a:spcAft>
          </a:pPr>
          <a:r>
            <a:rPr lang="en-US" sz="1050" b="0" i="0" u="none" strike="noStrike">
              <a:solidFill>
                <a:schemeClr val="dk1"/>
              </a:solidFill>
              <a:latin typeface="Calibri" pitchFamily="34" charset="0"/>
              <a:ea typeface="+mn-ea"/>
              <a:cs typeface="+mn-cs"/>
            </a:rPr>
            <a:t>For more information contact: Amanda Johnson, Data Analysis &amp; Communications Consultant, State Library of NC, amanda.johnson@ncdcr.gov, 919.814.6795</a:t>
          </a:r>
          <a:endParaRPr lang="en-US" sz="1050">
            <a:latin typeface="Calibri" pitchFamily="34" charset="0"/>
          </a:endParaRPr>
        </a:p>
      </xdr:txBody>
    </xdr:sp>
    <xdr:clientData/>
  </xdr:twoCellAnchor>
  <xdr:twoCellAnchor>
    <xdr:from>
      <xdr:col>1</xdr:col>
      <xdr:colOff>141631</xdr:colOff>
      <xdr:row>112</xdr:row>
      <xdr:rowOff>100969</xdr:rowOff>
    </xdr:from>
    <xdr:to>
      <xdr:col>7</xdr:col>
      <xdr:colOff>166078</xdr:colOff>
      <xdr:row>124</xdr:row>
      <xdr:rowOff>41914</xdr:rowOff>
    </xdr:to>
    <xdr:graphicFrame macro="">
      <xdr:nvGraphicFramePr>
        <xdr:cNvPr id="69" name="Chart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45731</xdr:colOff>
      <xdr:row>112</xdr:row>
      <xdr:rowOff>110557</xdr:rowOff>
    </xdr:from>
    <xdr:to>
      <xdr:col>14</xdr:col>
      <xdr:colOff>60019</xdr:colOff>
      <xdr:row>124</xdr:row>
      <xdr:rowOff>43882</xdr:rowOff>
    </xdr:to>
    <xdr:graphicFrame macro="">
      <xdr:nvGraphicFramePr>
        <xdr:cNvPr id="70" name="Chart 1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84410</xdr:colOff>
      <xdr:row>128</xdr:row>
      <xdr:rowOff>161093</xdr:rowOff>
    </xdr:from>
    <xdr:to>
      <xdr:col>7</xdr:col>
      <xdr:colOff>84410</xdr:colOff>
      <xdr:row>140</xdr:row>
      <xdr:rowOff>126168</xdr:rowOff>
    </xdr:to>
    <xdr:graphicFrame macro="">
      <xdr:nvGraphicFramePr>
        <xdr:cNvPr id="73" name="Chart 1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18356</xdr:colOff>
      <xdr:row>128</xdr:row>
      <xdr:rowOff>146738</xdr:rowOff>
    </xdr:from>
    <xdr:to>
      <xdr:col>14</xdr:col>
      <xdr:colOff>18356</xdr:colOff>
      <xdr:row>140</xdr:row>
      <xdr:rowOff>138483</xdr:rowOff>
    </xdr:to>
    <xdr:graphicFrame macro="">
      <xdr:nvGraphicFramePr>
        <xdr:cNvPr id="74" name="Chart 1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87045</xdr:colOff>
      <xdr:row>141</xdr:row>
      <xdr:rowOff>234613</xdr:rowOff>
    </xdr:from>
    <xdr:to>
      <xdr:col>7</xdr:col>
      <xdr:colOff>87045</xdr:colOff>
      <xdr:row>153</xdr:row>
      <xdr:rowOff>123825</xdr:rowOff>
    </xdr:to>
    <xdr:graphicFrame macro="">
      <xdr:nvGraphicFramePr>
        <xdr:cNvPr id="75" name="Chart 1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89368</xdr:colOff>
      <xdr:row>155</xdr:row>
      <xdr:rowOff>57449</xdr:rowOff>
    </xdr:from>
    <xdr:to>
      <xdr:col>7</xdr:col>
      <xdr:colOff>89368</xdr:colOff>
      <xdr:row>166</xdr:row>
      <xdr:rowOff>190799</xdr:rowOff>
    </xdr:to>
    <xdr:graphicFrame macro="">
      <xdr:nvGraphicFramePr>
        <xdr:cNvPr id="76" name="Chart 1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6167</xdr:colOff>
      <xdr:row>155</xdr:row>
      <xdr:rowOff>79206</xdr:rowOff>
    </xdr:from>
    <xdr:to>
      <xdr:col>14</xdr:col>
      <xdr:colOff>6167</xdr:colOff>
      <xdr:row>166</xdr:row>
      <xdr:rowOff>180806</xdr:rowOff>
    </xdr:to>
    <xdr:graphicFrame macro="">
      <xdr:nvGraphicFramePr>
        <xdr:cNvPr id="77" name="Chart 1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41901</xdr:colOff>
      <xdr:row>141</xdr:row>
      <xdr:rowOff>206819</xdr:rowOff>
    </xdr:from>
    <xdr:to>
      <xdr:col>14</xdr:col>
      <xdr:colOff>41901</xdr:colOff>
      <xdr:row>153</xdr:row>
      <xdr:rowOff>102044</xdr:rowOff>
    </xdr:to>
    <xdr:graphicFrame macro="">
      <xdr:nvGraphicFramePr>
        <xdr:cNvPr id="78" name="Chart 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212081</xdr:colOff>
      <xdr:row>186</xdr:row>
      <xdr:rowOff>127399</xdr:rowOff>
    </xdr:from>
    <xdr:to>
      <xdr:col>7</xdr:col>
      <xdr:colOff>28248</xdr:colOff>
      <xdr:row>198</xdr:row>
      <xdr:rowOff>32149</xdr:rowOff>
    </xdr:to>
    <xdr:graphicFrame macro="">
      <xdr:nvGraphicFramePr>
        <xdr:cNvPr id="79" name="Chart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601753</xdr:colOff>
      <xdr:row>186</xdr:row>
      <xdr:rowOff>120984</xdr:rowOff>
    </xdr:from>
    <xdr:to>
      <xdr:col>13</xdr:col>
      <xdr:colOff>616041</xdr:colOff>
      <xdr:row>198</xdr:row>
      <xdr:rowOff>25734</xdr:rowOff>
    </xdr:to>
    <xdr:graphicFrame macro="">
      <xdr:nvGraphicFramePr>
        <xdr:cNvPr id="80" name="Chart 2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524678</xdr:colOff>
      <xdr:row>213</xdr:row>
      <xdr:rowOff>155234</xdr:rowOff>
    </xdr:from>
    <xdr:to>
      <xdr:col>14</xdr:col>
      <xdr:colOff>7620</xdr:colOff>
      <xdr:row>225</xdr:row>
      <xdr:rowOff>220980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58256</xdr:colOff>
      <xdr:row>200</xdr:row>
      <xdr:rowOff>112700</xdr:rowOff>
    </xdr:from>
    <xdr:to>
      <xdr:col>7</xdr:col>
      <xdr:colOff>72543</xdr:colOff>
      <xdr:row>212</xdr:row>
      <xdr:rowOff>7925</xdr:rowOff>
    </xdr:to>
    <xdr:graphicFrame macro="">
      <xdr:nvGraphicFramePr>
        <xdr:cNvPr id="83" name="Chart 2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8164</xdr:colOff>
      <xdr:row>32</xdr:row>
      <xdr:rowOff>201282</xdr:rowOff>
    </xdr:from>
    <xdr:to>
      <xdr:col>13</xdr:col>
      <xdr:colOff>619397</xdr:colOff>
      <xdr:row>44</xdr:row>
      <xdr:rowOff>158827</xdr:rowOff>
    </xdr:to>
    <xdr:graphicFrame macro="">
      <xdr:nvGraphicFramePr>
        <xdr:cNvPr id="32" name="Chart 6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542700</xdr:colOff>
      <xdr:row>200</xdr:row>
      <xdr:rowOff>134581</xdr:rowOff>
    </xdr:from>
    <xdr:to>
      <xdr:col>13</xdr:col>
      <xdr:colOff>542700</xdr:colOff>
      <xdr:row>212</xdr:row>
      <xdr:rowOff>29806</xdr:rowOff>
    </xdr:to>
    <xdr:graphicFrame macro="">
      <xdr:nvGraphicFramePr>
        <xdr:cNvPr id="34" name="Chart 1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109220</xdr:colOff>
      <xdr:row>170</xdr:row>
      <xdr:rowOff>104140</xdr:rowOff>
    </xdr:from>
    <xdr:to>
      <xdr:col>7</xdr:col>
      <xdr:colOff>109220</xdr:colOff>
      <xdr:row>181</xdr:row>
      <xdr:rowOff>125937</xdr:rowOff>
    </xdr:to>
    <xdr:graphicFrame macro="">
      <xdr:nvGraphicFramePr>
        <xdr:cNvPr id="30" name="Chart 3">
          <a:extLst>
            <a:ext uri="{FF2B5EF4-FFF2-40B4-BE49-F238E27FC236}">
              <a16:creationId xmlns:a16="http://schemas.microsoft.com/office/drawing/2014/main" id="{FFA9CC05-248D-414B-964D-0534CF11A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589280</xdr:colOff>
      <xdr:row>170</xdr:row>
      <xdr:rowOff>101600</xdr:rowOff>
    </xdr:from>
    <xdr:to>
      <xdr:col>13</xdr:col>
      <xdr:colOff>589280</xdr:colOff>
      <xdr:row>181</xdr:row>
      <xdr:rowOff>123397</xdr:rowOff>
    </xdr:to>
    <xdr:graphicFrame macro="">
      <xdr:nvGraphicFramePr>
        <xdr:cNvPr id="31" name="Chart 3">
          <a:extLst>
            <a:ext uri="{FF2B5EF4-FFF2-40B4-BE49-F238E27FC236}">
              <a16:creationId xmlns:a16="http://schemas.microsoft.com/office/drawing/2014/main" id="{454B2EAB-65D6-446D-ACE9-433B091D6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59266</xdr:colOff>
      <xdr:row>213</xdr:row>
      <xdr:rowOff>179493</xdr:rowOff>
    </xdr:from>
    <xdr:to>
      <xdr:col>7</xdr:col>
      <xdr:colOff>99060</xdr:colOff>
      <xdr:row>225</xdr:row>
      <xdr:rowOff>152400</xdr:rowOff>
    </xdr:to>
    <xdr:graphicFrame macro="">
      <xdr:nvGraphicFramePr>
        <xdr:cNvPr id="36" name="Chart 3">
          <a:extLst>
            <a:ext uri="{FF2B5EF4-FFF2-40B4-BE49-F238E27FC236}">
              <a16:creationId xmlns:a16="http://schemas.microsoft.com/office/drawing/2014/main" id="{21DCD529-8AA4-4C62-A000-08535A42F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6</xdr:col>
      <xdr:colOff>304800</xdr:colOff>
      <xdr:row>0</xdr:row>
      <xdr:rowOff>164248</xdr:rowOff>
    </xdr:from>
    <xdr:to>
      <xdr:col>9</xdr:col>
      <xdr:colOff>472691</xdr:colOff>
      <xdr:row>3</xdr:row>
      <xdr:rowOff>225367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129C41C-BAEE-423A-91C7-E5C4E3E04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64248"/>
          <a:ext cx="2225291" cy="77549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0.29851</cdr:x>
      <cdr:y>0.18475</cdr:y>
    </cdr:from>
    <cdr:to>
      <cdr:x>0.99599</cdr:x>
      <cdr:y>0.30553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3F7AD2B-3E6A-4B2D-9D80-4A71941E6831}"/>
            </a:ext>
          </a:extLst>
        </cdr:cNvPr>
        <cdr:cNvSpPr txBox="1"/>
      </cdr:nvSpPr>
      <cdr:spPr>
        <a:xfrm xmlns:a="http://schemas.openxmlformats.org/drawingml/2006/main">
          <a:off x="1135380" y="518942"/>
          <a:ext cx="2652862" cy="3392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/>
            <a:t>*Number of hours any library</a:t>
          </a:r>
          <a:r>
            <a:rPr lang="en-US" sz="800" baseline="0"/>
            <a:t> facility is open, including branches, without counting any hour twice.</a:t>
          </a:r>
          <a:endParaRPr lang="en-US" sz="8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323267</xdr:colOff>
      <xdr:row>18</xdr:row>
      <xdr:rowOff>38100</xdr:rowOff>
    </xdr:from>
    <xdr:to>
      <xdr:col>10</xdr:col>
      <xdr:colOff>647117</xdr:colOff>
      <xdr:row>28</xdr:row>
      <xdr:rowOff>34925</xdr:rowOff>
    </xdr:to>
    <xdr:graphicFrame macro="">
      <xdr:nvGraphicFramePr>
        <xdr:cNvPr id="4057752" name="Chart 3">
          <a:extLst>
            <a:ext uri="{FF2B5EF4-FFF2-40B4-BE49-F238E27FC236}">
              <a16:creationId xmlns:a16="http://schemas.microsoft.com/office/drawing/2014/main" id="{00000000-0008-0000-0300-000098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12277</xdr:colOff>
      <xdr:row>84</xdr:row>
      <xdr:rowOff>257177</xdr:rowOff>
    </xdr:from>
    <xdr:to>
      <xdr:col>10</xdr:col>
      <xdr:colOff>671407</xdr:colOff>
      <xdr:row>95</xdr:row>
      <xdr:rowOff>102448</xdr:rowOff>
    </xdr:to>
    <xdr:graphicFrame macro="">
      <xdr:nvGraphicFramePr>
        <xdr:cNvPr id="4057753" name="Chart 4">
          <a:extLst>
            <a:ext uri="{FF2B5EF4-FFF2-40B4-BE49-F238E27FC236}">
              <a16:creationId xmlns:a16="http://schemas.microsoft.com/office/drawing/2014/main" id="{00000000-0008-0000-0300-000099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56460</xdr:colOff>
      <xdr:row>29</xdr:row>
      <xdr:rowOff>89482</xdr:rowOff>
    </xdr:from>
    <xdr:to>
      <xdr:col>10</xdr:col>
      <xdr:colOff>715590</xdr:colOff>
      <xdr:row>39</xdr:row>
      <xdr:rowOff>214684</xdr:rowOff>
    </xdr:to>
    <xdr:graphicFrame macro="">
      <xdr:nvGraphicFramePr>
        <xdr:cNvPr id="4057754" name="Chart 5">
          <a:extLst>
            <a:ext uri="{FF2B5EF4-FFF2-40B4-BE49-F238E27FC236}">
              <a16:creationId xmlns:a16="http://schemas.microsoft.com/office/drawing/2014/main" id="{00000000-0008-0000-0300-00009A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67998</xdr:colOff>
      <xdr:row>40</xdr:row>
      <xdr:rowOff>100329</xdr:rowOff>
    </xdr:from>
    <xdr:to>
      <xdr:col>10</xdr:col>
      <xdr:colOff>723900</xdr:colOff>
      <xdr:row>50</xdr:row>
      <xdr:rowOff>159965</xdr:rowOff>
    </xdr:to>
    <xdr:graphicFrame macro="">
      <xdr:nvGraphicFramePr>
        <xdr:cNvPr id="4057755" name="Chart 6">
          <a:extLst>
            <a:ext uri="{FF2B5EF4-FFF2-40B4-BE49-F238E27FC236}">
              <a16:creationId xmlns:a16="http://schemas.microsoft.com/office/drawing/2014/main" id="{00000000-0008-0000-0300-00009B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327711</xdr:colOff>
      <xdr:row>276</xdr:row>
      <xdr:rowOff>266066</xdr:rowOff>
    </xdr:from>
    <xdr:to>
      <xdr:col>10</xdr:col>
      <xdr:colOff>623782</xdr:colOff>
      <xdr:row>286</xdr:row>
      <xdr:rowOff>99908</xdr:rowOff>
    </xdr:to>
    <xdr:graphicFrame macro="">
      <xdr:nvGraphicFramePr>
        <xdr:cNvPr id="4057769" name="Chart 18">
          <a:extLst>
            <a:ext uri="{FF2B5EF4-FFF2-40B4-BE49-F238E27FC236}">
              <a16:creationId xmlns:a16="http://schemas.microsoft.com/office/drawing/2014/main" id="{00000000-0008-0000-0300-0000A9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19052</xdr:colOff>
      <xdr:row>298</xdr:row>
      <xdr:rowOff>119063</xdr:rowOff>
    </xdr:from>
    <xdr:to>
      <xdr:col>10</xdr:col>
      <xdr:colOff>676275</xdr:colOff>
      <xdr:row>309</xdr:row>
      <xdr:rowOff>137160</xdr:rowOff>
    </xdr:to>
    <xdr:graphicFrame macro="">
      <xdr:nvGraphicFramePr>
        <xdr:cNvPr id="4057774" name="Chart 18">
          <a:extLst>
            <a:ext uri="{FF2B5EF4-FFF2-40B4-BE49-F238E27FC236}">
              <a16:creationId xmlns:a16="http://schemas.microsoft.com/office/drawing/2014/main" id="{00000000-0008-0000-0300-0000AE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287</xdr:row>
      <xdr:rowOff>12699</xdr:rowOff>
    </xdr:from>
    <xdr:to>
      <xdr:col>10</xdr:col>
      <xdr:colOff>657225</xdr:colOff>
      <xdr:row>297</xdr:row>
      <xdr:rowOff>218017</xdr:rowOff>
    </xdr:to>
    <xdr:graphicFrame macro="">
      <xdr:nvGraphicFramePr>
        <xdr:cNvPr id="4057786" name="Chart 14">
          <a:extLst>
            <a:ext uri="{FF2B5EF4-FFF2-40B4-BE49-F238E27FC236}">
              <a16:creationId xmlns:a16="http://schemas.microsoft.com/office/drawing/2014/main" id="{00000000-0008-0000-0300-0000BA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66092</xdr:colOff>
      <xdr:row>97</xdr:row>
      <xdr:rowOff>7250</xdr:rowOff>
    </xdr:from>
    <xdr:to>
      <xdr:col>10</xdr:col>
      <xdr:colOff>636985</xdr:colOff>
      <xdr:row>107</xdr:row>
      <xdr:rowOff>126841</xdr:rowOff>
    </xdr:to>
    <xdr:graphicFrame macro="">
      <xdr:nvGraphicFramePr>
        <xdr:cNvPr id="4057794" name="Chart 4">
          <a:extLst>
            <a:ext uri="{FF2B5EF4-FFF2-40B4-BE49-F238E27FC236}">
              <a16:creationId xmlns:a16="http://schemas.microsoft.com/office/drawing/2014/main" id="{00000000-0008-0000-0300-0000C2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321999</xdr:colOff>
      <xdr:row>121</xdr:row>
      <xdr:rowOff>92602</xdr:rowOff>
    </xdr:from>
    <xdr:to>
      <xdr:col>10</xdr:col>
      <xdr:colOff>650082</xdr:colOff>
      <xdr:row>131</xdr:row>
      <xdr:rowOff>33548</xdr:rowOff>
    </xdr:to>
    <xdr:graphicFrame macro="">
      <xdr:nvGraphicFramePr>
        <xdr:cNvPr id="4057795" name="Chart 4">
          <a:extLst>
            <a:ext uri="{FF2B5EF4-FFF2-40B4-BE49-F238E27FC236}">
              <a16:creationId xmlns:a16="http://schemas.microsoft.com/office/drawing/2014/main" id="{00000000-0008-0000-0300-0000C3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31038</xdr:colOff>
      <xdr:row>107</xdr:row>
      <xdr:rowOff>245745</xdr:rowOff>
    </xdr:from>
    <xdr:to>
      <xdr:col>10</xdr:col>
      <xdr:colOff>662729</xdr:colOff>
      <xdr:row>118</xdr:row>
      <xdr:rowOff>0</xdr:rowOff>
    </xdr:to>
    <xdr:graphicFrame macro="">
      <xdr:nvGraphicFramePr>
        <xdr:cNvPr id="59" name="Chart 4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60537</xdr:colOff>
      <xdr:row>73</xdr:row>
      <xdr:rowOff>246592</xdr:rowOff>
    </xdr:from>
    <xdr:to>
      <xdr:col>10</xdr:col>
      <xdr:colOff>611717</xdr:colOff>
      <xdr:row>84</xdr:row>
      <xdr:rowOff>100278</xdr:rowOff>
    </xdr:to>
    <xdr:graphicFrame macro="">
      <xdr:nvGraphicFramePr>
        <xdr:cNvPr id="60" name="Chart 4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77470</xdr:colOff>
      <xdr:row>51</xdr:row>
      <xdr:rowOff>9843</xdr:rowOff>
    </xdr:from>
    <xdr:to>
      <xdr:col>10</xdr:col>
      <xdr:colOff>769408</xdr:colOff>
      <xdr:row>61</xdr:row>
      <xdr:rowOff>141288</xdr:rowOff>
    </xdr:to>
    <xdr:graphicFrame macro="">
      <xdr:nvGraphicFramePr>
        <xdr:cNvPr id="78" name="Chart 4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333587</xdr:colOff>
      <xdr:row>62</xdr:row>
      <xdr:rowOff>230872</xdr:rowOff>
    </xdr:from>
    <xdr:to>
      <xdr:col>10</xdr:col>
      <xdr:colOff>654050</xdr:colOff>
      <xdr:row>73</xdr:row>
      <xdr:rowOff>83764</xdr:rowOff>
    </xdr:to>
    <xdr:graphicFrame macro="">
      <xdr:nvGraphicFramePr>
        <xdr:cNvPr id="79" name="Chart 4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296070</xdr:colOff>
      <xdr:row>131</xdr:row>
      <xdr:rowOff>199761</xdr:rowOff>
    </xdr:from>
    <xdr:to>
      <xdr:col>10</xdr:col>
      <xdr:colOff>624153</xdr:colOff>
      <xdr:row>141</xdr:row>
      <xdr:rowOff>69268</xdr:rowOff>
    </xdr:to>
    <xdr:graphicFrame macro="">
      <xdr:nvGraphicFramePr>
        <xdr:cNvPr id="80" name="Chart 4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21433</xdr:colOff>
      <xdr:row>145</xdr:row>
      <xdr:rowOff>195467</xdr:rowOff>
    </xdr:from>
    <xdr:to>
      <xdr:col>10</xdr:col>
      <xdr:colOff>500064</xdr:colOff>
      <xdr:row>156</xdr:row>
      <xdr:rowOff>124029</xdr:rowOff>
    </xdr:to>
    <xdr:graphicFrame macro="">
      <xdr:nvGraphicFramePr>
        <xdr:cNvPr id="82" name="Chart 8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19050</xdr:colOff>
      <xdr:row>157</xdr:row>
      <xdr:rowOff>180975</xdr:rowOff>
    </xdr:from>
    <xdr:to>
      <xdr:col>10</xdr:col>
      <xdr:colOff>495300</xdr:colOff>
      <xdr:row>168</xdr:row>
      <xdr:rowOff>57147</xdr:rowOff>
    </xdr:to>
    <xdr:graphicFrame macro="">
      <xdr:nvGraphicFramePr>
        <xdr:cNvPr id="83" name="Chart 9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333375</xdr:colOff>
      <xdr:row>171</xdr:row>
      <xdr:rowOff>186267</xdr:rowOff>
    </xdr:from>
    <xdr:to>
      <xdr:col>10</xdr:col>
      <xdr:colOff>372534</xdr:colOff>
      <xdr:row>183</xdr:row>
      <xdr:rowOff>16934</xdr:rowOff>
    </xdr:to>
    <xdr:graphicFrame macro="">
      <xdr:nvGraphicFramePr>
        <xdr:cNvPr id="85" name="Chart 1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365759</xdr:colOff>
      <xdr:row>230</xdr:row>
      <xdr:rowOff>88636</xdr:rowOff>
    </xdr:from>
    <xdr:to>
      <xdr:col>10</xdr:col>
      <xdr:colOff>419100</xdr:colOff>
      <xdr:row>239</xdr:row>
      <xdr:rowOff>207381</xdr:rowOff>
    </xdr:to>
    <xdr:graphicFrame macro="">
      <xdr:nvGraphicFramePr>
        <xdr:cNvPr id="86" name="Chart 4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320568</xdr:colOff>
      <xdr:row>195</xdr:row>
      <xdr:rowOff>170922</xdr:rowOff>
    </xdr:from>
    <xdr:to>
      <xdr:col>10</xdr:col>
      <xdr:colOff>402166</xdr:colOff>
      <xdr:row>206</xdr:row>
      <xdr:rowOff>137583</xdr:rowOff>
    </xdr:to>
    <xdr:graphicFrame macro="">
      <xdr:nvGraphicFramePr>
        <xdr:cNvPr id="87" name="Chart 8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183</xdr:row>
      <xdr:rowOff>120119</xdr:rowOff>
    </xdr:from>
    <xdr:to>
      <xdr:col>10</xdr:col>
      <xdr:colOff>389467</xdr:colOff>
      <xdr:row>195</xdr:row>
      <xdr:rowOff>50800</xdr:rowOff>
    </xdr:to>
    <xdr:graphicFrame macro="">
      <xdr:nvGraphicFramePr>
        <xdr:cNvPr id="90" name="Chart 13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2116</xdr:colOff>
      <xdr:row>219</xdr:row>
      <xdr:rowOff>67732</xdr:rowOff>
    </xdr:from>
    <xdr:to>
      <xdr:col>10</xdr:col>
      <xdr:colOff>466724</xdr:colOff>
      <xdr:row>229</xdr:row>
      <xdr:rowOff>159805</xdr:rowOff>
    </xdr:to>
    <xdr:graphicFrame macro="">
      <xdr:nvGraphicFramePr>
        <xdr:cNvPr id="92" name="Chart 15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342900</xdr:colOff>
      <xdr:row>266</xdr:row>
      <xdr:rowOff>100806</xdr:rowOff>
    </xdr:from>
    <xdr:to>
      <xdr:col>10</xdr:col>
      <xdr:colOff>600075</xdr:colOff>
      <xdr:row>276</xdr:row>
      <xdr:rowOff>136525</xdr:rowOff>
    </xdr:to>
    <xdr:graphicFrame macro="">
      <xdr:nvGraphicFramePr>
        <xdr:cNvPr id="93" name="Chart 14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361950</xdr:colOff>
      <xdr:row>310</xdr:row>
      <xdr:rowOff>111125</xdr:rowOff>
    </xdr:from>
    <xdr:to>
      <xdr:col>10</xdr:col>
      <xdr:colOff>676275</xdr:colOff>
      <xdr:row>319</xdr:row>
      <xdr:rowOff>115096</xdr:rowOff>
    </xdr:to>
    <xdr:graphicFrame macro="">
      <xdr:nvGraphicFramePr>
        <xdr:cNvPr id="44" name="Chart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93132</xdr:colOff>
      <xdr:row>6</xdr:row>
      <xdr:rowOff>16932</xdr:rowOff>
    </xdr:from>
    <xdr:to>
      <xdr:col>12</xdr:col>
      <xdr:colOff>222249</xdr:colOff>
      <xdr:row>12</xdr:row>
      <xdr:rowOff>68580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93132" y="1773765"/>
          <a:ext cx="8511117" cy="1829648"/>
        </a:xfrm>
        <a:prstGeom prst="rect">
          <a:avLst/>
        </a:prstGeom>
        <a:ln>
          <a:solidFill>
            <a:schemeClr val="accent4">
              <a:lumMod val="75000"/>
            </a:schemeClr>
          </a:solidFill>
        </a:ln>
        <a:effectLst>
          <a:softEdge rad="127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tx1"/>
              </a:solidFill>
              <a:latin typeface="Calibri" pitchFamily="34" charset="0"/>
            </a:rPr>
            <a:t>What you can do with these charts:</a:t>
          </a:r>
        </a:p>
        <a:p>
          <a:r>
            <a:rPr lang="en-US" sz="110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</a:t>
          </a:r>
          <a:r>
            <a:rPr lang="en-US" sz="1100">
              <a:solidFill>
                <a:schemeClr val="tx1"/>
              </a:solidFill>
              <a:latin typeface="Calibri" pitchFamily="34" charset="0"/>
              <a:sym typeface="Symbol"/>
            </a:rPr>
            <a:t> </a:t>
          </a:r>
          <a:r>
            <a:rPr lang="en-US" sz="1100">
              <a:solidFill>
                <a:schemeClr val="tx1"/>
              </a:solidFill>
              <a:latin typeface="Calibri" pitchFamily="34" charset="0"/>
            </a:rPr>
            <a:t>Print all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of them at once , or create a PDF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Copy and paste individual charts into a document or presentation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(when pasting charts, use Paste Special/Picture)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Re-word titles, change colors or other characteristics, change the y-axis values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(especially helpful where differences appear exaggerated)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Source for this data: 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Public Library Survey/NC Annual Statistical Report for Local Fiscal Year 2020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NOTE: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These charts are only as valid as the data that was provided by each library</a:t>
          </a:r>
        </a:p>
        <a:p>
          <a:endParaRPr lang="en-US" sz="1100" b="0" i="0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r>
            <a:rPr lang="en-US" sz="1000" b="0" i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For more</a:t>
          </a:r>
          <a:r>
            <a:rPr lang="en-US" sz="1000" b="0" i="0" baseline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information contact: Amanda Johnson, Data Analysis &amp; Communications Consultant, State Library of NC, amanda.johnson@ncdcr.gov, 919.814.6795</a:t>
          </a:r>
          <a:endParaRPr lang="en-US" sz="1000" b="0" i="0">
            <a:solidFill>
              <a:schemeClr val="dk1"/>
            </a:solidFill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304800</xdr:colOff>
      <xdr:row>208</xdr:row>
      <xdr:rowOff>16933</xdr:rowOff>
    </xdr:from>
    <xdr:to>
      <xdr:col>10</xdr:col>
      <xdr:colOff>461433</xdr:colOff>
      <xdr:row>218</xdr:row>
      <xdr:rowOff>140757</xdr:rowOff>
    </xdr:to>
    <xdr:graphicFrame macro="">
      <xdr:nvGraphicFramePr>
        <xdr:cNvPr id="32" name="Chart 13">
          <a:extLst>
            <a:ext uri="{FF2B5EF4-FFF2-40B4-BE49-F238E27FC236}">
              <a16:creationId xmlns:a16="http://schemas.microsoft.com/office/drawing/2014/main" id="{CF286165-667C-4939-A2FE-DBAC789A0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333375</xdr:colOff>
      <xdr:row>320</xdr:row>
      <xdr:rowOff>14817</xdr:rowOff>
    </xdr:from>
    <xdr:to>
      <xdr:col>10</xdr:col>
      <xdr:colOff>714375</xdr:colOff>
      <xdr:row>330</xdr:row>
      <xdr:rowOff>37837</xdr:rowOff>
    </xdr:to>
    <xdr:graphicFrame macro="">
      <xdr:nvGraphicFramePr>
        <xdr:cNvPr id="33" name="Chart 20">
          <a:extLst>
            <a:ext uri="{FF2B5EF4-FFF2-40B4-BE49-F238E27FC236}">
              <a16:creationId xmlns:a16="http://schemas.microsoft.com/office/drawing/2014/main" id="{A5BD1FB4-7700-475C-8955-81CB6692E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370416</xdr:colOff>
      <xdr:row>241</xdr:row>
      <xdr:rowOff>31750</xdr:rowOff>
    </xdr:from>
    <xdr:to>
      <xdr:col>10</xdr:col>
      <xdr:colOff>482337</xdr:colOff>
      <xdr:row>251</xdr:row>
      <xdr:rowOff>170655</xdr:rowOff>
    </xdr:to>
    <xdr:graphicFrame macro="">
      <xdr:nvGraphicFramePr>
        <xdr:cNvPr id="35" name="Chart 14">
          <a:extLst>
            <a:ext uri="{FF2B5EF4-FFF2-40B4-BE49-F238E27FC236}">
              <a16:creationId xmlns:a16="http://schemas.microsoft.com/office/drawing/2014/main" id="{0175AA96-519F-469C-8466-843F6957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9525</xdr:colOff>
      <xdr:row>252</xdr:row>
      <xdr:rowOff>50800</xdr:rowOff>
    </xdr:from>
    <xdr:to>
      <xdr:col>10</xdr:col>
      <xdr:colOff>542925</xdr:colOff>
      <xdr:row>262</xdr:row>
      <xdr:rowOff>209550</xdr:rowOff>
    </xdr:to>
    <xdr:graphicFrame macro="">
      <xdr:nvGraphicFramePr>
        <xdr:cNvPr id="36" name="Chart 14">
          <a:extLst>
            <a:ext uri="{FF2B5EF4-FFF2-40B4-BE49-F238E27FC236}">
              <a16:creationId xmlns:a16="http://schemas.microsoft.com/office/drawing/2014/main" id="{335D53EF-8298-4EC4-8948-E0ED2943B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3</xdr:col>
      <xdr:colOff>267751</xdr:colOff>
      <xdr:row>0</xdr:row>
      <xdr:rowOff>95249</xdr:rowOff>
    </xdr:from>
    <xdr:to>
      <xdr:col>7</xdr:col>
      <xdr:colOff>558417</xdr:colOff>
      <xdr:row>4</xdr:row>
      <xdr:rowOff>85724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B78D921-24A8-4AFA-BAFC-33AAEA961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851" y="95249"/>
          <a:ext cx="3033866" cy="10572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0.49898</cdr:x>
      <cdr:y>0.66234</cdr:y>
    </cdr:from>
    <cdr:to>
      <cdr:x>0.65282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65714" y="274373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0.07986</cdr:x>
      <cdr:y>0.91518</cdr:y>
    </cdr:from>
    <cdr:to>
      <cdr:x>0.93724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01809" y="2537957"/>
          <a:ext cx="5387340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Calibri" pitchFamily="34" charset="0"/>
            </a:rPr>
            <a:t>NOTE: Reference Question counts are often not accurate and are not helpful for library-to-library comparisons.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dgreenwood" refreshedDate="42222.4615037037" createdVersion="3" refreshedVersion="3" minRefreshableVersion="3" recordCount="332" xr:uid="{00000000-000A-0000-FFFF-FFFF00000000}">
  <cacheSource type="worksheet">
    <worksheetSource ref="A1:G333" sheet="branch"/>
  </cacheSource>
  <cacheFields count="7">
    <cacheField name="ID" numFmtId="1">
      <sharedItems containsSemiMixedTypes="0" containsString="0" containsNumber="1" containsInteger="1" minValue="2" maxValue="649" count="74">
        <n v="10"/>
        <n v="100"/>
        <n v="109"/>
        <n v="117"/>
        <n v="12"/>
        <n v="120"/>
        <n v="125"/>
        <n v="139"/>
        <n v="140"/>
        <n v="143"/>
        <n v="150"/>
        <n v="153"/>
        <n v="154"/>
        <n v="16"/>
        <n v="162"/>
        <n v="180"/>
        <n v="181"/>
        <n v="189"/>
        <n v="190"/>
        <n v="198"/>
        <n v="2"/>
        <n v="20"/>
        <n v="212"/>
        <n v="213"/>
        <n v="215"/>
        <n v="228"/>
        <n v="231"/>
        <n v="236"/>
        <n v="238"/>
        <n v="240"/>
        <n v="254"/>
        <n v="256"/>
        <n v="262"/>
        <n v="264"/>
        <n v="266"/>
        <n v="269"/>
        <n v="28"/>
        <n v="283"/>
        <n v="284"/>
        <n v="295"/>
        <n v="298"/>
        <n v="30"/>
        <n v="300"/>
        <n v="311"/>
        <n v="315"/>
        <n v="316"/>
        <n v="324"/>
        <n v="329"/>
        <n v="334"/>
        <n v="343"/>
        <n v="344"/>
        <n v="357"/>
        <n v="384"/>
        <n v="398"/>
        <n v="400"/>
        <n v="408"/>
        <n v="41"/>
        <n v="432"/>
        <n v="452"/>
        <n v="49"/>
        <n v="5"/>
        <n v="50"/>
        <n v="502"/>
        <n v="51"/>
        <n v="517"/>
        <n v="552"/>
        <n v="56"/>
        <n v="64"/>
        <n v="649"/>
        <n v="86"/>
        <n v="88"/>
        <n v="9"/>
        <n v="91"/>
        <n v="94"/>
      </sharedItems>
    </cacheField>
    <cacheField name="Q237" numFmtId="0">
      <sharedItems/>
    </cacheField>
    <cacheField name="BranchID" numFmtId="0">
      <sharedItems/>
    </cacheField>
    <cacheField name="Q235" numFmtId="0">
      <sharedItems/>
    </cacheField>
    <cacheField name="Sqft:Q467" numFmtId="1">
      <sharedItems containsSemiMixedTypes="0" containsString="0" containsNumber="1" containsInteger="1" minValue="-3" maxValue="88000"/>
    </cacheField>
    <cacheField name="Hrs:Q480" numFmtId="1">
      <sharedItems containsSemiMixedTypes="0" containsString="0" containsNumber="1" containsInteger="1" minValue="-3" maxValue="4270"/>
    </cacheField>
    <cacheField name="Wks:Q479" numFmtId="1">
      <sharedItems containsSemiMixedTypes="0" containsString="0" containsNumber="1" containsInteger="1" minValue="-3" maxValue="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dgreenwood" refreshedDate="42965.419046527779" createdVersion="3" refreshedVersion="3" minRefreshableVersion="3" recordCount="341" xr:uid="{00000000-000A-0000-FFFF-FFFF01000000}">
  <cacheSource type="worksheet">
    <worksheetSource ref="A1:C342" sheet="BranchInfo"/>
  </cacheSource>
  <cacheFields count="3">
    <cacheField name="ID" numFmtId="1">
      <sharedItems containsMixedTypes="1" containsNumber="1" containsInteger="1" minValue="2" maxValue="649" count="76">
        <n v="10"/>
        <n v="100"/>
        <n v="109"/>
        <n v="117"/>
        <n v="12"/>
        <n v="120"/>
        <n v="125"/>
        <n v="139"/>
        <n v="140"/>
        <n v="143"/>
        <n v="150"/>
        <n v="153"/>
        <n v="154"/>
        <n v="16"/>
        <n v="162"/>
        <n v="180"/>
        <n v="181"/>
        <n v="189"/>
        <n v="190"/>
        <n v="198"/>
        <n v="2"/>
        <n v="20"/>
        <n v="212"/>
        <n v="213"/>
        <n v="215"/>
        <n v="228"/>
        <n v="231"/>
        <n v="236"/>
        <n v="238"/>
        <n v="240"/>
        <n v="254"/>
        <n v="256"/>
        <n v="262"/>
        <n v="264"/>
        <n v="266"/>
        <n v="269"/>
        <n v="28"/>
        <n v="283"/>
        <n v="284"/>
        <n v="295"/>
        <n v="298"/>
        <n v="30"/>
        <n v="300"/>
        <n v="311"/>
        <n v="315"/>
        <n v="316"/>
        <n v="324"/>
        <n v="329"/>
        <n v="334"/>
        <n v="343"/>
        <n v="344"/>
        <n v="357"/>
        <n v="384"/>
        <n v="398"/>
        <n v="400"/>
        <n v="408"/>
        <n v="41"/>
        <n v="432"/>
        <n v="452"/>
        <n v="49"/>
        <n v="5"/>
        <n v="50"/>
        <n v="502"/>
        <n v="51"/>
        <n v="517"/>
        <n v="552"/>
        <n v="56"/>
        <n v="627"/>
        <n v="64"/>
        <n v="649"/>
        <n v="86"/>
        <n v="88"/>
        <n v="9"/>
        <n v="91"/>
        <n v="94"/>
        <s v=""/>
      </sharedItems>
    </cacheField>
    <cacheField name="SqFt" numFmtId="0">
      <sharedItems containsBlank="1" containsMixedTypes="1" containsNumber="1" containsInteger="1" minValue="0" maxValue="93000"/>
    </cacheField>
    <cacheField name="Hours" numFmtId="3">
      <sharedItems containsMixedTypes="1" containsNumber="1" containsInteger="1" minValue="0" maxValue="42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2">
  <r>
    <x v="0"/>
    <s v="Chambers County Library"/>
    <s v="10.275"/>
    <s v="Branch"/>
    <n v="5529"/>
    <n v="2412"/>
    <n v="52"/>
  </r>
  <r>
    <x v="0"/>
    <s v="West Chambers County Branch Library"/>
    <s v="10.8"/>
    <s v="Branch"/>
    <n v="3900"/>
    <n v="2412"/>
    <n v="52"/>
  </r>
  <r>
    <x v="0"/>
    <s v="Juanita Hargraves Memorial Branch Library"/>
    <s v="10.9"/>
    <s v="Branch"/>
    <n v="3900"/>
    <n v="2412"/>
    <n v="52"/>
  </r>
  <r>
    <x v="1"/>
    <s v="Bookmobile 1"/>
    <s v="100.307"/>
    <s v="Bookmobile"/>
    <n v="0"/>
    <n v="610"/>
    <n v="52"/>
  </r>
  <r>
    <x v="1"/>
    <s v="Arcadia Park Branch Library"/>
    <s v="100.359"/>
    <s v="Branch"/>
    <n v="19000"/>
    <n v="2829"/>
    <n v="52"/>
  </r>
  <r>
    <x v="1"/>
    <s v="Grauwyler Park Branch Library"/>
    <s v="100.368"/>
    <s v="Branch"/>
    <n v="12500"/>
    <n v="2040"/>
    <n v="52"/>
  </r>
  <r>
    <x v="1"/>
    <s v="Timberglen Branch Library"/>
    <s v="100.369"/>
    <s v="Branch"/>
    <n v="18500"/>
    <n v="2040"/>
    <n v="52"/>
  </r>
  <r>
    <x v="1"/>
    <s v="Bookmarks @ NorthPark Center"/>
    <s v="100.373"/>
    <s v="Branch"/>
    <n v="1993"/>
    <n v="2040"/>
    <n v="52"/>
  </r>
  <r>
    <x v="1"/>
    <s v="Bookmobile 2"/>
    <s v="100.374"/>
    <s v="Bookmobile"/>
    <n v="0"/>
    <n v="610"/>
    <n v="52"/>
  </r>
  <r>
    <x v="1"/>
    <s v="Prairie Creek Branch Library"/>
    <s v="100.389"/>
    <s v="Branch"/>
    <n v="18500"/>
    <n v="2040"/>
    <n v="52"/>
  </r>
  <r>
    <x v="1"/>
    <s v="White Rock Hills Branch Library"/>
    <s v="100.401"/>
    <s v="Branch"/>
    <n v="18000"/>
    <n v="2040"/>
    <n v="52"/>
  </r>
  <r>
    <x v="1"/>
    <s v="Audelia Road Branch Library"/>
    <s v="100.74"/>
    <s v="Branch"/>
    <n v="17350"/>
    <n v="2040"/>
    <n v="52"/>
  </r>
  <r>
    <x v="1"/>
    <s v="Lochwood Branch Library"/>
    <s v="100.75"/>
    <s v="Branch"/>
    <n v="19500"/>
    <n v="2040"/>
    <n v="52"/>
  </r>
  <r>
    <x v="1"/>
    <s v="Forest Green Branch Library"/>
    <s v="100.76"/>
    <s v="Branch"/>
    <n v="9030"/>
    <n v="2040"/>
    <n v="52"/>
  </r>
  <r>
    <x v="1"/>
    <s v="Fretz Park Branch Library"/>
    <s v="100.77"/>
    <s v="Branch"/>
    <n v="14707"/>
    <n v="1400"/>
    <n v="36"/>
  </r>
  <r>
    <x v="1"/>
    <s v="Hampton-Illinois Branch Library"/>
    <s v="100.78"/>
    <s v="Branch"/>
    <n v="23450"/>
    <n v="2829"/>
    <n v="52"/>
  </r>
  <r>
    <x v="1"/>
    <s v="Highland Hills Branch Library"/>
    <s v="100.79"/>
    <s v="Branch"/>
    <n v="19500"/>
    <n v="2040"/>
    <n v="49"/>
  </r>
  <r>
    <x v="1"/>
    <s v="Lakewood Branch Library"/>
    <s v="100.80"/>
    <s v="Branch"/>
    <n v="10600"/>
    <n v="2040"/>
    <n v="52"/>
  </r>
  <r>
    <x v="1"/>
    <s v="Paul Laurence Dunbar Lancaster-Kiest Branch Library"/>
    <s v="100.81"/>
    <s v="Branch"/>
    <n v="18500"/>
    <n v="2040"/>
    <n v="52"/>
  </r>
  <r>
    <x v="1"/>
    <s v="Martin Luther King Jr Library/LC"/>
    <s v="100.82"/>
    <s v="Branch"/>
    <n v="13532"/>
    <n v="2040"/>
    <n v="52"/>
  </r>
  <r>
    <x v="1"/>
    <s v="North Oak Cliff Branch Library"/>
    <s v="100.83"/>
    <s v="Branch"/>
    <n v="15562"/>
    <n v="2040"/>
    <n v="52"/>
  </r>
  <r>
    <x v="1"/>
    <s v="Oak Lawn Branch Library"/>
    <s v="100.84"/>
    <s v="Branch"/>
    <n v="12900"/>
    <n v="2040"/>
    <n v="52"/>
  </r>
  <r>
    <x v="1"/>
    <s v="Park Forest Branch Library"/>
    <s v="100.85"/>
    <s v="Branch"/>
    <n v="10984"/>
    <n v="2040"/>
    <n v="52"/>
  </r>
  <r>
    <x v="1"/>
    <s v="Pleasant Grove Branch Library"/>
    <s v="100.86"/>
    <s v="Branch"/>
    <n v="19500"/>
    <n v="2040"/>
    <n v="52"/>
  </r>
  <r>
    <x v="1"/>
    <s v="Polk-Wisdom Branch Library"/>
    <s v="100.87"/>
    <s v="Branch"/>
    <n v="16800"/>
    <n v="2040"/>
    <n v="52"/>
  </r>
  <r>
    <x v="1"/>
    <s v="Preston Royal Branch Library"/>
    <s v="100.88"/>
    <s v="Branch"/>
    <n v="12400"/>
    <n v="2040"/>
    <n v="52"/>
  </r>
  <r>
    <x v="1"/>
    <s v="Renner Frankford Branch Library"/>
    <s v="100.89"/>
    <s v="Branch"/>
    <n v="11193"/>
    <n v="2040"/>
    <n v="52"/>
  </r>
  <r>
    <x v="1"/>
    <s v="Skyline Branch Library"/>
    <s v="100.90"/>
    <s v="Branch"/>
    <n v="12037"/>
    <n v="2040"/>
    <n v="52"/>
  </r>
  <r>
    <x v="1"/>
    <s v="Bachman Lake Branch Library"/>
    <s v="100.91"/>
    <s v="Branch"/>
    <n v="20019"/>
    <n v="2040"/>
    <n v="52"/>
  </r>
  <r>
    <x v="1"/>
    <s v="Dallas West Branch Library"/>
    <s v="100.92"/>
    <s v="Branch"/>
    <n v="16605"/>
    <n v="2040"/>
    <n v="52"/>
  </r>
  <r>
    <x v="1"/>
    <s v="Mountain Creek Branch Library"/>
    <s v="100.93"/>
    <s v="Branch"/>
    <n v="12729"/>
    <n v="2040"/>
    <n v="52"/>
  </r>
  <r>
    <x v="1"/>
    <s v="Kleberg-Rylie Branch Library"/>
    <s v="100.94"/>
    <s v="Branch"/>
    <n v="10700"/>
    <n v="2040"/>
    <n v="52"/>
  </r>
  <r>
    <x v="1"/>
    <s v="Skillman Southwestern Branch Library"/>
    <s v="100.95"/>
    <s v="Branch"/>
    <n v="12025"/>
    <n v="2040"/>
    <n v="52"/>
  </r>
  <r>
    <x v="2"/>
    <s v="Denton Public Library South Branch"/>
    <s v="109.276"/>
    <s v="Branch"/>
    <n v="21450"/>
    <n v="3046"/>
    <n v="52"/>
  </r>
  <r>
    <x v="2"/>
    <s v="Denton Public Library North Branch"/>
    <s v="109.335"/>
    <s v="Branch"/>
    <n v="33504"/>
    <n v="3338"/>
    <n v="52"/>
  </r>
  <r>
    <x v="3"/>
    <s v="Cactus Branch Library"/>
    <s v="117.300"/>
    <s v="Branch"/>
    <n v="2400"/>
    <n v="1750"/>
    <n v="52"/>
  </r>
  <r>
    <x v="3"/>
    <s v="Britain Memorial Library"/>
    <s v="117.96"/>
    <s v="Branch"/>
    <n v="2300"/>
    <n v="1821"/>
    <n v="52"/>
  </r>
  <r>
    <x v="4"/>
    <s v="Alvin Library"/>
    <s v="12.10"/>
    <s v="Branch"/>
    <n v="18500"/>
    <n v="1896"/>
    <n v="52"/>
  </r>
  <r>
    <x v="4"/>
    <s v="Angleton Library"/>
    <s v="12.11"/>
    <s v="Branch"/>
    <n v="22000"/>
    <n v="2144"/>
    <n v="52"/>
  </r>
  <r>
    <x v="4"/>
    <s v="Brazoria Library"/>
    <s v="12.13"/>
    <s v="Branch"/>
    <n v="12035"/>
    <n v="1896"/>
    <n v="52"/>
  </r>
  <r>
    <x v="4"/>
    <s v="Clute Library"/>
    <s v="12.14"/>
    <s v="Branch"/>
    <n v="8930"/>
    <n v="2106"/>
    <n v="52"/>
  </r>
  <r>
    <x v="4"/>
    <s v="Freeport Library"/>
    <s v="12.15"/>
    <s v="Branch"/>
    <n v="9750"/>
    <n v="2106"/>
    <n v="52"/>
  </r>
  <r>
    <x v="4"/>
    <s v="Lake Jackson Library"/>
    <s v="12.16"/>
    <s v="Branch"/>
    <n v="21000"/>
    <n v="2638"/>
    <n v="52"/>
  </r>
  <r>
    <x v="4"/>
    <s v="Manvel Library"/>
    <s v="12.17"/>
    <s v="Branch"/>
    <n v="3000"/>
    <n v="2498"/>
    <n v="52"/>
  </r>
  <r>
    <x v="4"/>
    <s v="Pearland Library"/>
    <s v="12.18"/>
    <s v="Branch"/>
    <n v="20000"/>
    <n v="2898"/>
    <n v="52"/>
  </r>
  <r>
    <x v="4"/>
    <s v="Sweeny Library"/>
    <s v="12.19"/>
    <s v="Branch"/>
    <n v="4000"/>
    <n v="2122"/>
    <n v="52"/>
  </r>
  <r>
    <x v="4"/>
    <s v="West Columbia Branch Library"/>
    <s v="12.20"/>
    <s v="Branch"/>
    <n v="5000"/>
    <n v="2107"/>
    <n v="52"/>
  </r>
  <r>
    <x v="4"/>
    <s v="Danbury Library"/>
    <s v="12.314"/>
    <s v="Branch"/>
    <n v="1600"/>
    <n v="1829"/>
    <n v="52"/>
  </r>
  <r>
    <x v="4"/>
    <s v="Pearland Westside Library"/>
    <s v="12.404"/>
    <s v="Branch"/>
    <n v="10000"/>
    <n v="2295"/>
    <n v="52"/>
  </r>
  <r>
    <x v="5"/>
    <s v="Eagle Pass Public Children`s Library"/>
    <s v="120.290"/>
    <s v="Branch"/>
    <n v="4034"/>
    <n v="2376"/>
    <n v="52"/>
  </r>
  <r>
    <x v="6"/>
    <s v="Clardy Fox Branch Library"/>
    <s v="125.100"/>
    <s v="Branch"/>
    <n v="15126"/>
    <n v="2496"/>
    <n v="52"/>
  </r>
  <r>
    <x v="6"/>
    <s v="Judge Edward S Marquez Mission Valley Branch"/>
    <s v="125.101"/>
    <s v="Branch"/>
    <n v="15000"/>
    <n v="2496"/>
    <n v="52"/>
  </r>
  <r>
    <x v="6"/>
    <s v="Memorial Park Branch Library"/>
    <s v="125.102"/>
    <s v="Branch"/>
    <n v="9700"/>
    <n v="2496"/>
    <n v="52"/>
  </r>
  <r>
    <x v="6"/>
    <s v="Westside Branch Library"/>
    <s v="125.104"/>
    <s v="Branch"/>
    <n v="8107"/>
    <n v="2496"/>
    <n v="52"/>
  </r>
  <r>
    <x v="6"/>
    <s v="Ysleta Branch Library"/>
    <s v="125.105"/>
    <s v="Branch"/>
    <n v="15500"/>
    <n v="2496"/>
    <n v="52"/>
  </r>
  <r>
    <x v="6"/>
    <s v="Bookmobile - El Paso Public Library"/>
    <s v="125.106"/>
    <s v="Bookmobile"/>
    <n v="312"/>
    <n v="891"/>
    <n v="52"/>
  </r>
  <r>
    <x v="6"/>
    <s v="Irving Schwartz Branch Library"/>
    <s v="125.107"/>
    <s v="Branch"/>
    <n v="10000"/>
    <n v="2496"/>
    <n v="52"/>
  </r>
  <r>
    <x v="6"/>
    <s v="EPCC NW Campus Community Library"/>
    <s v="125.336"/>
    <s v="Branch"/>
    <n v="10358"/>
    <n v="3402"/>
    <n v="49"/>
  </r>
  <r>
    <x v="6"/>
    <s v="Dorris Van Doren Regional Branch Library"/>
    <s v="125.358"/>
    <s v="Branch"/>
    <n v="22000"/>
    <n v="2496"/>
    <n v="52"/>
  </r>
  <r>
    <x v="6"/>
    <s v="Esperanza Acosta Moreno Regional Branch Library"/>
    <s v="125.370"/>
    <s v="Branch"/>
    <n v="24665"/>
    <n v="2496"/>
    <n v="52"/>
  </r>
  <r>
    <x v="6"/>
    <s v="Jose Cisneros Cielo Vista Branch Library"/>
    <s v="125.398"/>
    <s v="Branch"/>
    <n v="9200"/>
    <n v="2496"/>
    <n v="52"/>
  </r>
  <r>
    <x v="6"/>
    <s v="Armijo Branch Library"/>
    <s v="125.97"/>
    <s v="Branch"/>
    <n v="12352"/>
    <n v="2496"/>
    <n v="52"/>
  </r>
  <r>
    <x v="6"/>
    <s v="Richard Burges Regional Branch Library"/>
    <s v="125.98"/>
    <s v="Branch"/>
    <n v="20200"/>
    <n v="2496"/>
    <n v="52"/>
  </r>
  <r>
    <x v="7"/>
    <s v="Sarah Bain Chandler Library"/>
    <s v="139.409"/>
    <s v="Branch"/>
    <n v="2100"/>
    <n v="2080"/>
    <n v="52"/>
  </r>
  <r>
    <x v="7"/>
    <s v="Poth Branch Library"/>
    <s v="139.410"/>
    <s v="Branch"/>
    <n v="103"/>
    <n v="1040"/>
    <n v="52"/>
  </r>
  <r>
    <x v="8"/>
    <s v="Floyd County Branch Library"/>
    <s v="140.110"/>
    <s v="Branch"/>
    <n v="2950"/>
    <n v="988"/>
    <n v="52"/>
  </r>
  <r>
    <x v="9"/>
    <s v="East Berry Branch Library"/>
    <s v="143.111"/>
    <s v="Branch"/>
    <n v="7527"/>
    <n v="2032"/>
    <n v="52"/>
  </r>
  <r>
    <x v="9"/>
    <s v="eSkills Library"/>
    <s v="143.112"/>
    <s v="Branch"/>
    <n v="5045"/>
    <n v="2016"/>
    <n v="52"/>
  </r>
  <r>
    <x v="9"/>
    <s v="Northside Branch Library"/>
    <s v="143.113"/>
    <s v="Branch"/>
    <n v="7072"/>
    <n v="2016"/>
    <n v="52"/>
  </r>
  <r>
    <x v="9"/>
    <s v="Ridglea Branch Library"/>
    <s v="143.114"/>
    <s v="Branch"/>
    <n v="9585"/>
    <n v="2016"/>
    <n v="43"/>
  </r>
  <r>
    <x v="9"/>
    <s v="Riverside Branch Library"/>
    <s v="143.115"/>
    <s v="Branch"/>
    <n v="6313"/>
    <n v="2016"/>
    <n v="52"/>
  </r>
  <r>
    <x v="9"/>
    <s v="Seminary South Branch Library"/>
    <s v="143.116"/>
    <s v="Branch"/>
    <n v="6834"/>
    <n v="2032"/>
    <n v="52"/>
  </r>
  <r>
    <x v="9"/>
    <s v="Shamblee Branch Library"/>
    <s v="143.117"/>
    <s v="Branch"/>
    <n v="13445"/>
    <n v="2016"/>
    <n v="52"/>
  </r>
  <r>
    <x v="9"/>
    <s v="Southwest Regional Branch Library"/>
    <s v="143.118"/>
    <s v="Branch"/>
    <n v="25661"/>
    <n v="2032"/>
    <n v="52"/>
  </r>
  <r>
    <x v="9"/>
    <s v="Wedgwood Branch Library"/>
    <s v="143.119"/>
    <s v="Branch"/>
    <n v="4962"/>
    <n v="2016"/>
    <n v="52"/>
  </r>
  <r>
    <x v="9"/>
    <s v="Diamond Hill/Jarvis Branch Library"/>
    <s v="143.120"/>
    <s v="Branch"/>
    <n v="8121"/>
    <n v="2032"/>
    <n v="52"/>
  </r>
  <r>
    <x v="9"/>
    <s v="COOL (Cavile Outreach Opportunity Library)"/>
    <s v="143.277"/>
    <s v="Branch"/>
    <n v="915"/>
    <n v="2286"/>
    <n v="52"/>
  </r>
  <r>
    <x v="9"/>
    <s v="East Regional Branch Library"/>
    <s v="143.278"/>
    <s v="Branch"/>
    <n v="23990"/>
    <n v="2032"/>
    <n v="52"/>
  </r>
  <r>
    <x v="9"/>
    <s v="BOLD Butler Housing Community Library"/>
    <s v="143.297"/>
    <s v="Branch"/>
    <n v="1400"/>
    <n v="2286"/>
    <n v="52"/>
  </r>
  <r>
    <x v="9"/>
    <s v="Summerglen Branch Library"/>
    <s v="143.309"/>
    <s v="Branch"/>
    <n v="11068"/>
    <n v="2032"/>
    <n v="52"/>
  </r>
  <r>
    <x v="9"/>
    <s v="Northwest Branch Library"/>
    <s v="143.390"/>
    <s v="Branch"/>
    <n v="13038"/>
    <n v="2016"/>
    <n v="52"/>
  </r>
  <r>
    <x v="10"/>
    <s v="Walnut Creek Branch Library"/>
    <s v="150.122"/>
    <s v="Branch"/>
    <n v="8000"/>
    <n v="2064"/>
    <n v="52"/>
  </r>
  <r>
    <x v="10"/>
    <s v="North Garland Branch Library"/>
    <s v="150.124"/>
    <s v="Branch"/>
    <n v="16500"/>
    <n v="2064"/>
    <n v="52"/>
  </r>
  <r>
    <x v="10"/>
    <s v="South Garland Branch Library"/>
    <s v="150.317"/>
    <s v="Branch"/>
    <n v="36920"/>
    <n v="2064"/>
    <n v="52"/>
  </r>
  <r>
    <x v="11"/>
    <s v="Live Oak County Branch Library"/>
    <s v="153.125"/>
    <s v="Branch"/>
    <n v="2064"/>
    <n v="1651"/>
    <n v="52"/>
  </r>
  <r>
    <x v="12"/>
    <s v="WOW!mobile"/>
    <s v="154.402"/>
    <s v="Bookmobile"/>
    <n v="135"/>
    <n v="624"/>
    <n v="49"/>
  </r>
  <r>
    <x v="13"/>
    <s v="East Arlington Branch Library"/>
    <s v="16.21"/>
    <s v="Branch"/>
    <n v="10000"/>
    <n v="2808"/>
    <n v="52"/>
  </r>
  <r>
    <x v="13"/>
    <s v="Northeast Branch Library"/>
    <s v="16.22"/>
    <s v="Branch"/>
    <n v="10000"/>
    <n v="2808"/>
    <n v="52"/>
  </r>
  <r>
    <x v="13"/>
    <s v="Woodland West Branch Library"/>
    <s v="16.23"/>
    <s v="Branch"/>
    <n v="8100"/>
    <n v="2808"/>
    <n v="52"/>
  </r>
  <r>
    <x v="13"/>
    <s v="Lake Arlington Branch Library"/>
    <s v="16.24"/>
    <s v="Branch"/>
    <n v="10000"/>
    <n v="2808"/>
    <n v="52"/>
  </r>
  <r>
    <x v="13"/>
    <s v="Southeast Branch Library"/>
    <s v="16.333"/>
    <s v="Branch"/>
    <n v="15000"/>
    <n v="2840"/>
    <n v="52"/>
  </r>
  <r>
    <x v="13"/>
    <s v="Southwest Branch Library"/>
    <s v="16.372"/>
    <s v="Branch"/>
    <n v="11200"/>
    <n v="2808"/>
    <n v="52"/>
  </r>
  <r>
    <x v="14"/>
    <s v="Betty Warmack Branch Library"/>
    <s v="162.323"/>
    <s v="Branch"/>
    <n v="10000"/>
    <n v="2316"/>
    <n v="52"/>
  </r>
  <r>
    <x v="14"/>
    <s v="Tony Shotwell Life Center Branch Library"/>
    <s v="162.365"/>
    <s v="Branch"/>
    <n v="2760"/>
    <n v="2028"/>
    <n v="52"/>
  </r>
  <r>
    <x v="15"/>
    <s v="Waller County Library Brookshire-Pattison"/>
    <s v="180.127"/>
    <s v="Branch"/>
    <n v="4400"/>
    <n v="2288"/>
    <n v="52"/>
  </r>
  <r>
    <x v="16"/>
    <s v="Morrow Branch Library"/>
    <s v="181.128"/>
    <s v="Branch"/>
    <n v="1910"/>
    <n v="2158"/>
    <n v="52"/>
  </r>
  <r>
    <x v="16"/>
    <s v="McMillan Memorial Library"/>
    <s v="181.129"/>
    <s v="Branch"/>
    <n v="11383"/>
    <n v="2158"/>
    <n v="52"/>
  </r>
  <r>
    <x v="16"/>
    <s v="Tatum Public Library"/>
    <s v="181.130"/>
    <s v="Branch"/>
    <n v="3206"/>
    <n v="2158"/>
    <n v="52"/>
  </r>
  <r>
    <x v="16"/>
    <s v="Rusk County Library"/>
    <s v="181.279"/>
    <s v="Branch"/>
    <n v="20774"/>
    <n v="2483"/>
    <n v="52"/>
  </r>
  <r>
    <x v="17"/>
    <s v="Shepard-Acres Homes Branch Library"/>
    <s v="189.131"/>
    <s v="Branch"/>
    <n v="8720"/>
    <n v="1976"/>
    <n v="50"/>
  </r>
  <r>
    <x v="17"/>
    <s v="Henington-Alief Regional Library"/>
    <s v="189.132"/>
    <s v="Branch"/>
    <n v="19620"/>
    <n v="2129"/>
    <n v="50"/>
  </r>
  <r>
    <x v="17"/>
    <s v="Bracewell Branch Library"/>
    <s v="189.133"/>
    <s v="Branch"/>
    <n v="12000"/>
    <n v="1763"/>
    <n v="50"/>
  </r>
  <r>
    <x v="17"/>
    <s v="Carnegie Branch Library"/>
    <s v="189.134"/>
    <s v="Branch"/>
    <n v="19620"/>
    <n v="2855"/>
    <n v="50"/>
  </r>
  <r>
    <x v="17"/>
    <s v="Collier Regional Library"/>
    <s v="189.135"/>
    <s v="Branch"/>
    <n v="17440"/>
    <n v="2021"/>
    <n v="50"/>
  </r>
  <r>
    <x v="17"/>
    <s v="Clayton Library Ctr for Gen Res"/>
    <s v="189.136"/>
    <s v="Branch"/>
    <n v="34936"/>
    <n v="2017"/>
    <n v="50"/>
  </r>
  <r>
    <x v="17"/>
    <s v="Dixon Branch Library"/>
    <s v="189.137"/>
    <s v="Branch"/>
    <n v="3270"/>
    <n v="1767"/>
    <n v="50"/>
  </r>
  <r>
    <x v="17"/>
    <s v="Fifth Ward Branch Library"/>
    <s v="189.138"/>
    <s v="Branch"/>
    <n v="551"/>
    <n v="945"/>
    <n v="50"/>
  </r>
  <r>
    <x v="17"/>
    <s v="Flores Branch Library"/>
    <s v="189.139"/>
    <s v="Branch"/>
    <n v="9265"/>
    <n v="1740"/>
    <n v="50"/>
  </r>
  <r>
    <x v="17"/>
    <s v="Frank Branch Library"/>
    <s v="189.140"/>
    <s v="Branch"/>
    <n v="9040"/>
    <n v="1516"/>
    <n v="50"/>
  </r>
  <r>
    <x v="17"/>
    <s v="Heights Branch Library"/>
    <s v="189.141"/>
    <s v="Branch"/>
    <n v="15260"/>
    <n v="2157"/>
    <n v="50"/>
  </r>
  <r>
    <x v="17"/>
    <s v="Hillendahl Branch Library"/>
    <s v="189.142"/>
    <s v="Branch"/>
    <n v="10900"/>
    <n v="1375"/>
    <n v="50"/>
  </r>
  <r>
    <x v="17"/>
    <s v="Johnson Branch Library"/>
    <s v="189.143"/>
    <s v="Branch"/>
    <n v="12190"/>
    <n v="1752"/>
    <n v="50"/>
  </r>
  <r>
    <x v="17"/>
    <s v="Jungman Branch Library"/>
    <s v="189.144"/>
    <s v="Branch"/>
    <n v="18530"/>
    <n v="1635"/>
    <n v="50"/>
  </r>
  <r>
    <x v="17"/>
    <s v="McCrane-Kashmere Gardens Branch Library"/>
    <s v="189.145"/>
    <s v="Branch"/>
    <n v="11178"/>
    <n v="1718"/>
    <n v="50"/>
  </r>
  <r>
    <x v="17"/>
    <s v="Kendall Branch Library"/>
    <s v="189.146"/>
    <s v="Branch"/>
    <n v="19000"/>
    <n v="2160"/>
    <n v="50"/>
  </r>
  <r>
    <x v="17"/>
    <s v="Lakewood Branch Library"/>
    <s v="189.147"/>
    <s v="Branch"/>
    <n v="4524"/>
    <n v="1861"/>
    <n v="50"/>
  </r>
  <r>
    <x v="17"/>
    <s v="Looscan Branch Library"/>
    <s v="189.148"/>
    <s v="Branch"/>
    <n v="20000"/>
    <n v="2031"/>
    <n v="28"/>
  </r>
  <r>
    <x v="17"/>
    <s v="Mancuso Branch Library"/>
    <s v="189.149"/>
    <s v="Branch"/>
    <n v="8930"/>
    <n v="2056"/>
    <n v="50"/>
  </r>
  <r>
    <x v="17"/>
    <s v="Melcher Branch Library"/>
    <s v="189.150"/>
    <s v="Branch"/>
    <n v="4578"/>
    <n v="1762"/>
    <n v="50"/>
  </r>
  <r>
    <x v="17"/>
    <s v="Meyer Branch Library"/>
    <s v="189.151"/>
    <s v="Branch"/>
    <n v="8339"/>
    <n v="1744"/>
    <n v="50"/>
  </r>
  <r>
    <x v="17"/>
    <s v="Moody Branch Library"/>
    <s v="189.152"/>
    <s v="Branch"/>
    <n v="6213"/>
    <n v="2033"/>
    <n v="50"/>
  </r>
  <r>
    <x v="17"/>
    <s v="Oak Forest Branch Library"/>
    <s v="189.153"/>
    <s v="Branch"/>
    <n v="12116"/>
    <n v="1794"/>
    <n v="50"/>
  </r>
  <r>
    <x v="17"/>
    <s v="Park Place Regional Library"/>
    <s v="189.154"/>
    <s v="Branch"/>
    <n v="16000"/>
    <n v="2146"/>
    <n v="50"/>
  </r>
  <r>
    <x v="17"/>
    <s v="Pleasantville Branch Library"/>
    <s v="189.155"/>
    <s v="Branch"/>
    <n v="4360"/>
    <n v="2046"/>
    <n v="50"/>
  </r>
  <r>
    <x v="17"/>
    <s v="Ring Branch Library"/>
    <s v="189.156"/>
    <s v="Branch"/>
    <n v="8391"/>
    <n v="1883"/>
    <n v="50"/>
  </r>
  <r>
    <x v="17"/>
    <s v="Scenic Woods Regional Library"/>
    <s v="189.157"/>
    <s v="Branch"/>
    <n v="12252"/>
    <n v="2071"/>
    <n v="50"/>
  </r>
  <r>
    <x v="17"/>
    <s v="Smith Branch Library"/>
    <s v="189.158"/>
    <s v="Branch"/>
    <n v="11445"/>
    <n v="2045"/>
    <n v="50"/>
  </r>
  <r>
    <x v="17"/>
    <s v="Stanaker Branch Library"/>
    <s v="189.159"/>
    <s v="Branch"/>
    <n v="9045"/>
    <n v="2012"/>
    <n v="31"/>
  </r>
  <r>
    <x v="17"/>
    <s v="Tuttle Branch Library"/>
    <s v="189.160"/>
    <s v="Branch"/>
    <n v="7722"/>
    <n v="1768"/>
    <n v="50"/>
  </r>
  <r>
    <x v="17"/>
    <s v="HPL Express Vinson"/>
    <s v="189.161"/>
    <s v="Branch"/>
    <n v="19864"/>
    <n v="1767"/>
    <n v="50"/>
  </r>
  <r>
    <x v="17"/>
    <s v="Walter Branch Library"/>
    <s v="189.162"/>
    <s v="Branch"/>
    <n v="10400"/>
    <n v="1760"/>
    <n v="50"/>
  </r>
  <r>
    <x v="17"/>
    <s v="Young Branch Library"/>
    <s v="189.163"/>
    <s v="Branch"/>
    <n v="7922"/>
    <n v="1768"/>
    <n v="50"/>
  </r>
  <r>
    <x v="17"/>
    <s v="Freed-Montrose Branch Library"/>
    <s v="189.164"/>
    <s v="Branch"/>
    <n v="16459"/>
    <n v="1758"/>
    <n v="50"/>
  </r>
  <r>
    <x v="17"/>
    <s v="Robinson-Westchase Branch Library"/>
    <s v="189.165"/>
    <s v="Branch"/>
    <n v="18094"/>
    <n v="2018"/>
    <n v="50"/>
  </r>
  <r>
    <x v="17"/>
    <s v="Stimley-Blue Ridge Branch Library"/>
    <s v="189.303"/>
    <s v="Branch"/>
    <n v="14660"/>
    <n v="2053"/>
    <n v="50"/>
  </r>
  <r>
    <x v="17"/>
    <s v="McGovern-Stella Link Branch Library"/>
    <s v="189.360"/>
    <s v="Branch"/>
    <n v="20393"/>
    <n v="2154"/>
    <n v="50"/>
  </r>
  <r>
    <x v="17"/>
    <s v="HPL Express Discovery Green"/>
    <s v="189.377"/>
    <s v="Branch"/>
    <n v="450"/>
    <n v="695"/>
    <n v="50"/>
  </r>
  <r>
    <x v="17"/>
    <s v="HPL Express Southwest"/>
    <s v="189.378"/>
    <s v="Branch"/>
    <n v="3636"/>
    <n v="2022"/>
    <n v="50"/>
  </r>
  <r>
    <x v="17"/>
    <s v="African American Library"/>
    <s v="189.391"/>
    <s v="Branch"/>
    <n v="26000"/>
    <n v="1956"/>
    <n v="50"/>
  </r>
  <r>
    <x v="17"/>
    <s v="Houston Metropolitan Research Center"/>
    <s v="189.392"/>
    <s v="Branch"/>
    <n v="88000"/>
    <n v="2049"/>
    <n v="50"/>
  </r>
  <r>
    <x v="17"/>
    <s v="HPL Mobile Express"/>
    <s v="189.393"/>
    <s v="Bookmobile"/>
    <n v="-3"/>
    <n v="-3"/>
    <n v="-3"/>
  </r>
  <r>
    <x v="18"/>
    <s v="Crosby Branch Library"/>
    <s v="190.166"/>
    <s v="Branch"/>
    <n v="10500"/>
    <n v="1799"/>
    <n v="52"/>
  </r>
  <r>
    <x v="18"/>
    <s v="Northwest Branch Library"/>
    <s v="190.167"/>
    <s v="Branch"/>
    <n v="12000"/>
    <n v="1909"/>
    <n v="52"/>
  </r>
  <r>
    <x v="18"/>
    <s v="Galena Park Branch Library"/>
    <s v="190.168"/>
    <s v="Branch"/>
    <n v="6922"/>
    <n v="1140"/>
    <n v="33"/>
  </r>
  <r>
    <x v="18"/>
    <s v="Stratford Branch Library"/>
    <s v="190.169"/>
    <s v="Branch"/>
    <n v="2700"/>
    <n v="2054"/>
    <n v="52"/>
  </r>
  <r>
    <x v="18"/>
    <s v="Aldine Branch Library"/>
    <s v="190.170"/>
    <s v="Branch"/>
    <n v="13268"/>
    <n v="2209"/>
    <n v="52"/>
  </r>
  <r>
    <x v="18"/>
    <s v="Katherine Tyra/Bear Creek Branch Library"/>
    <s v="190.171"/>
    <s v="Branch"/>
    <n v="12000"/>
    <n v="2261"/>
    <n v="52"/>
  </r>
  <r>
    <x v="18"/>
    <s v="Fairbanks Branch Library"/>
    <s v="190.172"/>
    <s v="Branch"/>
    <n v="7247"/>
    <n v="2207"/>
    <n v="52"/>
  </r>
  <r>
    <x v="18"/>
    <s v="Freeman Memorial Branch Library"/>
    <s v="190.173"/>
    <s v="Branch"/>
    <n v="42000"/>
    <n v="2654"/>
    <n v="52"/>
  </r>
  <r>
    <x v="18"/>
    <s v="High Meadows Branch Library"/>
    <s v="190.174"/>
    <s v="Branch"/>
    <n v="9500"/>
    <n v="2362"/>
    <n v="52"/>
  </r>
  <r>
    <x v="18"/>
    <s v="Jacinto City Branch Library"/>
    <s v="190.175"/>
    <s v="Branch"/>
    <n v="5883"/>
    <n v="2012"/>
    <n v="52"/>
  </r>
  <r>
    <x v="18"/>
    <s v="Spring Branch Library"/>
    <s v="190.176"/>
    <s v="Branch"/>
    <n v="10500"/>
    <n v="2357"/>
    <n v="52"/>
  </r>
  <r>
    <x v="18"/>
    <s v="West University Branch Library"/>
    <s v="190.177"/>
    <s v="Branch"/>
    <n v="6100"/>
    <n v="2150"/>
    <n v="52"/>
  </r>
  <r>
    <x v="18"/>
    <s v="North Channel Branch Library"/>
    <s v="190.179"/>
    <s v="Branch"/>
    <n v="14000"/>
    <n v="2463"/>
    <n v="52"/>
  </r>
  <r>
    <x v="18"/>
    <s v="Parker Williams Branch Library"/>
    <s v="190.180"/>
    <s v="Branch"/>
    <n v="20000"/>
    <n v="1960"/>
    <n v="52"/>
  </r>
  <r>
    <x v="18"/>
    <s v="Baldwin Boettcher Branch Library"/>
    <s v="190.181"/>
    <s v="Branch"/>
    <n v="10137"/>
    <n v="2159"/>
    <n v="52"/>
  </r>
  <r>
    <x v="18"/>
    <s v="Octavia Fields Branch Library"/>
    <s v="190.182"/>
    <s v="Branch"/>
    <n v="15000"/>
    <n v="2215"/>
    <n v="52"/>
  </r>
  <r>
    <x v="18"/>
    <s v="Katy Branch Library"/>
    <s v="190.183"/>
    <s v="Branch"/>
    <n v="15000"/>
    <n v="2254"/>
    <n v="52"/>
  </r>
  <r>
    <x v="18"/>
    <s v="Maud Smith Marks Branch Library"/>
    <s v="190.184"/>
    <s v="Branch"/>
    <n v="12300"/>
    <n v="2357"/>
    <n v="52"/>
  </r>
  <r>
    <x v="18"/>
    <s v="Kingwood Branch Library"/>
    <s v="190.185"/>
    <s v="Branch"/>
    <n v="30000"/>
    <n v="2667"/>
    <n v="52"/>
  </r>
  <r>
    <x v="18"/>
    <s v="La Porte Branch Library"/>
    <s v="190.186"/>
    <s v="Branch"/>
    <n v="23357"/>
    <n v="2359"/>
    <n v="52"/>
  </r>
  <r>
    <x v="18"/>
    <s v="Evelyn Meador Branch Library"/>
    <s v="190.187"/>
    <s v="Branch"/>
    <n v="21100"/>
    <n v="2354"/>
    <n v="52"/>
  </r>
  <r>
    <x v="18"/>
    <s v="South Houston Branch Library"/>
    <s v="190.188"/>
    <s v="Branch"/>
    <n v="6910"/>
    <n v="1909"/>
    <n v="52"/>
  </r>
  <r>
    <x v="18"/>
    <s v="Barbara Bush Branch Library"/>
    <s v="190.189"/>
    <s v="Branch"/>
    <n v="32000"/>
    <n v="2660"/>
    <n v="52"/>
  </r>
  <r>
    <x v="18"/>
    <s v="Tomball Branch Library"/>
    <s v="190.190"/>
    <s v="Branch"/>
    <n v="72000"/>
    <n v="3557"/>
    <n v="52"/>
  </r>
  <r>
    <x v="18"/>
    <s v="Atascocita Branch Library"/>
    <s v="190.286"/>
    <s v="Branch"/>
    <n v="12000"/>
    <n v="2357"/>
    <n v="52"/>
  </r>
  <r>
    <x v="18"/>
    <s v="Cy-Fair College"/>
    <s v="190.341"/>
    <s v="Branch"/>
    <n v="78500"/>
    <n v="4270"/>
    <n v="52"/>
  </r>
  <r>
    <x v="18"/>
    <s v="HCPL Technology Center at Lincoln Park"/>
    <s v="190.396"/>
    <s v="Branch"/>
    <n v="552"/>
    <n v="2000"/>
    <n v="52"/>
  </r>
  <r>
    <x v="18"/>
    <s v="HCPL Technology Center at Finnegan Park"/>
    <s v="190.397"/>
    <s v="Branch"/>
    <n v="275"/>
    <n v="2000"/>
    <n v="52"/>
  </r>
  <r>
    <x v="19"/>
    <s v="West Irving Library"/>
    <s v="198.192"/>
    <s v="Branch"/>
    <n v="25000"/>
    <n v="2744"/>
    <n v="52"/>
  </r>
  <r>
    <x v="19"/>
    <s v="East Branch Library"/>
    <s v="198.281"/>
    <s v="Branch"/>
    <n v="5700"/>
    <n v="1600"/>
    <n v="52"/>
  </r>
  <r>
    <x v="19"/>
    <s v="Valley Ranch Library"/>
    <s v="198.284"/>
    <s v="Branch"/>
    <n v="26000"/>
    <n v="2312"/>
    <n v="44"/>
  </r>
  <r>
    <x v="20"/>
    <s v="Abilene Public Library South Branch"/>
    <s v="2.1"/>
    <s v="Branch"/>
    <n v="5600"/>
    <n v="3077"/>
    <n v="52"/>
  </r>
  <r>
    <x v="20"/>
    <s v="Abilene Public Library Mockingbird"/>
    <s v="2.384"/>
    <s v="Branch"/>
    <n v="11880"/>
    <n v="3158"/>
    <n v="52"/>
  </r>
  <r>
    <x v="21"/>
    <s v="Austin History Center Library"/>
    <s v="20.27"/>
    <s v="Branch"/>
    <n v="36176"/>
    <n v="2346"/>
    <n v="52"/>
  </r>
  <r>
    <x v="21"/>
    <s v="Carver Branch Library"/>
    <s v="20.28"/>
    <s v="Branch"/>
    <n v="14967"/>
    <n v="2526"/>
    <n v="52"/>
  </r>
  <r>
    <x v="21"/>
    <s v="Milwood Branch Library"/>
    <s v="20.288"/>
    <s v="Branch"/>
    <n v="8266"/>
    <n v="2542"/>
    <n v="52"/>
  </r>
  <r>
    <x v="21"/>
    <s v="Will Hampton Branch at Oak Hill"/>
    <s v="20.289"/>
    <s v="Branch"/>
    <n v="8580"/>
    <n v="2392"/>
    <n v="52"/>
  </r>
  <r>
    <x v="21"/>
    <s v="Eustasio Cepeda Branch Library"/>
    <s v="20.29"/>
    <s v="Branch"/>
    <n v="8110"/>
    <n v="2542"/>
    <n v="52"/>
  </r>
  <r>
    <x v="21"/>
    <s v="Howson Branch Library"/>
    <s v="20.30"/>
    <s v="Branch"/>
    <n v="6700"/>
    <n v="2392"/>
    <n v="52"/>
  </r>
  <r>
    <x v="21"/>
    <s v="Little Walnut Creek Branch Library"/>
    <s v="20.31"/>
    <s v="Branch"/>
    <n v="11000"/>
    <n v="2746"/>
    <n v="52"/>
  </r>
  <r>
    <x v="21"/>
    <s v="Manchaca Road Branch Library"/>
    <s v="20.32"/>
    <s v="Branch"/>
    <n v="14500"/>
    <n v="2746"/>
    <n v="52"/>
  </r>
  <r>
    <x v="21"/>
    <s v="Ralph W Yarborough Branch Library"/>
    <s v="20.33"/>
    <s v="Branch"/>
    <n v="15120"/>
    <n v="2542"/>
    <n v="52"/>
  </r>
  <r>
    <x v="21"/>
    <s v="St John Branch Library"/>
    <s v="20.330"/>
    <s v="Branch"/>
    <n v="7536"/>
    <n v="2340"/>
    <n v="52"/>
  </r>
  <r>
    <x v="21"/>
    <s v="North Village Branch Library"/>
    <s v="20.34"/>
    <s v="Branch"/>
    <n v="10738"/>
    <n v="2392"/>
    <n v="52"/>
  </r>
  <r>
    <x v="21"/>
    <s v="Willie Mae Kirk Branch Library"/>
    <s v="20.35"/>
    <s v="Branch"/>
    <n v="10000"/>
    <n v="2392"/>
    <n v="52"/>
  </r>
  <r>
    <x v="21"/>
    <s v="Old Quarry Branch Library"/>
    <s v="20.36"/>
    <s v="Branch"/>
    <n v="9017"/>
    <n v="2542"/>
    <n v="52"/>
  </r>
  <r>
    <x v="21"/>
    <s v="Pleasant Hill Branch Library"/>
    <s v="20.37"/>
    <s v="Branch"/>
    <n v="9017"/>
    <n v="2542"/>
    <n v="52"/>
  </r>
  <r>
    <x v="21"/>
    <s v="Daniel E Ruiz Branch Library"/>
    <s v="20.38"/>
    <s v="Branch"/>
    <n v="16000"/>
    <n v="2746"/>
    <n v="52"/>
  </r>
  <r>
    <x v="21"/>
    <s v="Spicewood Springs Branch Library"/>
    <s v="20.39"/>
    <s v="Branch"/>
    <n v="13257"/>
    <n v="2392"/>
    <n v="52"/>
  </r>
  <r>
    <x v="21"/>
    <s v="Terrazas Branch Library"/>
    <s v="20.40"/>
    <s v="Branch"/>
    <n v="10827"/>
    <n v="2392"/>
    <n v="52"/>
  </r>
  <r>
    <x v="21"/>
    <s v="Twin Oaks Branch Library"/>
    <s v="20.41"/>
    <s v="Branch"/>
    <n v="10120"/>
    <n v="2392"/>
    <n v="52"/>
  </r>
  <r>
    <x v="21"/>
    <s v="University Hills Branch Library"/>
    <s v="20.42"/>
    <s v="Branch"/>
    <n v="8000"/>
    <n v="2542"/>
    <n v="52"/>
  </r>
  <r>
    <x v="21"/>
    <s v="Windsor Park Branch Library"/>
    <s v="20.43"/>
    <s v="Branch"/>
    <n v="8630"/>
    <n v="2392"/>
    <n v="52"/>
  </r>
  <r>
    <x v="21"/>
    <s v="Southeast Austin Community Branch Library"/>
    <s v="20.44"/>
    <s v="Branch"/>
    <n v="8320"/>
    <n v="2392"/>
    <n v="52"/>
  </r>
  <r>
    <x v="22"/>
    <s v="Wink Branch Library"/>
    <s v="212.194"/>
    <s v="Branch"/>
    <n v="9606"/>
    <n v="1560"/>
    <n v="52"/>
  </r>
  <r>
    <x v="23"/>
    <s v="Kerr Regional History Center"/>
    <s v="213.334"/>
    <s v="Branch"/>
    <n v="1795"/>
    <n v="1296"/>
    <n v="49"/>
  </r>
  <r>
    <x v="24"/>
    <s v="Copper Mountain Branch Library"/>
    <s v="215.319"/>
    <s v="Branch"/>
    <n v="9800"/>
    <n v="2598"/>
    <n v="52"/>
  </r>
  <r>
    <x v="25"/>
    <s v="Bruni Plaza Branch Library"/>
    <s v="228.311"/>
    <s v="Branch"/>
    <n v="5051"/>
    <n v="2216"/>
    <n v="50"/>
  </r>
  <r>
    <x v="25"/>
    <s v="Cyber Mobile"/>
    <s v="228.386"/>
    <s v="Bookmobile"/>
    <n v="240"/>
    <n v="100"/>
    <n v="3"/>
  </r>
  <r>
    <x v="25"/>
    <s v="Inner City Branch Library"/>
    <s v="228.405"/>
    <s v="Branch"/>
    <n v="15151"/>
    <n v="2307"/>
    <n v="51"/>
  </r>
  <r>
    <x v="25"/>
    <s v="Santa Rita Express Branch Library"/>
    <s v="228.406"/>
    <s v="Branch"/>
    <n v="1073"/>
    <n v="962"/>
    <n v="48"/>
  </r>
  <r>
    <x v="25"/>
    <s v="Barbara Fasken Branch Library"/>
    <s v="228.407"/>
    <s v="Branch"/>
    <n v="8034"/>
    <n v="1231"/>
    <n v="29"/>
  </r>
  <r>
    <x v="25"/>
    <s v="Sophie Christen McKendrick, Francisco Ochoa and Fernando Salinas Branch Library"/>
    <s v="228.411"/>
    <s v="Branch"/>
    <n v="0"/>
    <n v="0"/>
    <n v="0"/>
  </r>
  <r>
    <x v="26"/>
    <s v="Sundown Branch Library"/>
    <s v="231.200"/>
    <s v="Branch"/>
    <n v="1287"/>
    <n v="1912"/>
    <n v="50"/>
  </r>
  <r>
    <x v="27"/>
    <s v="Lakeshore Branch Library"/>
    <s v="236.202"/>
    <s v="Branch"/>
    <n v="3433"/>
    <n v="1970"/>
    <n v="52"/>
  </r>
  <r>
    <x v="27"/>
    <s v="Kingsland Branch Library"/>
    <s v="236.203"/>
    <s v="Branch"/>
    <n v="9200"/>
    <n v="2265"/>
    <n v="52"/>
  </r>
  <r>
    <x v="28"/>
    <s v="Broughton Branch Library"/>
    <s v="238.328"/>
    <s v="Branch"/>
    <n v="500"/>
    <n v="1005"/>
    <n v="52"/>
  </r>
  <r>
    <x v="29"/>
    <s v="Godeke Branch Library"/>
    <s v="240.204"/>
    <s v="Branch"/>
    <n v="12630"/>
    <n v="2727"/>
    <n v="52"/>
  </r>
  <r>
    <x v="29"/>
    <s v="Patterson Branch Library"/>
    <s v="240.282"/>
    <s v="Branch"/>
    <n v="10426"/>
    <n v="2727"/>
    <n v="52"/>
  </r>
  <r>
    <x v="29"/>
    <s v="Groves Branch Library"/>
    <s v="240.292"/>
    <s v="Branch"/>
    <n v="10426"/>
    <n v="2727"/>
    <n v="52"/>
  </r>
  <r>
    <x v="30"/>
    <s v="Lark Branch Library"/>
    <s v="254.320"/>
    <s v="Branch"/>
    <n v="11000"/>
    <n v="3322"/>
    <n v="52"/>
  </r>
  <r>
    <x v="30"/>
    <s v="Palm View Branch Library"/>
    <s v="254.321"/>
    <s v="Branch"/>
    <n v="11000"/>
    <n v="3322"/>
    <n v="52"/>
  </r>
  <r>
    <x v="31"/>
    <s v="John and Judy Gay Library"/>
    <s v="256.381"/>
    <s v="Branch"/>
    <n v="20000"/>
    <n v="3136"/>
    <n v="52"/>
  </r>
  <r>
    <x v="32"/>
    <s v="Mesquite Public Library-North Branch"/>
    <s v="262.206"/>
    <s v="Branch"/>
    <n v="10000"/>
    <n v="2730"/>
    <n v="52"/>
  </r>
  <r>
    <x v="33"/>
    <s v="Midland Centennial Library"/>
    <s v="264.207"/>
    <s v="Branch"/>
    <n v="32956"/>
    <n v="3000"/>
    <n v="49"/>
  </r>
  <r>
    <x v="34"/>
    <s v="Mineola Memorial Library Bookmobile"/>
    <s v="266.402"/>
    <s v="Bookmobile"/>
    <n v="0"/>
    <n v="212"/>
    <n v="48"/>
  </r>
  <r>
    <x v="35"/>
    <s v="Barstow Library"/>
    <s v="269.208"/>
    <s v="Branch"/>
    <n v="480"/>
    <n v="900"/>
    <n v="52"/>
  </r>
  <r>
    <x v="35"/>
    <s v="Grandfalls Library"/>
    <s v="269.209"/>
    <s v="Branch"/>
    <n v="2030"/>
    <n v="2223"/>
    <n v="52"/>
  </r>
  <r>
    <x v="36"/>
    <s v="Sargent Branch Library"/>
    <s v="28.47"/>
    <s v="Branch"/>
    <n v="500"/>
    <n v="896"/>
    <n v="46"/>
  </r>
  <r>
    <x v="37"/>
    <s v="Westside Community Center Library"/>
    <s v="283.412"/>
    <s v="Branch"/>
    <n v="805"/>
    <n v="1000"/>
    <n v="50"/>
  </r>
  <r>
    <x v="38"/>
    <s v="Deweyville Public Library"/>
    <s v="284.315"/>
    <s v="Branch"/>
    <n v="736"/>
    <n v="1378"/>
    <n v="50"/>
  </r>
  <r>
    <x v="39"/>
    <s v="Blessing Library"/>
    <s v="295.211"/>
    <s v="Branch"/>
    <n v="1099"/>
    <n v="1030"/>
    <n v="52"/>
  </r>
  <r>
    <x v="40"/>
    <s v="Groom Branch Library"/>
    <s v="298.212"/>
    <s v="Branch"/>
    <n v="1000"/>
    <n v="880"/>
    <n v="47"/>
  </r>
  <r>
    <x v="40"/>
    <s v="Skellytown Branch Library"/>
    <s v="298.213"/>
    <s v="Branch"/>
    <n v="3444"/>
    <n v="988"/>
    <n v="52"/>
  </r>
  <r>
    <x v="40"/>
    <s v="White Deer Branch Library"/>
    <s v="298.214"/>
    <s v="Branch"/>
    <n v="1200"/>
    <n v="988"/>
    <n v="52"/>
  </r>
  <r>
    <x v="41"/>
    <s v="Elmo R Willard Branch Library"/>
    <s v="30.295"/>
    <s v="Branch"/>
    <n v="11500"/>
    <n v="3132"/>
    <n v="52"/>
  </r>
  <r>
    <x v="41"/>
    <s v="Maurine Gray Literacy Center"/>
    <s v="30.296"/>
    <s v="Branch"/>
    <n v="1400"/>
    <n v="2617"/>
    <n v="52"/>
  </r>
  <r>
    <x v="41"/>
    <s v="RC Miller Memorial Library"/>
    <s v="30.51"/>
    <s v="Branch"/>
    <n v="16030"/>
    <n v="3132"/>
    <n v="52"/>
  </r>
  <r>
    <x v="41"/>
    <s v="Tyrrell Historical Library"/>
    <s v="30.52"/>
    <s v="Branch"/>
    <n v="24008"/>
    <n v="3124"/>
    <n v="52"/>
  </r>
  <r>
    <x v="41"/>
    <s v="Theodore Johns Branch Library"/>
    <s v="30.53"/>
    <s v="Branch"/>
    <n v="11970"/>
    <n v="3132"/>
    <n v="52"/>
  </r>
  <r>
    <x v="42"/>
    <s v="Fairmont Branch Library"/>
    <s v="300.215"/>
    <s v="Branch"/>
    <n v="10300"/>
    <n v="2416"/>
    <n v="52"/>
  </r>
  <r>
    <x v="43"/>
    <s v="LER Schimelpfenig Library"/>
    <s v="311.216"/>
    <s v="Branch"/>
    <n v="30000"/>
    <n v="3421"/>
    <n v="52"/>
  </r>
  <r>
    <x v="43"/>
    <s v="Gladys Harrington Library"/>
    <s v="311.217"/>
    <s v="Branch"/>
    <n v="30000"/>
    <n v="3433"/>
    <n v="52"/>
  </r>
  <r>
    <x v="43"/>
    <s v="Maribelle M Davis Library"/>
    <s v="311.298"/>
    <s v="Branch"/>
    <n v="30000"/>
    <n v="3352"/>
    <n v="52"/>
  </r>
  <r>
    <x v="43"/>
    <s v="Christopher A Parr Library"/>
    <s v="311.322"/>
    <s v="Branch"/>
    <n v="30000"/>
    <n v="3356"/>
    <n v="52"/>
  </r>
  <r>
    <x v="44"/>
    <s v="Public Library Reading Room"/>
    <s v="315.366"/>
    <s v="Branch"/>
    <n v="500"/>
    <n v="877"/>
    <n v="52"/>
  </r>
  <r>
    <x v="45"/>
    <s v="Point Comfort Branch Library"/>
    <s v="316.221"/>
    <s v="Branch"/>
    <n v="3867"/>
    <n v="1593"/>
    <n v="50"/>
  </r>
  <r>
    <x v="45"/>
    <s v="Port O`Connor Branch Library"/>
    <s v="316.222"/>
    <s v="Branch"/>
    <n v="1786"/>
    <n v="1503"/>
    <n v="51"/>
  </r>
  <r>
    <x v="45"/>
    <s v="Seadrift Branch Library"/>
    <s v="316.223"/>
    <s v="Branch"/>
    <n v="7560"/>
    <n v="1505"/>
    <n v="51"/>
  </r>
  <r>
    <x v="46"/>
    <s v="Midkiff Public Library"/>
    <s v="324.224"/>
    <s v="Branch"/>
    <n v="888"/>
    <n v="714"/>
    <n v="52"/>
  </r>
  <r>
    <x v="47"/>
    <s v="Missouri City Branch Library"/>
    <s v="329.226"/>
    <s v="Branch"/>
    <n v="18600"/>
    <n v="2537"/>
    <n v="52"/>
  </r>
  <r>
    <x v="47"/>
    <s v="Albert George Branch Library"/>
    <s v="329.227"/>
    <s v="Branch"/>
    <n v="6280"/>
    <n v="2136"/>
    <n v="52"/>
  </r>
  <r>
    <x v="47"/>
    <s v="George Memorial Library"/>
    <s v="329.228"/>
    <s v="Branch"/>
    <n v="77000"/>
    <n v="2840"/>
    <n v="52"/>
  </r>
  <r>
    <x v="47"/>
    <s v="Fort Bend County Law Library"/>
    <s v="329.229"/>
    <s v="Branch"/>
    <n v="1535"/>
    <n v="2241"/>
    <n v="52"/>
  </r>
  <r>
    <x v="47"/>
    <s v="Bob Lutts Fulshear/Simonton Branch Library"/>
    <s v="329.230"/>
    <s v="Branch"/>
    <n v="10500"/>
    <n v="2169"/>
    <n v="52"/>
  </r>
  <r>
    <x v="47"/>
    <s v="Mamie George Branch Library"/>
    <s v="329.231"/>
    <s v="Branch"/>
    <n v="4800"/>
    <n v="1991"/>
    <n v="52"/>
  </r>
  <r>
    <x v="47"/>
    <s v="First Colony Branch Library"/>
    <s v="329.232"/>
    <s v="Branch"/>
    <n v="19400"/>
    <n v="2537"/>
    <n v="52"/>
  </r>
  <r>
    <x v="47"/>
    <s v="Cinco Ranch Branch Library"/>
    <s v="329.299"/>
    <s v="Branch"/>
    <n v="33500"/>
    <n v="2536"/>
    <n v="52"/>
  </r>
  <r>
    <x v="47"/>
    <s v="Sugar Land Branch Library"/>
    <s v="329.302"/>
    <s v="Branch"/>
    <n v="21300"/>
    <n v="2523"/>
    <n v="52"/>
  </r>
  <r>
    <x v="47"/>
    <s v="Sienna Branch Library"/>
    <s v="329.382"/>
    <s v="Branch"/>
    <n v="44989"/>
    <n v="3493"/>
    <n v="52"/>
  </r>
  <r>
    <x v="47"/>
    <s v="University Branch Library"/>
    <s v="329.399"/>
    <s v="Branch"/>
    <n v="40193"/>
    <n v="2541"/>
    <n v="52"/>
  </r>
  <r>
    <x v="48"/>
    <s v="Bishop Branch Library"/>
    <s v="334.313"/>
    <s v="Branch"/>
    <n v="1424"/>
    <n v="917"/>
    <n v="46"/>
  </r>
  <r>
    <x v="49"/>
    <s v="Angelo West Branch Library"/>
    <s v="343.233"/>
    <s v="Branch"/>
    <n v="5096"/>
    <n v="1932"/>
    <n v="52"/>
  </r>
  <r>
    <x v="49"/>
    <s v="North Angelo Branch Library"/>
    <s v="343.234"/>
    <s v="Branch"/>
    <n v="2680"/>
    <n v="1684"/>
    <n v="52"/>
  </r>
  <r>
    <x v="50"/>
    <s v="Bazan Branch Library"/>
    <s v="344.236"/>
    <s v="Branch"/>
    <n v="10336"/>
    <n v="2912"/>
    <n v="52"/>
  </r>
  <r>
    <x v="50"/>
    <s v="Brook Hollow Branch Library"/>
    <s v="344.237"/>
    <s v="Branch"/>
    <n v="14470"/>
    <n v="2912"/>
    <n v="52"/>
  </r>
  <r>
    <x v="50"/>
    <s v="Carver Branch Library"/>
    <s v="344.238"/>
    <s v="Branch"/>
    <n v="10770"/>
    <n v="2912"/>
    <n v="52"/>
  </r>
  <r>
    <x v="50"/>
    <s v="Cody Branch Library"/>
    <s v="344.239"/>
    <s v="Branch"/>
    <n v="13617"/>
    <n v="2912"/>
    <n v="52"/>
  </r>
  <r>
    <x v="50"/>
    <s v="Collins Garden Branch Library"/>
    <s v="344.240"/>
    <s v="Branch"/>
    <n v="9234"/>
    <n v="2912"/>
    <n v="52"/>
  </r>
  <r>
    <x v="50"/>
    <s v="Cortez Branch Library"/>
    <s v="344.241"/>
    <s v="Branch"/>
    <n v="13065"/>
    <n v="2912"/>
    <n v="52"/>
  </r>
  <r>
    <x v="50"/>
    <s v="Johnston Branch Library"/>
    <s v="344.242"/>
    <s v="Branch"/>
    <n v="11428"/>
    <n v="2912"/>
    <n v="52"/>
  </r>
  <r>
    <x v="50"/>
    <s v="Landa Branch Library"/>
    <s v="344.243"/>
    <s v="Branch"/>
    <n v="5252"/>
    <n v="2912"/>
    <n v="52"/>
  </r>
  <r>
    <x v="50"/>
    <s v="Las Palmas Branch Library"/>
    <s v="344.244"/>
    <s v="Branch"/>
    <n v="13792"/>
    <n v="2912"/>
    <n v="52"/>
  </r>
  <r>
    <x v="50"/>
    <s v="McCreless Branch Library"/>
    <s v="344.245"/>
    <s v="Branch"/>
    <n v="12677"/>
    <n v="2912"/>
    <n v="52"/>
  </r>
  <r>
    <x v="50"/>
    <s v="Memorial Branch Library"/>
    <s v="344.246"/>
    <s v="Branch"/>
    <n v="9999"/>
    <n v="2912"/>
    <n v="52"/>
  </r>
  <r>
    <x v="50"/>
    <s v="Tobin Library at Oakwell"/>
    <s v="344.247"/>
    <s v="Branch"/>
    <n v="13060"/>
    <n v="2912"/>
    <n v="52"/>
  </r>
  <r>
    <x v="50"/>
    <s v="Pan American Branch Library"/>
    <s v="344.248"/>
    <s v="Branch"/>
    <n v="11322"/>
    <n v="2912"/>
    <n v="52"/>
  </r>
  <r>
    <x v="50"/>
    <s v="San Pedro Branch Library"/>
    <s v="344.249"/>
    <s v="Branch"/>
    <n v="4450"/>
    <n v="2912"/>
    <n v="52"/>
  </r>
  <r>
    <x v="50"/>
    <s v="Westfall Branch Library"/>
    <s v="344.250"/>
    <s v="Branch"/>
    <n v="12304"/>
    <n v="2912"/>
    <n v="52"/>
  </r>
  <r>
    <x v="50"/>
    <s v="Forest Hills Branch Library"/>
    <s v="344.251"/>
    <s v="Branch"/>
    <n v="12035"/>
    <n v="2912"/>
    <n v="52"/>
  </r>
  <r>
    <x v="50"/>
    <s v="Thousand Oaks Branch Library"/>
    <s v="344.252"/>
    <s v="Branch"/>
    <n v="11350"/>
    <n v="2912"/>
    <n v="52"/>
  </r>
  <r>
    <x v="50"/>
    <s v="Great Northwest Branch Library"/>
    <s v="344.255"/>
    <s v="Branch"/>
    <n v="17032"/>
    <n v="2912"/>
    <n v="52"/>
  </r>
  <r>
    <x v="50"/>
    <s v="Guerra Branch Library"/>
    <s v="344.342"/>
    <s v="Branch"/>
    <n v="14452"/>
    <n v="2912"/>
    <n v="52"/>
  </r>
  <r>
    <x v="50"/>
    <s v="Semmes Branch Library"/>
    <s v="344.361"/>
    <s v="Branch"/>
    <n v="15975"/>
    <n v="2912"/>
    <n v="52"/>
  </r>
  <r>
    <x v="50"/>
    <s v="Maverick Branch Library"/>
    <s v="344.367"/>
    <s v="Branch"/>
    <n v="15525"/>
    <n v="2912"/>
    <n v="52"/>
  </r>
  <r>
    <x v="50"/>
    <s v="John Igo Branch Library"/>
    <s v="344.371"/>
    <s v="Branch"/>
    <n v="16554"/>
    <n v="2912"/>
    <n v="52"/>
  </r>
  <r>
    <x v="50"/>
    <s v="Central Bookmobile Services"/>
    <s v="344.383"/>
    <s v="Bookmobile"/>
    <n v="0"/>
    <n v="478"/>
    <n v="52"/>
  </r>
  <r>
    <x v="50"/>
    <s v="Molly Pruitt Library at Roosevelt HS"/>
    <s v="344.388"/>
    <s v="Branch"/>
    <n v="14288"/>
    <n v="2912"/>
    <n v="52"/>
  </r>
  <r>
    <x v="50"/>
    <s v="Mission Branch Library"/>
    <s v="344.394"/>
    <s v="Branch"/>
    <n v="16450"/>
    <n v="2912"/>
    <n v="52"/>
  </r>
  <r>
    <x v="50"/>
    <s v="Parman Branch Library at Stone Oak"/>
    <s v="344.395"/>
    <s v="Branch"/>
    <n v="16684"/>
    <n v="2912"/>
    <n v="52"/>
  </r>
  <r>
    <x v="50"/>
    <s v="Kampmann Library Portal"/>
    <s v="344.413"/>
    <s v="Branch"/>
    <n v="830"/>
    <n v="2080"/>
    <n v="52"/>
  </r>
  <r>
    <x v="50"/>
    <s v="Encino Branch Library"/>
    <s v="344.414"/>
    <s v="Branch"/>
    <n v="8000"/>
    <n v="0"/>
    <n v="0"/>
  </r>
  <r>
    <x v="51"/>
    <s v="Gaines County Library-Seagraves"/>
    <s v="357.256"/>
    <s v="Branch"/>
    <n v="890"/>
    <n v="1946"/>
    <n v="52"/>
  </r>
  <r>
    <x v="52"/>
    <s v="Temple Public Library Bookmobile"/>
    <s v="384.258"/>
    <s v="Bookmobile"/>
    <n v="0"/>
    <n v="420"/>
    <n v="52"/>
  </r>
  <r>
    <x v="53"/>
    <s v="East Waco Library"/>
    <s v="398.261"/>
    <s v="Branch"/>
    <n v="7000"/>
    <n v="2630"/>
    <n v="52"/>
  </r>
  <r>
    <x v="53"/>
    <s v="South Waco Library"/>
    <s v="398.262"/>
    <s v="Branch"/>
    <n v="11200"/>
    <n v="2642"/>
    <n v="52"/>
  </r>
  <r>
    <x v="53"/>
    <s v="West Waco Library &amp; Genealogy Center"/>
    <s v="398.387"/>
    <s v="Branch"/>
    <n v="32293"/>
    <n v="2774"/>
    <n v="52"/>
  </r>
  <r>
    <x v="54"/>
    <s v="West End Library"/>
    <s v="400.263"/>
    <s v="Branch"/>
    <n v="1300"/>
    <n v="1487"/>
    <n v="52"/>
  </r>
  <r>
    <x v="54"/>
    <s v="Knox Memorial Library"/>
    <s v="400.287"/>
    <s v="Branch"/>
    <n v="2025"/>
    <n v="1487"/>
    <n v="52"/>
  </r>
  <r>
    <x v="55"/>
    <s v="East Bernard Branch Library"/>
    <s v="408.264"/>
    <s v="Branch"/>
    <n v="5000"/>
    <n v="1331"/>
    <n v="52"/>
  </r>
  <r>
    <x v="55"/>
    <s v="El Campo Branch Library"/>
    <s v="408.265"/>
    <s v="Branch"/>
    <n v="14300"/>
    <n v="2203"/>
    <n v="52"/>
  </r>
  <r>
    <x v="55"/>
    <s v="Louise Branch Library"/>
    <s v="408.266"/>
    <s v="Branch"/>
    <n v="1676"/>
    <n v="618"/>
    <n v="52"/>
  </r>
  <r>
    <x v="56"/>
    <s v="Hutchinson County Library - Fritch"/>
    <s v="41.54"/>
    <s v="Branch"/>
    <n v="1388"/>
    <n v="1728"/>
    <n v="52"/>
  </r>
  <r>
    <x v="56"/>
    <s v="Hutchinson County Library - Stinnett"/>
    <s v="41.55"/>
    <s v="Branch"/>
    <n v="1684"/>
    <n v="1525"/>
    <n v="52"/>
  </r>
  <r>
    <x v="57"/>
    <s v="Guadalupe and Lilia Martinez Zapata County Public Branch Library"/>
    <s v="432.267"/>
    <s v="Branch"/>
    <n v="1680"/>
    <n v="332"/>
    <n v="52"/>
  </r>
  <r>
    <x v="58"/>
    <s v="Laura Bush Community Library"/>
    <s v="452.380"/>
    <s v="Branch"/>
    <n v="14229"/>
    <n v="2834"/>
    <n v="52"/>
  </r>
  <r>
    <x v="59"/>
    <s v="Southmost Branch Library"/>
    <s v="49.362"/>
    <s v="Branch"/>
    <n v="20000"/>
    <n v="2602"/>
    <n v="52"/>
  </r>
  <r>
    <x v="60"/>
    <s v="Orange Grove School/Public Library"/>
    <s v="5.2"/>
    <s v="Branch"/>
    <n v="5234"/>
    <n v="1600"/>
    <n v="48"/>
  </r>
  <r>
    <x v="60"/>
    <s v="Premont Public Library"/>
    <s v="5.3"/>
    <s v="Branch"/>
    <n v="1500"/>
    <n v="1091"/>
    <n v="50"/>
  </r>
  <r>
    <x v="61"/>
    <s v="Brownwood Public Library Local History &amp; Genealogy Library"/>
    <s v="50.364"/>
    <s v="Branch"/>
    <n v="1550"/>
    <n v="1611"/>
    <n v="45"/>
  </r>
  <r>
    <x v="62"/>
    <s v="Duval County/Freer Branch Library"/>
    <s v="502.294"/>
    <s v="Branch"/>
    <n v="1081"/>
    <n v="976"/>
    <n v="48"/>
  </r>
  <r>
    <x v="62"/>
    <s v="Duval County/Benavides Branch Library"/>
    <s v="502.308"/>
    <s v="Branch"/>
    <n v="2500"/>
    <n v="956"/>
    <n v="48"/>
  </r>
  <r>
    <x v="63"/>
    <s v="Carnegie Center of Brazos Valley History"/>
    <s v="51.301"/>
    <s v="Branch"/>
    <n v="6000"/>
    <n v="1672"/>
    <n v="52"/>
  </r>
  <r>
    <x v="63"/>
    <s v="Clara B Mounce Public Library"/>
    <s v="51.379"/>
    <s v="Branch"/>
    <n v="25500"/>
    <n v="2920"/>
    <n v="52"/>
  </r>
  <r>
    <x v="63"/>
    <s v="Larry J Ringer Public Library"/>
    <s v="51.57"/>
    <s v="Branch"/>
    <n v="16000"/>
    <n v="3336"/>
    <n v="52"/>
  </r>
  <r>
    <x v="64"/>
    <s v="Fort Hancock ISD/Public Library"/>
    <s v="517.316"/>
    <s v="Branch"/>
    <n v="3000"/>
    <n v="2930"/>
    <n v="48"/>
  </r>
  <r>
    <x v="65"/>
    <s v="Garfield Library"/>
    <s v="552.385"/>
    <s v="Branch"/>
    <n v="1468"/>
    <n v="2193"/>
    <n v="51"/>
  </r>
  <r>
    <x v="66"/>
    <s v="Bertram Free Library"/>
    <s v="56.58"/>
    <s v="Branch"/>
    <n v="8550"/>
    <n v="1968"/>
    <n v="52"/>
  </r>
  <r>
    <x v="66"/>
    <s v="Oakalla Public Library"/>
    <s v="56.59"/>
    <s v="Branch"/>
    <n v="800"/>
    <n v="676"/>
    <n v="52"/>
  </r>
  <r>
    <x v="66"/>
    <s v="Herman Brown Free Library"/>
    <s v="56.60"/>
    <s v="Branch"/>
    <n v="10231"/>
    <n v="1984"/>
    <n v="52"/>
  </r>
  <r>
    <x v="66"/>
    <s v="Marble Falls Public Library"/>
    <s v="56.61"/>
    <s v="Branch"/>
    <n v="15200"/>
    <n v="1976"/>
    <n v="52"/>
  </r>
  <r>
    <x v="67"/>
    <s v="Carrollton Public Library @ Hebron and Josey"/>
    <s v="64.340"/>
    <s v="Branch"/>
    <n v="37000"/>
    <n v="2475"/>
    <n v="52"/>
  </r>
  <r>
    <x v="68"/>
    <s v="BiblioTech Central Jury Room"/>
    <s v="649.403"/>
    <s v="Branch"/>
    <n v="170"/>
    <n v="800"/>
    <n v="50"/>
  </r>
  <r>
    <x v="69"/>
    <s v="George &amp; Cynthia Woods Mitchell Library"/>
    <s v="86.363"/>
    <s v="Branch"/>
    <n v="30116"/>
    <n v="3130"/>
    <n v="52"/>
  </r>
  <r>
    <x v="69"/>
    <s v="Malcolm Purvis Library-Magnolia"/>
    <s v="86.63"/>
    <s v="Branch"/>
    <n v="7200"/>
    <n v="2451"/>
    <n v="52"/>
  </r>
  <r>
    <x v="69"/>
    <s v="Charles B Stewart-West Branch Library"/>
    <s v="86.64"/>
    <s v="Branch"/>
    <n v="14560"/>
    <n v="2847"/>
    <n v="52"/>
  </r>
  <r>
    <x v="69"/>
    <s v="RB Tullis Library"/>
    <s v="86.65"/>
    <s v="Branch"/>
    <n v="29600"/>
    <n v="3014"/>
    <n v="52"/>
  </r>
  <r>
    <x v="69"/>
    <s v="South Regional Library"/>
    <s v="86.66"/>
    <s v="Branch"/>
    <n v="30000"/>
    <n v="3128"/>
    <n v="52"/>
  </r>
  <r>
    <x v="69"/>
    <s v="RF Meador Branch Library"/>
    <s v="86.67"/>
    <s v="Branch"/>
    <n v="6000"/>
    <n v="2698"/>
    <n v="52"/>
  </r>
  <r>
    <x v="70"/>
    <s v="Dr Clotilde P Garcia Public Library"/>
    <s v="88.376"/>
    <s v="Branch"/>
    <n v="12000"/>
    <n v="3092"/>
    <n v="52"/>
  </r>
  <r>
    <x v="70"/>
    <s v="Neyland Public Library"/>
    <s v="88.68"/>
    <s v="Branch"/>
    <n v="17000"/>
    <n v="2742"/>
    <n v="52"/>
  </r>
  <r>
    <x v="70"/>
    <s v="Ben F McDonald Public Library"/>
    <s v="88.69"/>
    <s v="Branch"/>
    <n v="13000"/>
    <n v="2742"/>
    <n v="52"/>
  </r>
  <r>
    <x v="70"/>
    <s v="Owen R Hopkins Public Library"/>
    <s v="88.70"/>
    <s v="Branch"/>
    <n v="12771"/>
    <n v="2742"/>
    <n v="52"/>
  </r>
  <r>
    <x v="70"/>
    <s v="Janet F Harte Public Library"/>
    <s v="88.71"/>
    <s v="Branch"/>
    <n v="13500"/>
    <n v="3116"/>
    <n v="52"/>
  </r>
  <r>
    <x v="71"/>
    <s v="Northwest Branch Library"/>
    <s v="9.331"/>
    <s v="Branch"/>
    <n v="15536"/>
    <n v="3226"/>
    <n v="52"/>
  </r>
  <r>
    <x v="71"/>
    <s v="Southwest Branch Library"/>
    <s v="9.5"/>
    <s v="Branch"/>
    <n v="20000"/>
    <n v="3533"/>
    <n v="52"/>
  </r>
  <r>
    <x v="71"/>
    <s v="North Branch Library"/>
    <s v="9.6"/>
    <s v="Branch"/>
    <n v="10000"/>
    <n v="3226"/>
    <n v="52"/>
  </r>
  <r>
    <x v="71"/>
    <s v="East Branch Library"/>
    <s v="9.7"/>
    <s v="Branch"/>
    <n v="10000"/>
    <n v="3226"/>
    <n v="52"/>
  </r>
  <r>
    <x v="72"/>
    <s v="Encinal Library"/>
    <s v="91.400"/>
    <s v="Branch"/>
    <n v="1000"/>
    <n v="880"/>
    <n v="38"/>
  </r>
  <r>
    <x v="73"/>
    <s v="Lorenzo Library"/>
    <s v="94.72"/>
    <s v="Branch"/>
    <n v="1305"/>
    <n v="803"/>
    <n v="51"/>
  </r>
  <r>
    <x v="73"/>
    <s v="Ralls Library"/>
    <s v="94.73"/>
    <s v="Branch"/>
    <n v="4000"/>
    <n v="1604"/>
    <n v="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1">
  <r>
    <x v="0"/>
    <n v="5529"/>
    <n v="2368"/>
  </r>
  <r>
    <x v="0"/>
    <n v="12900"/>
    <n v="2356"/>
  </r>
  <r>
    <x v="0"/>
    <n v="3900"/>
    <n v="2517"/>
  </r>
  <r>
    <x v="1"/>
    <n v="0"/>
    <n v="610"/>
  </r>
  <r>
    <x v="1"/>
    <n v="19000"/>
    <n v="2829"/>
  </r>
  <r>
    <x v="1"/>
    <n v="12500"/>
    <n v="2040"/>
  </r>
  <r>
    <x v="1"/>
    <n v="18500"/>
    <n v="2040"/>
  </r>
  <r>
    <x v="1"/>
    <n v="1990"/>
    <n v="2040"/>
  </r>
  <r>
    <x v="1"/>
    <n v="0"/>
    <n v="610"/>
  </r>
  <r>
    <x v="1"/>
    <n v="18000"/>
    <n v="2040"/>
  </r>
  <r>
    <x v="1"/>
    <n v="18000"/>
    <n v="2548"/>
  </r>
  <r>
    <x v="1"/>
    <n v="17350"/>
    <n v="2392"/>
  </r>
  <r>
    <x v="1"/>
    <n v="19500"/>
    <n v="2040"/>
  </r>
  <r>
    <x v="1"/>
    <n v="9030"/>
    <n v="2040"/>
  </r>
  <r>
    <x v="1"/>
    <n v="19707"/>
    <n v="2116"/>
  </r>
  <r>
    <x v="1"/>
    <n v="23460"/>
    <n v="3315"/>
  </r>
  <r>
    <x v="1"/>
    <n v="19570"/>
    <n v="2392"/>
  </r>
  <r>
    <x v="1"/>
    <n v="10600"/>
    <n v="2040"/>
  </r>
  <r>
    <x v="1"/>
    <n v="18500"/>
    <n v="2392"/>
  </r>
  <r>
    <x v="1"/>
    <n v="13532"/>
    <n v="2040"/>
  </r>
  <r>
    <x v="1"/>
    <n v="15562"/>
    <n v="2392"/>
  </r>
  <r>
    <x v="1"/>
    <n v="12900"/>
    <n v="2392"/>
  </r>
  <r>
    <x v="1"/>
    <n v="10984"/>
    <n v="2040"/>
  </r>
  <r>
    <x v="1"/>
    <n v="19500"/>
    <n v="2548"/>
  </r>
  <r>
    <x v="1"/>
    <n v="16800"/>
    <n v="2548"/>
  </r>
  <r>
    <x v="1"/>
    <n v="12400"/>
    <n v="2392"/>
  </r>
  <r>
    <x v="1"/>
    <n v="11193"/>
    <n v="2548"/>
  </r>
  <r>
    <x v="1"/>
    <n v="12037"/>
    <n v="2040"/>
  </r>
  <r>
    <x v="1"/>
    <n v="20019"/>
    <n v="2548"/>
  </r>
  <r>
    <x v="1"/>
    <n v="16605"/>
    <n v="2392"/>
  </r>
  <r>
    <x v="1"/>
    <n v="12729"/>
    <n v="2040"/>
  </r>
  <r>
    <x v="1"/>
    <n v="10700"/>
    <n v="2040"/>
  </r>
  <r>
    <x v="1"/>
    <n v="12025"/>
    <n v="2040"/>
  </r>
  <r>
    <x v="2"/>
    <n v="21450"/>
    <n v="3046"/>
  </r>
  <r>
    <x v="2"/>
    <n v="33504"/>
    <n v="3338"/>
  </r>
  <r>
    <x v="3"/>
    <n v="2400"/>
    <n v="1928"/>
  </r>
  <r>
    <x v="3"/>
    <n v="2300"/>
    <n v="1875"/>
  </r>
  <r>
    <x v="4"/>
    <n v="18500"/>
    <n v="2439"/>
  </r>
  <r>
    <x v="4"/>
    <n v="22000"/>
    <n v="2774"/>
  </r>
  <r>
    <x v="4"/>
    <n v="12035"/>
    <n v="2433"/>
  </r>
  <r>
    <x v="4"/>
    <n v="8930"/>
    <n v="2059"/>
  </r>
  <r>
    <x v="4"/>
    <n v="9750"/>
    <n v="2064"/>
  </r>
  <r>
    <x v="4"/>
    <n v="21000"/>
    <n v="2519"/>
  </r>
  <r>
    <x v="4"/>
    <n v="3000"/>
    <n v="2448"/>
  </r>
  <r>
    <x v="4"/>
    <n v="20000"/>
    <n v="2796"/>
  </r>
  <r>
    <x v="4"/>
    <n v="4000"/>
    <n v="2572"/>
  </r>
  <r>
    <x v="4"/>
    <n v="5000"/>
    <n v="2054"/>
  </r>
  <r>
    <x v="4"/>
    <n v="1600"/>
    <n v="1797"/>
  </r>
  <r>
    <x v="4"/>
    <n v="10000"/>
    <n v="2071"/>
  </r>
  <r>
    <x v="5"/>
    <n v="4034"/>
    <n v="1900"/>
  </r>
  <r>
    <x v="6"/>
    <n v="15126"/>
    <n v="2496"/>
  </r>
  <r>
    <x v="6"/>
    <n v="15000"/>
    <n v="2496"/>
  </r>
  <r>
    <x v="6"/>
    <n v="9700"/>
    <n v="2496"/>
  </r>
  <r>
    <x v="6"/>
    <n v="8107"/>
    <n v="2496"/>
  </r>
  <r>
    <x v="6"/>
    <n v="15500"/>
    <n v="2496"/>
  </r>
  <r>
    <x v="6"/>
    <n v="185"/>
    <n v="891"/>
  </r>
  <r>
    <x v="6"/>
    <n v="15000"/>
    <n v="2496"/>
  </r>
  <r>
    <x v="6"/>
    <n v="10358"/>
    <n v="3402"/>
  </r>
  <r>
    <x v="6"/>
    <n v="22000"/>
    <n v="2496"/>
  </r>
  <r>
    <x v="6"/>
    <n v="24665"/>
    <n v="2496"/>
  </r>
  <r>
    <x v="6"/>
    <n v="9200"/>
    <n v="2496"/>
  </r>
  <r>
    <x v="6"/>
    <n v="185"/>
    <n v="0"/>
  </r>
  <r>
    <x v="6"/>
    <n v="12352"/>
    <n v="2496"/>
  </r>
  <r>
    <x v="6"/>
    <n v="20200"/>
    <n v="2496"/>
  </r>
  <r>
    <x v="7"/>
    <n v="2100"/>
    <n v="2080"/>
  </r>
  <r>
    <x v="7"/>
    <n v="103"/>
    <n v="1040"/>
  </r>
  <r>
    <x v="7"/>
    <n v="580"/>
    <n v="1612"/>
  </r>
  <r>
    <x v="8"/>
    <n v="2950"/>
    <n v="988"/>
  </r>
  <r>
    <x v="9"/>
    <n v="7527"/>
    <n v="2000"/>
  </r>
  <r>
    <x v="9"/>
    <n v="5045"/>
    <n v="2000"/>
  </r>
  <r>
    <x v="9"/>
    <n v="7072"/>
    <n v="2000"/>
  </r>
  <r>
    <x v="9"/>
    <n v="9585"/>
    <n v="2000"/>
  </r>
  <r>
    <x v="9"/>
    <n v="6313"/>
    <n v="2000"/>
  </r>
  <r>
    <x v="9"/>
    <n v="6834"/>
    <n v="2000"/>
  </r>
  <r>
    <x v="9"/>
    <n v="13445"/>
    <n v="2000"/>
  </r>
  <r>
    <x v="9"/>
    <n v="25661"/>
    <n v="2000"/>
  </r>
  <r>
    <x v="9"/>
    <n v="4962"/>
    <n v="2000"/>
  </r>
  <r>
    <x v="9"/>
    <n v="8121"/>
    <n v="2000"/>
  </r>
  <r>
    <x v="9"/>
    <n v="915"/>
    <n v="2259"/>
  </r>
  <r>
    <x v="9"/>
    <n v="23990"/>
    <n v="2000"/>
  </r>
  <r>
    <x v="9"/>
    <n v="1400"/>
    <n v="2259"/>
  </r>
  <r>
    <x v="9"/>
    <n v="11068"/>
    <n v="2000"/>
  </r>
  <r>
    <x v="9"/>
    <n v="13038"/>
    <n v="2000"/>
  </r>
  <r>
    <x v="10"/>
    <n v="8000"/>
    <n v="2064"/>
  </r>
  <r>
    <x v="10"/>
    <n v="16500"/>
    <n v="2064"/>
  </r>
  <r>
    <x v="10"/>
    <n v="36920"/>
    <n v="2064"/>
  </r>
  <r>
    <x v="11"/>
    <n v="2064"/>
    <n v="1651"/>
  </r>
  <r>
    <x v="12"/>
    <n v="135"/>
    <n v="1960"/>
  </r>
  <r>
    <x v="13"/>
    <n v="10000"/>
    <n v="2808"/>
  </r>
  <r>
    <x v="13"/>
    <n v="10000"/>
    <n v="2808"/>
  </r>
  <r>
    <x v="13"/>
    <n v="8100"/>
    <n v="2808"/>
  </r>
  <r>
    <x v="13"/>
    <n v="10000"/>
    <n v="2808"/>
  </r>
  <r>
    <x v="13"/>
    <n v="15000"/>
    <n v="2840"/>
  </r>
  <r>
    <x v="13"/>
    <n v="11200"/>
    <n v="2808"/>
  </r>
  <r>
    <x v="14"/>
    <n v="10000"/>
    <n v="2944"/>
  </r>
  <r>
    <x v="14"/>
    <n v="2760"/>
    <n v="2754"/>
  </r>
  <r>
    <x v="15"/>
    <n v="4400"/>
    <n v="2288"/>
  </r>
  <r>
    <x v="16"/>
    <n v="8000"/>
    <n v="2158"/>
  </r>
  <r>
    <x v="16"/>
    <n v="11383"/>
    <n v="2158"/>
  </r>
  <r>
    <x v="16"/>
    <n v="3206"/>
    <n v="2158"/>
  </r>
  <r>
    <x v="16"/>
    <n v="20774"/>
    <n v="2483"/>
  </r>
  <r>
    <x v="17"/>
    <n v="8720"/>
    <n v="2022"/>
  </r>
  <r>
    <x v="17"/>
    <n v="19620"/>
    <n v="212"/>
  </r>
  <r>
    <x v="17"/>
    <n v="11979"/>
    <n v="1812"/>
  </r>
  <r>
    <x v="17"/>
    <n v="22365"/>
    <n v="2754"/>
  </r>
  <r>
    <x v="17"/>
    <n v="17440"/>
    <n v="2148"/>
  </r>
  <r>
    <x v="17"/>
    <n v="34936"/>
    <n v="2014"/>
  </r>
  <r>
    <x v="17"/>
    <n v="3270"/>
    <n v="1771"/>
  </r>
  <r>
    <x v="17"/>
    <n v="2000"/>
    <n v="956"/>
  </r>
  <r>
    <x v="17"/>
    <n v="9265"/>
    <n v="1770"/>
  </r>
  <r>
    <x v="17"/>
    <n v="10049"/>
    <n v="2049"/>
  </r>
  <r>
    <x v="17"/>
    <n v="15260"/>
    <n v="2164"/>
  </r>
  <r>
    <x v="17"/>
    <n v="10900"/>
    <n v="1779"/>
  </r>
  <r>
    <x v="17"/>
    <n v="12190"/>
    <n v="1765"/>
  </r>
  <r>
    <x v="17"/>
    <n v="18530"/>
    <n v="0"/>
  </r>
  <r>
    <x v="17"/>
    <n v="11178"/>
    <n v="1758"/>
  </r>
  <r>
    <x v="17"/>
    <n v="22365"/>
    <n v="2151"/>
  </r>
  <r>
    <x v="17"/>
    <n v="4524"/>
    <n v="2059"/>
  </r>
  <r>
    <x v="17"/>
    <n v="21175"/>
    <n v="2036"/>
  </r>
  <r>
    <x v="17"/>
    <n v="8930"/>
    <n v="2066"/>
  </r>
  <r>
    <x v="17"/>
    <n v="4578"/>
    <n v="1608"/>
  </r>
  <r>
    <x v="17"/>
    <n v="8339"/>
    <n v="1795"/>
  </r>
  <r>
    <x v="17"/>
    <n v="6213"/>
    <n v="2063"/>
  </r>
  <r>
    <x v="17"/>
    <n v="12116"/>
    <n v="1772"/>
  </r>
  <r>
    <x v="17"/>
    <n v="16000"/>
    <n v="2162"/>
  </r>
  <r>
    <x v="17"/>
    <n v="4360"/>
    <n v="2017"/>
  </r>
  <r>
    <x v="17"/>
    <n v="8391"/>
    <n v="2049"/>
  </r>
  <r>
    <x v="17"/>
    <n v="12252"/>
    <n v="2094"/>
  </r>
  <r>
    <x v="17"/>
    <n v="11445"/>
    <n v="2052"/>
  </r>
  <r>
    <x v="17"/>
    <n v="9045"/>
    <n v="2062"/>
  </r>
  <r>
    <x v="17"/>
    <n v="7722"/>
    <n v="1765"/>
  </r>
  <r>
    <x v="17"/>
    <n v="19864"/>
    <n v="1781"/>
  </r>
  <r>
    <x v="17"/>
    <n v="10400"/>
    <n v="1759"/>
  </r>
  <r>
    <x v="17"/>
    <n v="7922"/>
    <n v="1776"/>
  </r>
  <r>
    <x v="17"/>
    <n v="16459"/>
    <n v="1771"/>
  </r>
  <r>
    <x v="17"/>
    <n v="18094"/>
    <n v="2055"/>
  </r>
  <r>
    <x v="17"/>
    <n v="14660"/>
    <n v="1592"/>
  </r>
  <r>
    <x v="17"/>
    <n v="20393"/>
    <n v="2160"/>
  </r>
  <r>
    <x v="17"/>
    <n v="450"/>
    <n v="669"/>
  </r>
  <r>
    <x v="17"/>
    <n v="3636"/>
    <n v="2014"/>
  </r>
  <r>
    <x v="17"/>
    <n v="26007"/>
    <n v="1936"/>
  </r>
  <r>
    <x v="17"/>
    <n v="93000"/>
    <n v="2045"/>
  </r>
  <r>
    <x v="18"/>
    <n v="10500"/>
    <n v="1799"/>
  </r>
  <r>
    <x v="18"/>
    <n v="12000"/>
    <n v="1909"/>
  </r>
  <r>
    <x v="18"/>
    <n v="6922"/>
    <n v="1140"/>
  </r>
  <r>
    <x v="18"/>
    <n v="2700"/>
    <n v="2054"/>
  </r>
  <r>
    <x v="18"/>
    <n v="13268"/>
    <n v="2209"/>
  </r>
  <r>
    <x v="18"/>
    <n v="12000"/>
    <n v="2261"/>
  </r>
  <r>
    <x v="18"/>
    <n v="7247"/>
    <n v="2207"/>
  </r>
  <r>
    <x v="18"/>
    <n v="42000"/>
    <n v="2654"/>
  </r>
  <r>
    <x v="18"/>
    <n v="9500"/>
    <n v="2362"/>
  </r>
  <r>
    <x v="18"/>
    <n v="5883"/>
    <n v="2012"/>
  </r>
  <r>
    <x v="18"/>
    <n v="10500"/>
    <n v="2357"/>
  </r>
  <r>
    <x v="18"/>
    <n v="6100"/>
    <n v="2150"/>
  </r>
  <r>
    <x v="18"/>
    <n v="14000"/>
    <n v="2463"/>
  </r>
  <r>
    <x v="18"/>
    <n v="20000"/>
    <n v="1960"/>
  </r>
  <r>
    <x v="18"/>
    <n v="10137"/>
    <n v="2159"/>
  </r>
  <r>
    <x v="18"/>
    <n v="15000"/>
    <n v="2215"/>
  </r>
  <r>
    <x v="18"/>
    <n v="15000"/>
    <n v="2254"/>
  </r>
  <r>
    <x v="18"/>
    <n v="12300"/>
    <n v="2357"/>
  </r>
  <r>
    <x v="18"/>
    <n v="30000"/>
    <n v="2667"/>
  </r>
  <r>
    <x v="18"/>
    <n v="23357"/>
    <n v="2359"/>
  </r>
  <r>
    <x v="18"/>
    <n v="21100"/>
    <n v="2354"/>
  </r>
  <r>
    <x v="18"/>
    <n v="6910"/>
    <n v="1909"/>
  </r>
  <r>
    <x v="18"/>
    <n v="32000"/>
    <n v="2660"/>
  </r>
  <r>
    <x v="18"/>
    <n v="72000"/>
    <n v="3557"/>
  </r>
  <r>
    <x v="18"/>
    <n v="12000"/>
    <n v="2357"/>
  </r>
  <r>
    <x v="18"/>
    <n v="78500"/>
    <n v="4270"/>
  </r>
  <r>
    <x v="18"/>
    <n v="552"/>
    <n v="2000"/>
  </r>
  <r>
    <x v="18"/>
    <n v="275"/>
    <n v="2000"/>
  </r>
  <r>
    <x v="19"/>
    <n v="25000"/>
    <n v="2818"/>
  </r>
  <r>
    <x v="19"/>
    <n v="5700"/>
    <n v="1694"/>
  </r>
  <r>
    <x v="19"/>
    <n v="26000"/>
    <n v="2792"/>
  </r>
  <r>
    <x v="19"/>
    <n v="52570"/>
    <n v="2824"/>
  </r>
  <r>
    <x v="20"/>
    <n v="5600"/>
    <n v="2950"/>
  </r>
  <r>
    <x v="20"/>
    <n v="11880"/>
    <n v="3153"/>
  </r>
  <r>
    <x v="21"/>
    <n v="36176"/>
    <n v="2392"/>
  </r>
  <r>
    <x v="21"/>
    <n v="14967"/>
    <n v="2912"/>
  </r>
  <r>
    <x v="21"/>
    <n v="8266"/>
    <n v="2912"/>
  </r>
  <r>
    <x v="21"/>
    <n v="8580"/>
    <n v="2912"/>
  </r>
  <r>
    <x v="21"/>
    <n v="8110"/>
    <n v="2912"/>
  </r>
  <r>
    <x v="21"/>
    <n v="6700"/>
    <n v="2912"/>
  </r>
  <r>
    <x v="21"/>
    <n v="11000"/>
    <n v="3120"/>
  </r>
  <r>
    <x v="21"/>
    <n v="14500"/>
    <n v="3120"/>
  </r>
  <r>
    <x v="21"/>
    <n v="15120"/>
    <n v="3120"/>
  </r>
  <r>
    <x v="21"/>
    <n v="7536"/>
    <n v="2860"/>
  </r>
  <r>
    <x v="21"/>
    <n v="10738"/>
    <n v="2912"/>
  </r>
  <r>
    <x v="21"/>
    <n v="9017"/>
    <n v="2912"/>
  </r>
  <r>
    <x v="21"/>
    <n v="9017"/>
    <n v="2912"/>
  </r>
  <r>
    <x v="21"/>
    <n v="16000"/>
    <n v="2912"/>
  </r>
  <r>
    <x v="21"/>
    <n v="16000"/>
    <n v="3120"/>
  </r>
  <r>
    <x v="21"/>
    <n v="13257"/>
    <n v="2912"/>
  </r>
  <r>
    <x v="21"/>
    <n v="10827"/>
    <n v="2912"/>
  </r>
  <r>
    <x v="21"/>
    <n v="10120"/>
    <n v="2912"/>
  </r>
  <r>
    <x v="21"/>
    <n v="8000"/>
    <n v="2912"/>
  </r>
  <r>
    <x v="21"/>
    <n v="8630"/>
    <n v="2912"/>
  </r>
  <r>
    <x v="21"/>
    <n v="8320"/>
    <n v="2912"/>
  </r>
  <r>
    <x v="22"/>
    <n v="9606"/>
    <n v="1560"/>
  </r>
  <r>
    <x v="23"/>
    <n v="1795"/>
    <n v="684"/>
  </r>
  <r>
    <x v="24"/>
    <n v="9800"/>
    <n v="2808"/>
  </r>
  <r>
    <x v="25"/>
    <n v="5051"/>
    <n v="2163"/>
  </r>
  <r>
    <x v="25"/>
    <n v="240"/>
    <n v="132"/>
  </r>
  <r>
    <x v="25"/>
    <n v="15151"/>
    <n v="2238"/>
  </r>
  <r>
    <x v="25"/>
    <n v="1073"/>
    <n v="753"/>
  </r>
  <r>
    <x v="25"/>
    <n v="8034"/>
    <n v="2354"/>
  </r>
  <r>
    <x v="25"/>
    <n v="20000"/>
    <n v="2230"/>
  </r>
  <r>
    <x v="26"/>
    <n v="1287"/>
    <n v="665"/>
  </r>
  <r>
    <x v="27"/>
    <n v="3433"/>
    <n v="2100"/>
  </r>
  <r>
    <x v="27"/>
    <n v="9200"/>
    <n v="2210"/>
  </r>
  <r>
    <x v="28"/>
    <n v="500"/>
    <n v="1005"/>
  </r>
  <r>
    <x v="29"/>
    <n v="12630"/>
    <n v="2727"/>
  </r>
  <r>
    <x v="29"/>
    <n v="10426"/>
    <n v="2727"/>
  </r>
  <r>
    <x v="29"/>
    <n v="10426"/>
    <n v="2727"/>
  </r>
  <r>
    <x v="30"/>
    <n v="11000"/>
    <n v="3322"/>
  </r>
  <r>
    <x v="30"/>
    <n v="11000"/>
    <n v="3322"/>
  </r>
  <r>
    <x v="31"/>
    <n v="20000"/>
    <n v="3296"/>
  </r>
  <r>
    <x v="32"/>
    <n v="10000"/>
    <n v="2735"/>
  </r>
  <r>
    <x v="33"/>
    <n v="32956"/>
    <n v="2965"/>
  </r>
  <r>
    <x v="33"/>
    <n v="74"/>
    <n v="241"/>
  </r>
  <r>
    <x v="34"/>
    <n v="0"/>
    <n v="212"/>
  </r>
  <r>
    <x v="35"/>
    <n v="480"/>
    <n v="936"/>
  </r>
  <r>
    <x v="35"/>
    <n v="2030"/>
    <n v="1664"/>
  </r>
  <r>
    <x v="36"/>
    <n v="500"/>
    <n v="1000"/>
  </r>
  <r>
    <x v="37"/>
    <n v="805"/>
    <n v="2080"/>
  </r>
  <r>
    <x v="37"/>
    <n v="150"/>
    <n v="300"/>
  </r>
  <r>
    <x v="38"/>
    <n v="736"/>
    <n v="1370"/>
  </r>
  <r>
    <x v="39"/>
    <n v="1099"/>
    <n v="1030"/>
  </r>
  <r>
    <x v="40"/>
    <n v="1000"/>
    <n v="992"/>
  </r>
  <r>
    <x v="40"/>
    <n v="3444"/>
    <n v="991"/>
  </r>
  <r>
    <x v="40"/>
    <n v="1200"/>
    <n v="984"/>
  </r>
  <r>
    <x v="41"/>
    <n v="11500"/>
    <n v="3132"/>
  </r>
  <r>
    <x v="41"/>
    <n v="1400"/>
    <n v="2617"/>
  </r>
  <r>
    <x v="41"/>
    <n v="16030"/>
    <n v="3132"/>
  </r>
  <r>
    <x v="41"/>
    <n v="24008"/>
    <n v="3124"/>
  </r>
  <r>
    <x v="41"/>
    <n v="11970"/>
    <n v="3132"/>
  </r>
  <r>
    <x v="42"/>
    <n v="10300"/>
    <n v="2713"/>
  </r>
  <r>
    <x v="43"/>
    <n v="30000"/>
    <n v="3444"/>
  </r>
  <r>
    <x v="43"/>
    <n v="30000"/>
    <n v="3444"/>
  </r>
  <r>
    <x v="43"/>
    <n v="30000"/>
    <n v="3444"/>
  </r>
  <r>
    <x v="43"/>
    <n v="30000"/>
    <n v="3423"/>
  </r>
  <r>
    <x v="44"/>
    <m/>
    <n v="0"/>
  </r>
  <r>
    <x v="45"/>
    <n v="3867"/>
    <n v="1470"/>
  </r>
  <r>
    <x v="45"/>
    <n v="1786"/>
    <n v="1504"/>
  </r>
  <r>
    <x v="45"/>
    <n v="7560"/>
    <n v="1531"/>
  </r>
  <r>
    <x v="46"/>
    <n v="888"/>
    <n v="714"/>
  </r>
  <r>
    <x v="47"/>
    <n v="18600"/>
    <n v="2531"/>
  </r>
  <r>
    <x v="47"/>
    <n v="6280"/>
    <n v="2134"/>
  </r>
  <r>
    <x v="47"/>
    <n v="77000"/>
    <n v="3397"/>
  </r>
  <r>
    <x v="47"/>
    <n v="1535"/>
    <n v="2232"/>
  </r>
  <r>
    <x v="47"/>
    <n v="10500"/>
    <n v="2130"/>
  </r>
  <r>
    <x v="47"/>
    <n v="4800"/>
    <n v="1842"/>
  </r>
  <r>
    <x v="47"/>
    <n v="19400"/>
    <n v="2390"/>
  </r>
  <r>
    <x v="47"/>
    <n v="33500"/>
    <n v="2521"/>
  </r>
  <r>
    <x v="47"/>
    <n v="21300"/>
    <n v="2528"/>
  </r>
  <r>
    <x v="47"/>
    <n v="44989"/>
    <n v="3206"/>
  </r>
  <r>
    <x v="47"/>
    <n v="40193"/>
    <n v="2869"/>
  </r>
  <r>
    <x v="48"/>
    <n v="1430"/>
    <n v="917"/>
  </r>
  <r>
    <x v="49"/>
    <n v="5096"/>
    <n v="1932"/>
  </r>
  <r>
    <x v="49"/>
    <n v="2680"/>
    <n v="1684"/>
  </r>
  <r>
    <x v="50"/>
    <n v="12000"/>
    <n v="2912"/>
  </r>
  <r>
    <x v="50"/>
    <n v="14470"/>
    <n v="2912"/>
  </r>
  <r>
    <x v="50"/>
    <n v="10770"/>
    <n v="2912"/>
  </r>
  <r>
    <x v="50"/>
    <n v="13617"/>
    <n v="2912"/>
  </r>
  <r>
    <x v="50"/>
    <n v="10137"/>
    <n v="2912"/>
  </r>
  <r>
    <x v="50"/>
    <n v="13065"/>
    <n v="2912"/>
  </r>
  <r>
    <x v="50"/>
    <n v="11428"/>
    <n v="2912"/>
  </r>
  <r>
    <x v="50"/>
    <n v="5252"/>
    <n v="2912"/>
  </r>
  <r>
    <x v="50"/>
    <n v="13792"/>
    <n v="2912"/>
  </r>
  <r>
    <x v="50"/>
    <n v="12677"/>
    <n v="2912"/>
  </r>
  <r>
    <x v="50"/>
    <n v="9999"/>
    <n v="2912"/>
  </r>
  <r>
    <x v="50"/>
    <n v="13060"/>
    <n v="2912"/>
  </r>
  <r>
    <x v="50"/>
    <n v="11322"/>
    <n v="2912"/>
  </r>
  <r>
    <x v="50"/>
    <n v="4450"/>
    <n v="2912"/>
  </r>
  <r>
    <x v="50"/>
    <n v="12304"/>
    <n v="2912"/>
  </r>
  <r>
    <x v="50"/>
    <n v="12035"/>
    <n v="2912"/>
  </r>
  <r>
    <x v="50"/>
    <n v="11350"/>
    <n v="2912"/>
  </r>
  <r>
    <x v="50"/>
    <n v="17032"/>
    <n v="2912"/>
  </r>
  <r>
    <x v="50"/>
    <n v="14452"/>
    <n v="2912"/>
  </r>
  <r>
    <x v="50"/>
    <n v="15975"/>
    <n v="2912"/>
  </r>
  <r>
    <x v="50"/>
    <n v="15525"/>
    <n v="2912"/>
  </r>
  <r>
    <x v="50"/>
    <n v="16554"/>
    <n v="2912"/>
  </r>
  <r>
    <x v="50"/>
    <n v="14288"/>
    <n v="2912"/>
  </r>
  <r>
    <x v="50"/>
    <n v="16450"/>
    <n v="2912"/>
  </r>
  <r>
    <x v="50"/>
    <n v="16684"/>
    <n v="2912"/>
  </r>
  <r>
    <x v="50"/>
    <n v="830"/>
    <n v="2280"/>
  </r>
  <r>
    <x v="50"/>
    <n v="10177"/>
    <n v="2912"/>
  </r>
  <r>
    <x v="50"/>
    <n v="5000"/>
    <n v="0"/>
  </r>
  <r>
    <x v="50"/>
    <n v="11366"/>
    <n v="0"/>
  </r>
  <r>
    <x v="51"/>
    <n v="890"/>
    <n v="1930"/>
  </r>
  <r>
    <x v="52"/>
    <n v="0"/>
    <n v="495"/>
  </r>
  <r>
    <x v="53"/>
    <n v="13382"/>
    <n v="2642"/>
  </r>
  <r>
    <x v="53"/>
    <n v="11200"/>
    <n v="2642"/>
  </r>
  <r>
    <x v="53"/>
    <n v="32293"/>
    <n v="2774"/>
  </r>
  <r>
    <x v="54"/>
    <n v="1300"/>
    <n v="1487"/>
  </r>
  <r>
    <x v="54"/>
    <n v="2025"/>
    <n v="1487"/>
  </r>
  <r>
    <x v="55"/>
    <n v="5000"/>
    <n v="1331"/>
  </r>
  <r>
    <x v="55"/>
    <n v="14300"/>
    <n v="2203"/>
  </r>
  <r>
    <x v="55"/>
    <n v="1676"/>
    <n v="618"/>
  </r>
  <r>
    <x v="56"/>
    <n v="1388"/>
    <n v="1769"/>
  </r>
  <r>
    <x v="56"/>
    <n v="1684"/>
    <n v="1771"/>
  </r>
  <r>
    <x v="57"/>
    <n v="1680"/>
    <n v="0"/>
  </r>
  <r>
    <x v="58"/>
    <n v="14229"/>
    <n v="2700"/>
  </r>
  <r>
    <x v="59"/>
    <n v="20000"/>
    <n v="2602"/>
  </r>
  <r>
    <x v="60"/>
    <n v="5234"/>
    <n v="1600"/>
  </r>
  <r>
    <x v="60"/>
    <n v="1500"/>
    <n v="1091"/>
  </r>
  <r>
    <x v="61"/>
    <n v="1550"/>
    <n v="1872"/>
  </r>
  <r>
    <x v="62"/>
    <n v="1081"/>
    <n v="797"/>
  </r>
  <r>
    <x v="62"/>
    <n v="2500"/>
    <n v="972"/>
  </r>
  <r>
    <x v="63"/>
    <n v="6000"/>
    <n v="1620"/>
  </r>
  <r>
    <x v="63"/>
    <n v="25500"/>
    <n v="2798"/>
  </r>
  <r>
    <x v="63"/>
    <n v="16000"/>
    <n v="3172"/>
  </r>
  <r>
    <x v="64"/>
    <n v="3000"/>
    <n v="2930"/>
  </r>
  <r>
    <x v="65"/>
    <n v="1468"/>
    <n v="2984"/>
  </r>
  <r>
    <x v="66"/>
    <n v="8550"/>
    <n v="2000"/>
  </r>
  <r>
    <x v="66"/>
    <n v="800"/>
    <n v="416"/>
  </r>
  <r>
    <x v="66"/>
    <n v="10231"/>
    <n v="2040"/>
  </r>
  <r>
    <x v="66"/>
    <n v="15200"/>
    <n v="2000"/>
  </r>
  <r>
    <x v="67"/>
    <n v="15"/>
    <n v="120"/>
  </r>
  <r>
    <x v="68"/>
    <n v="37000"/>
    <n v="2499"/>
  </r>
  <r>
    <x v="69"/>
    <n v="170"/>
    <n v="800"/>
  </r>
  <r>
    <x v="69"/>
    <n v="2100"/>
    <n v="2828"/>
  </r>
  <r>
    <x v="69"/>
    <n v="4883"/>
    <n v="2828"/>
  </r>
  <r>
    <x v="70"/>
    <n v="30116"/>
    <n v="3138"/>
  </r>
  <r>
    <x v="70"/>
    <n v="7200"/>
    <n v="2412"/>
  </r>
  <r>
    <x v="70"/>
    <n v="14560"/>
    <n v="2975"/>
  </r>
  <r>
    <x v="70"/>
    <n v="29600"/>
    <n v="2983"/>
  </r>
  <r>
    <x v="70"/>
    <n v="30000"/>
    <n v="3124"/>
  </r>
  <r>
    <x v="70"/>
    <n v="8400"/>
    <n v="2611"/>
  </r>
  <r>
    <x v="71"/>
    <n v="12000"/>
    <n v="2860"/>
  </r>
  <r>
    <x v="71"/>
    <n v="17000"/>
    <n v="2948"/>
  </r>
  <r>
    <x v="71"/>
    <n v="13000"/>
    <n v="2860"/>
  </r>
  <r>
    <x v="71"/>
    <n v="12771"/>
    <n v="2860"/>
  </r>
  <r>
    <x v="71"/>
    <n v="13500"/>
    <n v="2912"/>
  </r>
  <r>
    <x v="72"/>
    <n v="15536"/>
    <n v="3226"/>
  </r>
  <r>
    <x v="72"/>
    <n v="20000"/>
    <n v="3533"/>
  </r>
  <r>
    <x v="72"/>
    <n v="10000"/>
    <n v="3226"/>
  </r>
  <r>
    <x v="72"/>
    <n v="10000"/>
    <n v="3226"/>
  </r>
  <r>
    <x v="73"/>
    <n v="1000"/>
    <n v="1066"/>
  </r>
  <r>
    <x v="74"/>
    <n v="1305"/>
    <n v="805"/>
  </r>
  <r>
    <x v="74"/>
    <n v="4000"/>
    <n v="1516"/>
  </r>
  <r>
    <x v="75"/>
    <s v="4,208,294"/>
    <s v="754,7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I2:K78" firstHeaderRow="1" firstDataRow="2" firstDataCol="1"/>
  <pivotFields count="7">
    <pivotField axis="axisRow" numFmtId="1" showAll="0">
      <items count="75">
        <item x="20"/>
        <item x="60"/>
        <item x="71"/>
        <item x="0"/>
        <item x="4"/>
        <item x="13"/>
        <item x="21"/>
        <item x="36"/>
        <item x="41"/>
        <item x="56"/>
        <item x="59"/>
        <item x="61"/>
        <item x="63"/>
        <item x="66"/>
        <item x="67"/>
        <item x="69"/>
        <item x="70"/>
        <item x="72"/>
        <item x="73"/>
        <item x="1"/>
        <item x="2"/>
        <item x="3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62"/>
        <item x="64"/>
        <item x="65"/>
        <item x="68"/>
        <item t="default"/>
      </items>
    </pivotField>
    <pivotField showAll="0"/>
    <pivotField showAll="0"/>
    <pivotField showAll="0"/>
    <pivotField dataField="1" numFmtId="1" showAll="0"/>
    <pivotField dataField="1" numFmtId="1" showAll="0"/>
    <pivotField numFmtId="1" showAll="0"/>
  </pivotFields>
  <rowFields count="1">
    <field x="0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qft:Q467" fld="4" baseField="0" baseItem="0"/>
    <dataField name="Sum of Hrs:Q480" fld="5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ID">
  <location ref="E2:G80" firstHeaderRow="1" firstDataRow="2" firstDataCol="1"/>
  <pivotFields count="3">
    <pivotField axis="axisRow" showAll="0">
      <items count="77">
        <item x="20"/>
        <item x="60"/>
        <item x="72"/>
        <item x="0"/>
        <item x="4"/>
        <item x="13"/>
        <item x="21"/>
        <item x="36"/>
        <item x="41"/>
        <item x="56"/>
        <item x="59"/>
        <item x="61"/>
        <item x="63"/>
        <item x="66"/>
        <item x="68"/>
        <item x="70"/>
        <item x="71"/>
        <item x="73"/>
        <item x="74"/>
        <item x="1"/>
        <item x="2"/>
        <item x="3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62"/>
        <item x="64"/>
        <item x="65"/>
        <item x="67"/>
        <item x="69"/>
        <item x="75"/>
        <item t="default"/>
      </items>
    </pivotField>
    <pivotField dataField="1" showAll="0" defaultSubtotal="0"/>
    <pivotField dataField="1" showAll="0" defaultSubtotal="0"/>
  </pivotFields>
  <rowFields count="1">
    <field x="0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qFt" fld="1" baseField="0" baseItem="0"/>
    <dataField name="Sum of Hours" fld="2" baseField="0" baseItem="0"/>
  </dataFields>
  <formats count="6">
    <format dxfId="5">
      <pivotArea type="all" dataOnly="0" outline="0" fieldPosition="0"/>
    </format>
    <format dxfId="4">
      <pivotArea type="origin" dataOnly="0" labelOnly="1" outline="0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0" count="2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nc-sa/4.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74"/>
  <sheetViews>
    <sheetView showGridLines="0" topLeftCell="A9" workbookViewId="0">
      <selection activeCell="C21" sqref="C21"/>
    </sheetView>
  </sheetViews>
  <sheetFormatPr defaultColWidth="8.77734375" defaultRowHeight="15.6" x14ac:dyDescent="0.3"/>
  <cols>
    <col min="1" max="1" width="9.33203125" style="283" customWidth="1"/>
    <col min="2" max="2" width="29.77734375" style="283" customWidth="1"/>
    <col min="3" max="3" width="32.6640625" style="302" customWidth="1"/>
    <col min="4" max="4" width="7.109375" style="283" customWidth="1"/>
    <col min="5" max="5" width="13.109375" style="283" customWidth="1"/>
    <col min="6" max="6" width="8.44140625" style="283" customWidth="1"/>
    <col min="7" max="7" width="4.77734375" style="283" customWidth="1"/>
    <col min="8" max="8" width="10.6640625" style="283" customWidth="1"/>
    <col min="9" max="9" width="11.6640625" style="292" customWidth="1"/>
    <col min="10" max="10" width="12" style="283" customWidth="1"/>
    <col min="11" max="11" width="13.109375" style="292" customWidth="1"/>
    <col min="12" max="12" width="13.6640625" style="283" customWidth="1"/>
    <col min="13" max="13" width="11.6640625" style="292" customWidth="1"/>
    <col min="14" max="14" width="11.6640625" style="283" customWidth="1"/>
    <col min="15" max="15" width="18.109375" style="283" customWidth="1"/>
    <col min="16" max="24" width="11.6640625" style="283" customWidth="1"/>
    <col min="25" max="27" width="11.6640625" style="284" customWidth="1"/>
    <col min="28" max="28" width="9" style="284" customWidth="1"/>
    <col min="29" max="31" width="11.6640625" style="284" customWidth="1"/>
    <col min="32" max="32" width="11.6640625" style="283" customWidth="1"/>
    <col min="33" max="33" width="8.6640625" style="283" customWidth="1"/>
    <col min="34" max="34" width="11.6640625" style="283" customWidth="1"/>
    <col min="35" max="37" width="10.33203125" style="283" bestFit="1" customWidth="1"/>
    <col min="38" max="38" width="9.109375" style="283" bestFit="1" customWidth="1"/>
    <col min="39" max="39" width="9.77734375" style="283" bestFit="1" customWidth="1"/>
    <col min="40" max="40" width="9.109375" style="283" bestFit="1" customWidth="1"/>
    <col min="41" max="41" width="9.77734375" style="283" bestFit="1" customWidth="1"/>
    <col min="42" max="42" width="9.6640625" style="283" bestFit="1" customWidth="1"/>
    <col min="43" max="43" width="9.77734375" style="283" bestFit="1" customWidth="1"/>
    <col min="44" max="44" width="9.44140625" style="283" bestFit="1" customWidth="1"/>
    <col min="45" max="46" width="9.77734375" style="283" bestFit="1" customWidth="1"/>
    <col min="47" max="47" width="9.109375" style="283" bestFit="1" customWidth="1"/>
    <col min="48" max="48" width="9.77734375" style="283" bestFit="1" customWidth="1"/>
    <col min="49" max="49" width="9.109375" style="283" bestFit="1" customWidth="1"/>
    <col min="50" max="50" width="9.77734375" style="283" bestFit="1" customWidth="1"/>
    <col min="51" max="51" width="9.109375" style="283" bestFit="1" customWidth="1"/>
    <col min="52" max="52" width="9.77734375" style="283" bestFit="1" customWidth="1"/>
    <col min="53" max="53" width="8.6640625" style="283" bestFit="1" customWidth="1"/>
    <col min="54" max="55" width="9.77734375" style="283" bestFit="1" customWidth="1"/>
    <col min="56" max="56" width="8.109375" style="283" bestFit="1" customWidth="1"/>
    <col min="57" max="57" width="8.44140625" style="283" bestFit="1" customWidth="1"/>
    <col min="58" max="58" width="7.6640625" style="283" bestFit="1" customWidth="1"/>
    <col min="59" max="59" width="11.6640625" style="283" bestFit="1" customWidth="1"/>
    <col min="60" max="60" width="9.44140625" style="283" bestFit="1" customWidth="1"/>
    <col min="61" max="61" width="8.109375" style="283" bestFit="1" customWidth="1"/>
    <col min="62" max="62" width="6.6640625" style="283" bestFit="1" customWidth="1"/>
    <col min="63" max="63" width="8.109375" style="283" bestFit="1" customWidth="1"/>
    <col min="64" max="64" width="7.6640625" style="283" bestFit="1" customWidth="1"/>
    <col min="65" max="65" width="8.109375" style="283" bestFit="1" customWidth="1"/>
    <col min="66" max="66" width="9.77734375" style="283" bestFit="1" customWidth="1"/>
    <col min="67" max="67" width="11" style="283" bestFit="1" customWidth="1"/>
    <col min="68" max="68" width="9.6640625" style="283" bestFit="1" customWidth="1"/>
    <col min="69" max="69" width="11.44140625" style="283" bestFit="1" customWidth="1"/>
    <col min="70" max="71" width="6.109375" style="283" bestFit="1" customWidth="1"/>
    <col min="72" max="72" width="9.6640625" style="283" bestFit="1" customWidth="1"/>
    <col min="73" max="73" width="6.109375" style="283" bestFit="1" customWidth="1"/>
    <col min="74" max="74" width="9.6640625" style="283" bestFit="1" customWidth="1"/>
    <col min="75" max="75" width="5.6640625" style="283" bestFit="1" customWidth="1"/>
    <col min="76" max="76" width="6.109375" style="283" bestFit="1" customWidth="1"/>
    <col min="77" max="78" width="8.44140625" style="283" bestFit="1" customWidth="1"/>
    <col min="79" max="81" width="9.6640625" style="283" bestFit="1" customWidth="1"/>
    <col min="82" max="82" width="7.6640625" style="283" bestFit="1" customWidth="1"/>
    <col min="83" max="83" width="9.33203125" style="283" bestFit="1" customWidth="1"/>
    <col min="84" max="84" width="9.6640625" style="283" bestFit="1" customWidth="1"/>
    <col min="85" max="85" width="8.6640625" style="283" bestFit="1" customWidth="1"/>
    <col min="86" max="86" width="9.77734375" style="283" bestFit="1" customWidth="1"/>
    <col min="87" max="88" width="9.33203125" style="283" bestFit="1" customWidth="1"/>
    <col min="89" max="90" width="9.109375" style="283" bestFit="1" customWidth="1"/>
    <col min="91" max="91" width="12.109375" style="283" bestFit="1" customWidth="1"/>
    <col min="92" max="93" width="8.77734375" style="283" bestFit="1" customWidth="1"/>
    <col min="94" max="94" width="9.6640625" style="283" bestFit="1" customWidth="1"/>
    <col min="95" max="95" width="12.109375" style="283" bestFit="1" customWidth="1"/>
    <col min="96" max="96" width="6.33203125" style="283" bestFit="1" customWidth="1"/>
    <col min="97" max="97" width="8.77734375" style="283" bestFit="1" customWidth="1"/>
    <col min="98" max="98" width="7.109375" style="283" bestFit="1" customWidth="1"/>
    <col min="99" max="99" width="8.6640625" style="283" bestFit="1" customWidth="1"/>
    <col min="100" max="100" width="6.6640625" style="283" bestFit="1" customWidth="1"/>
    <col min="101" max="101" width="7.6640625" style="283" bestFit="1" customWidth="1"/>
    <col min="102" max="102" width="11.109375" style="283" bestFit="1" customWidth="1"/>
    <col min="103" max="103" width="10.44140625" style="283" bestFit="1" customWidth="1"/>
    <col min="104" max="104" width="9.77734375" style="283" bestFit="1" customWidth="1"/>
    <col min="105" max="105" width="8.6640625" style="283" bestFit="1" customWidth="1"/>
    <col min="106" max="106" width="8.77734375" style="283" bestFit="1" customWidth="1"/>
    <col min="107" max="107" width="6.77734375" style="283" bestFit="1" customWidth="1"/>
    <col min="108" max="108" width="7" style="283" bestFit="1" customWidth="1"/>
    <col min="109" max="109" width="8.6640625" style="283" bestFit="1" customWidth="1"/>
    <col min="110" max="110" width="9.6640625" style="283" bestFit="1" customWidth="1"/>
    <col min="111" max="113" width="8.6640625" style="283" bestFit="1" customWidth="1"/>
    <col min="114" max="115" width="8.77734375" style="283" bestFit="1" customWidth="1"/>
    <col min="116" max="116" width="7.77734375" style="283" bestFit="1" customWidth="1"/>
    <col min="117" max="117" width="8.77734375" style="283" bestFit="1" customWidth="1"/>
    <col min="118" max="118" width="8.6640625" style="283" bestFit="1" customWidth="1"/>
    <col min="119" max="119" width="8.77734375" style="283" bestFit="1" customWidth="1"/>
    <col min="120" max="120" width="8.6640625" style="283" bestFit="1" customWidth="1"/>
    <col min="121" max="121" width="8.77734375" style="283" bestFit="1" customWidth="1"/>
    <col min="122" max="124" width="11.6640625" style="283" bestFit="1" customWidth="1"/>
    <col min="125" max="125" width="7.6640625" style="283" bestFit="1" customWidth="1"/>
    <col min="126" max="126" width="9.6640625" style="283" bestFit="1" customWidth="1"/>
    <col min="127" max="127" width="7" style="283" bestFit="1" customWidth="1"/>
    <col min="128" max="16384" width="8.77734375" style="283"/>
  </cols>
  <sheetData>
    <row r="1" spans="1:31" x14ac:dyDescent="0.3">
      <c r="A1" s="279" t="s">
        <v>3280</v>
      </c>
      <c r="B1" s="280"/>
      <c r="C1" s="281"/>
      <c r="D1" s="282"/>
      <c r="E1" s="282"/>
      <c r="F1" s="282"/>
      <c r="G1" s="282"/>
      <c r="H1" s="282"/>
      <c r="I1" s="283"/>
      <c r="K1" s="283"/>
      <c r="M1" s="283"/>
    </row>
    <row r="2" spans="1:31" x14ac:dyDescent="0.3">
      <c r="A2" s="285"/>
      <c r="B2" s="280"/>
      <c r="C2" s="281"/>
      <c r="D2" s="282"/>
      <c r="E2" s="282"/>
      <c r="F2" s="282"/>
      <c r="G2" s="282"/>
      <c r="H2" s="282"/>
      <c r="I2" s="283"/>
      <c r="K2" s="283"/>
      <c r="M2" s="283"/>
    </row>
    <row r="3" spans="1:31" x14ac:dyDescent="0.3">
      <c r="A3" s="285"/>
      <c r="B3" s="280"/>
      <c r="C3" s="281"/>
      <c r="D3" s="282"/>
      <c r="E3" s="282"/>
      <c r="F3" s="282"/>
      <c r="G3" s="282"/>
      <c r="H3" s="282"/>
      <c r="I3" s="283"/>
      <c r="K3" s="283"/>
      <c r="M3" s="283"/>
    </row>
    <row r="4" spans="1:31" ht="20.55" customHeight="1" x14ac:dyDescent="0.3">
      <c r="A4" s="286"/>
      <c r="B4" s="287"/>
      <c r="C4" s="288"/>
      <c r="D4" s="282"/>
      <c r="E4" s="282"/>
      <c r="F4" s="282"/>
      <c r="G4" s="282"/>
      <c r="H4" s="282"/>
      <c r="I4" s="283"/>
      <c r="K4" s="283"/>
      <c r="M4" s="283"/>
    </row>
    <row r="5" spans="1:31" x14ac:dyDescent="0.3">
      <c r="A5" s="286"/>
      <c r="B5" s="282"/>
      <c r="C5" s="288"/>
      <c r="D5" s="289"/>
      <c r="E5" s="282"/>
      <c r="F5" s="282"/>
      <c r="G5" s="282"/>
      <c r="H5" s="282"/>
      <c r="I5" s="283"/>
      <c r="K5" s="283"/>
      <c r="M5" s="283"/>
    </row>
    <row r="6" spans="1:31" x14ac:dyDescent="0.3">
      <c r="A6" s="286"/>
      <c r="B6" s="282"/>
      <c r="C6" s="288"/>
      <c r="D6" s="282"/>
      <c r="E6" s="282"/>
      <c r="F6" s="282"/>
      <c r="G6" s="282"/>
      <c r="H6" s="282"/>
      <c r="I6" s="283"/>
      <c r="K6" s="283"/>
      <c r="M6" s="283"/>
    </row>
    <row r="7" spans="1:31" x14ac:dyDescent="0.3">
      <c r="A7" s="282"/>
      <c r="B7" s="282"/>
      <c r="C7" s="288"/>
      <c r="D7" s="282"/>
      <c r="E7" s="282"/>
      <c r="F7" s="282"/>
      <c r="G7" s="282"/>
      <c r="H7" s="282"/>
      <c r="I7" s="283"/>
      <c r="K7" s="283"/>
      <c r="M7" s="283"/>
    </row>
    <row r="8" spans="1:31" x14ac:dyDescent="0.3">
      <c r="A8" s="282"/>
      <c r="B8" s="282"/>
      <c r="C8" s="288"/>
      <c r="D8" s="282"/>
      <c r="E8" s="282"/>
      <c r="F8" s="282"/>
      <c r="G8" s="282"/>
      <c r="H8" s="282"/>
      <c r="I8" s="283"/>
      <c r="K8" s="283"/>
      <c r="M8" s="283"/>
    </row>
    <row r="9" spans="1:31" ht="28.8" x14ac:dyDescent="0.55000000000000004">
      <c r="A9" s="396" t="s">
        <v>3278</v>
      </c>
      <c r="B9" s="396"/>
      <c r="C9" s="396"/>
      <c r="D9" s="396"/>
      <c r="E9" s="396"/>
      <c r="F9" s="396"/>
      <c r="G9" s="396"/>
      <c r="H9" s="396"/>
      <c r="I9" s="290"/>
      <c r="J9" s="290"/>
      <c r="K9" s="290"/>
      <c r="L9" s="290"/>
      <c r="M9" s="290"/>
      <c r="N9" s="290"/>
    </row>
    <row r="10" spans="1:31" ht="18" x14ac:dyDescent="0.35">
      <c r="A10" s="282"/>
      <c r="B10" s="291"/>
      <c r="C10" s="288"/>
      <c r="D10" s="282"/>
      <c r="E10" s="282"/>
      <c r="F10" s="282"/>
      <c r="G10" s="282"/>
      <c r="H10" s="282"/>
    </row>
    <row r="11" spans="1:31" ht="36" x14ac:dyDescent="0.35">
      <c r="A11" s="282"/>
      <c r="B11" s="383" t="s">
        <v>3190</v>
      </c>
      <c r="C11" s="386" t="s">
        <v>3168</v>
      </c>
      <c r="D11" s="282"/>
      <c r="E11" s="292"/>
      <c r="H11" s="282"/>
    </row>
    <row r="12" spans="1:31" ht="31.95" customHeight="1" x14ac:dyDescent="0.3">
      <c r="A12" s="282"/>
      <c r="B12" s="404" t="s">
        <v>3188</v>
      </c>
      <c r="C12" s="391" t="s">
        <v>3281</v>
      </c>
      <c r="D12" s="397" t="s">
        <v>1990</v>
      </c>
      <c r="E12" s="397"/>
      <c r="F12" s="398"/>
      <c r="G12" s="282"/>
      <c r="H12" s="292"/>
      <c r="I12" s="283"/>
      <c r="J12" s="292"/>
      <c r="K12" s="283"/>
      <c r="L12" s="292"/>
      <c r="M12" s="283"/>
      <c r="X12" s="284"/>
      <c r="AE12" s="283"/>
    </row>
    <row r="13" spans="1:31" ht="18.75" customHeight="1" x14ac:dyDescent="0.3">
      <c r="A13" s="282"/>
      <c r="B13" s="404"/>
      <c r="C13" s="403" t="s">
        <v>3282</v>
      </c>
      <c r="D13" s="399" t="s">
        <v>2922</v>
      </c>
      <c r="E13" s="399"/>
      <c r="F13" s="400"/>
      <c r="G13" s="282"/>
      <c r="H13" s="292"/>
      <c r="I13" s="283"/>
      <c r="J13" s="292"/>
      <c r="K13" s="283"/>
      <c r="L13" s="292"/>
      <c r="M13" s="283"/>
      <c r="X13" s="284"/>
      <c r="AE13" s="283"/>
    </row>
    <row r="14" spans="1:31" ht="24" customHeight="1" x14ac:dyDescent="0.3">
      <c r="A14" s="282"/>
      <c r="B14" s="404"/>
      <c r="C14" s="403"/>
      <c r="D14" s="401"/>
      <c r="E14" s="401"/>
      <c r="F14" s="402"/>
      <c r="G14" s="282"/>
      <c r="H14" s="292"/>
      <c r="I14" s="283"/>
      <c r="J14" s="292"/>
      <c r="K14" s="283"/>
      <c r="L14" s="292"/>
      <c r="M14" s="283"/>
      <c r="X14" s="284"/>
      <c r="AE14" s="283"/>
    </row>
    <row r="15" spans="1:31" ht="16.5" customHeight="1" x14ac:dyDescent="0.35">
      <c r="A15" s="282"/>
      <c r="B15" s="293"/>
      <c r="C15" s="294"/>
      <c r="D15" s="295"/>
      <c r="E15" s="295"/>
      <c r="F15" s="295"/>
      <c r="G15" s="295"/>
      <c r="H15" s="282"/>
    </row>
    <row r="16" spans="1:31" s="298" customFormat="1" ht="21" x14ac:dyDescent="0.4">
      <c r="A16" s="296"/>
      <c r="B16" s="395" t="s">
        <v>1991</v>
      </c>
      <c r="C16" s="395"/>
      <c r="D16" s="395"/>
      <c r="E16" s="395"/>
      <c r="F16" s="395"/>
      <c r="G16" s="395"/>
      <c r="H16" s="296"/>
      <c r="I16" s="297"/>
      <c r="K16" s="297"/>
      <c r="M16" s="297"/>
      <c r="Y16" s="299"/>
      <c r="Z16" s="299"/>
      <c r="AA16" s="299"/>
      <c r="AB16" s="299"/>
      <c r="AC16" s="299"/>
      <c r="AD16" s="299"/>
      <c r="AE16" s="299"/>
    </row>
    <row r="17" spans="1:31" x14ac:dyDescent="0.3">
      <c r="A17" s="282"/>
      <c r="B17" s="384" t="s">
        <v>3180</v>
      </c>
      <c r="C17" s="387" t="s">
        <v>3147</v>
      </c>
      <c r="D17" s="323"/>
      <c r="E17" s="323"/>
      <c r="F17" s="323"/>
      <c r="G17" s="323"/>
      <c r="H17" s="282"/>
    </row>
    <row r="18" spans="1:31" x14ac:dyDescent="0.3">
      <c r="A18" s="282"/>
      <c r="B18" s="384" t="s">
        <v>3181</v>
      </c>
      <c r="C18" s="387" t="s">
        <v>3146</v>
      </c>
      <c r="D18" s="323"/>
      <c r="E18" s="323"/>
      <c r="F18" s="323"/>
      <c r="G18" s="323"/>
      <c r="H18" s="282"/>
    </row>
    <row r="19" spans="1:31" x14ac:dyDescent="0.3">
      <c r="A19" s="282"/>
      <c r="B19" s="384" t="s">
        <v>3182</v>
      </c>
      <c r="C19" s="387" t="s">
        <v>3148</v>
      </c>
      <c r="D19" s="323"/>
      <c r="E19" s="323"/>
      <c r="F19" s="323"/>
      <c r="G19" s="323"/>
      <c r="H19" s="282"/>
    </row>
    <row r="20" spans="1:31" x14ac:dyDescent="0.3">
      <c r="A20" s="282"/>
      <c r="B20" s="384" t="s">
        <v>3183</v>
      </c>
      <c r="C20" s="387" t="s">
        <v>3145</v>
      </c>
      <c r="D20" s="323"/>
      <c r="E20" s="323"/>
      <c r="F20" s="323"/>
      <c r="G20" s="323"/>
      <c r="H20" s="282"/>
    </row>
    <row r="21" spans="1:31" ht="21" x14ac:dyDescent="0.4">
      <c r="A21" s="282"/>
      <c r="B21" s="385" t="s">
        <v>3189</v>
      </c>
      <c r="C21" s="391" t="s">
        <v>3283</v>
      </c>
      <c r="D21" s="323"/>
      <c r="E21" s="323"/>
      <c r="F21" s="323"/>
      <c r="G21" s="323"/>
      <c r="H21" s="282"/>
    </row>
    <row r="22" spans="1:31" ht="14.55" customHeight="1" x14ac:dyDescent="0.3">
      <c r="A22" s="282"/>
      <c r="B22" s="286"/>
      <c r="C22" s="288"/>
      <c r="D22" s="282"/>
      <c r="E22" s="282"/>
      <c r="F22" s="282"/>
      <c r="G22" s="282"/>
      <c r="H22" s="282"/>
    </row>
    <row r="23" spans="1:31" ht="30.45" customHeight="1" x14ac:dyDescent="0.3">
      <c r="A23" s="393" t="s">
        <v>3279</v>
      </c>
      <c r="B23" s="393"/>
      <c r="C23" s="393"/>
      <c r="D23" s="393"/>
      <c r="E23" s="393"/>
      <c r="F23" s="393"/>
      <c r="G23" s="393"/>
      <c r="H23" s="393"/>
      <c r="I23" s="283"/>
      <c r="J23" s="292"/>
      <c r="K23" s="283"/>
      <c r="L23" s="292"/>
      <c r="M23" s="283"/>
      <c r="X23" s="284"/>
      <c r="AE23" s="283"/>
    </row>
    <row r="24" spans="1:31" ht="9.75" customHeight="1" x14ac:dyDescent="0.3">
      <c r="A24" s="300"/>
      <c r="B24" s="300"/>
      <c r="C24" s="300"/>
      <c r="D24" s="300"/>
      <c r="E24" s="300"/>
      <c r="F24" s="300"/>
      <c r="G24" s="282"/>
      <c r="H24" s="292"/>
      <c r="I24" s="283"/>
      <c r="J24" s="292"/>
      <c r="K24" s="283"/>
      <c r="L24" s="292"/>
      <c r="M24" s="283"/>
      <c r="X24" s="284"/>
      <c r="AE24" s="283"/>
    </row>
    <row r="25" spans="1:31" ht="15" customHeight="1" x14ac:dyDescent="0.3">
      <c r="A25" s="394" t="s">
        <v>3192</v>
      </c>
      <c r="B25" s="394"/>
      <c r="C25" s="394"/>
      <c r="D25" s="394"/>
      <c r="E25" s="394"/>
      <c r="F25" s="394"/>
      <c r="G25" s="394"/>
      <c r="H25" s="394"/>
      <c r="I25" s="283"/>
      <c r="J25" s="292"/>
      <c r="K25" s="283"/>
      <c r="L25" s="292"/>
      <c r="M25" s="283"/>
      <c r="X25" s="284"/>
      <c r="AE25" s="283"/>
    </row>
    <row r="26" spans="1:31" ht="16.5" customHeight="1" x14ac:dyDescent="0.3">
      <c r="A26" s="394"/>
      <c r="B26" s="394"/>
      <c r="C26" s="394"/>
      <c r="D26" s="394"/>
      <c r="E26" s="394"/>
      <c r="F26" s="394"/>
      <c r="G26" s="394"/>
      <c r="H26" s="394"/>
    </row>
    <row r="27" spans="1:31" ht="14.4" x14ac:dyDescent="0.3">
      <c r="A27" s="394"/>
      <c r="B27" s="394"/>
      <c r="C27" s="394"/>
      <c r="D27" s="394"/>
      <c r="E27" s="394"/>
      <c r="F27" s="394"/>
      <c r="G27" s="394"/>
      <c r="H27" s="394"/>
    </row>
    <row r="28" spans="1:31" x14ac:dyDescent="0.3">
      <c r="A28" s="301"/>
      <c r="B28" s="282"/>
      <c r="D28" s="282"/>
      <c r="E28" s="282"/>
      <c r="F28" s="282"/>
      <c r="G28" s="282"/>
      <c r="I28" s="283"/>
      <c r="K28" s="283"/>
      <c r="M28" s="283"/>
      <c r="Y28" s="283"/>
      <c r="Z28" s="283"/>
      <c r="AA28" s="283"/>
      <c r="AB28" s="283"/>
      <c r="AC28" s="283"/>
      <c r="AD28" s="283"/>
      <c r="AE28" s="283"/>
    </row>
    <row r="29" spans="1:31" ht="15" customHeight="1" x14ac:dyDescent="0.3">
      <c r="A29" s="303"/>
      <c r="B29" s="282"/>
      <c r="C29" s="288"/>
      <c r="D29" s="282"/>
      <c r="E29" s="282"/>
      <c r="F29" s="282"/>
      <c r="G29" s="282"/>
      <c r="I29" s="283"/>
      <c r="K29" s="283"/>
      <c r="M29" s="283"/>
      <c r="Y29" s="283"/>
      <c r="Z29" s="283"/>
      <c r="AA29" s="283"/>
      <c r="AB29" s="283"/>
      <c r="AC29" s="283"/>
      <c r="AD29" s="283"/>
      <c r="AE29" s="283"/>
    </row>
    <row r="30" spans="1:31" ht="15" customHeight="1" x14ac:dyDescent="0.3">
      <c r="B30" s="304"/>
      <c r="I30" s="283"/>
      <c r="K30" s="283"/>
      <c r="M30" s="283"/>
      <c r="Y30" s="283"/>
      <c r="Z30" s="283"/>
      <c r="AA30" s="283"/>
      <c r="AB30" s="283"/>
      <c r="AC30" s="283"/>
      <c r="AD30" s="283"/>
      <c r="AE30" s="283"/>
    </row>
    <row r="32" spans="1:31" x14ac:dyDescent="0.3">
      <c r="B32" s="304"/>
    </row>
    <row r="33" spans="2:2" x14ac:dyDescent="0.3">
      <c r="B33" s="304"/>
    </row>
    <row r="34" spans="2:2" x14ac:dyDescent="0.3">
      <c r="B34" s="304"/>
    </row>
    <row r="35" spans="2:2" x14ac:dyDescent="0.3">
      <c r="B35" s="304"/>
    </row>
    <row r="36" spans="2:2" x14ac:dyDescent="0.3">
      <c r="B36" s="304"/>
    </row>
    <row r="37" spans="2:2" x14ac:dyDescent="0.3">
      <c r="B37" s="304"/>
    </row>
    <row r="38" spans="2:2" x14ac:dyDescent="0.3">
      <c r="B38" s="304"/>
    </row>
    <row r="65" spans="15:33" x14ac:dyDescent="0.3">
      <c r="AG65" s="305"/>
    </row>
    <row r="69" spans="15:33" x14ac:dyDescent="0.3">
      <c r="P69" s="306"/>
      <c r="Q69" s="306"/>
      <c r="R69" s="307"/>
      <c r="S69" s="308"/>
      <c r="T69" s="308"/>
      <c r="U69" s="308"/>
      <c r="V69" s="308"/>
      <c r="W69" s="309"/>
      <c r="X69" s="309"/>
      <c r="Y69" s="309"/>
      <c r="Z69" s="309"/>
      <c r="AA69" s="309"/>
    </row>
    <row r="70" spans="15:33" x14ac:dyDescent="0.3">
      <c r="P70" s="310"/>
      <c r="Q70" s="310"/>
      <c r="R70" s="306"/>
      <c r="S70" s="308"/>
      <c r="T70" s="308"/>
      <c r="U70" s="308"/>
      <c r="V70" s="311"/>
      <c r="W70" s="306"/>
      <c r="X70" s="306"/>
      <c r="Y70" s="312"/>
      <c r="Z70" s="313"/>
      <c r="AA70" s="312"/>
    </row>
    <row r="71" spans="15:33" x14ac:dyDescent="0.3">
      <c r="P71" s="310"/>
      <c r="Q71" s="310"/>
      <c r="R71" s="314"/>
      <c r="S71" s="312"/>
      <c r="T71" s="312"/>
      <c r="U71" s="312"/>
      <c r="V71" s="308"/>
      <c r="W71" s="306"/>
      <c r="X71" s="306"/>
      <c r="Y71" s="310"/>
      <c r="Z71" s="310"/>
      <c r="AA71" s="310"/>
    </row>
    <row r="72" spans="15:33" x14ac:dyDescent="0.3">
      <c r="P72" s="310"/>
      <c r="Q72" s="310"/>
      <c r="R72" s="312"/>
      <c r="S72" s="312"/>
      <c r="T72" s="311"/>
      <c r="U72" s="311"/>
      <c r="V72" s="306"/>
      <c r="W72" s="306"/>
      <c r="X72" s="306"/>
      <c r="Y72" s="315"/>
      <c r="Z72" s="310"/>
      <c r="AA72" s="306"/>
    </row>
    <row r="73" spans="15:33" x14ac:dyDescent="0.3">
      <c r="P73" s="316"/>
      <c r="Q73" s="316"/>
      <c r="R73" s="312"/>
      <c r="S73" s="312"/>
      <c r="T73" s="314"/>
      <c r="U73" s="314"/>
      <c r="V73" s="314"/>
      <c r="W73" s="306"/>
      <c r="X73" s="306"/>
      <c r="Y73" s="312"/>
      <c r="Z73" s="310"/>
      <c r="AA73" s="317"/>
    </row>
    <row r="74" spans="15:33" x14ac:dyDescent="0.3">
      <c r="O74" s="318"/>
      <c r="P74" s="318"/>
      <c r="Q74" s="319"/>
      <c r="R74" s="319"/>
      <c r="S74" s="319"/>
      <c r="U74" s="320"/>
      <c r="V74" s="321"/>
      <c r="W74" s="320"/>
      <c r="X74" s="320"/>
      <c r="Z74" s="322"/>
    </row>
  </sheetData>
  <mergeCells count="8">
    <mergeCell ref="A23:H23"/>
    <mergeCell ref="A25:H27"/>
    <mergeCell ref="B16:G16"/>
    <mergeCell ref="A9:H9"/>
    <mergeCell ref="D12:F12"/>
    <mergeCell ref="D13:F14"/>
    <mergeCell ref="C13:C14"/>
    <mergeCell ref="B12:B14"/>
  </mergeCells>
  <hyperlinks>
    <hyperlink ref="C12" location="'2020 Library Quick Report'!A1" display="2019 Quick Report" xr:uid="{00000000-0004-0000-0000-000000000000}"/>
    <hyperlink ref="C13" location="'2013 Charts'!A1" display="2013 Charts" xr:uid="{00000000-0004-0000-0000-000001000000}"/>
    <hyperlink ref="C13:C14" location="'2020 Individual Charts'!A1" display="2020 Charts" xr:uid="{00000000-0004-0000-0000-000006000000}"/>
    <hyperlink ref="A25" r:id="rId1" display="These charts are licensed under a Creative Commons Attribution-NonCommercial-ShareAlike 4.0 International License," xr:uid="{00000000-0004-0000-0000-000003000000}"/>
    <hyperlink ref="C21" location="'2020 Comparison Charts'!A1" display="2020 Comparison Charts" xr:uid="{00000000-0004-0000-0000-000002000000}"/>
  </hyperlinks>
  <printOptions horizontalCentered="1" verticalCentered="1"/>
  <pageMargins left="0.25" right="0.25" top="0.75" bottom="0.75" header="0.3" footer="0.3"/>
  <pageSetup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507" yWindow="818" count="2">
        <x14:dataValidation type="list" showInputMessage="1" showErrorMessage="1" prompt="Find library in drop-down list" xr:uid="{00000000-0002-0000-0000-000000000000}">
          <x14:formula1>
            <xm:f>'2020Data'!$A$2:$A$83</xm:f>
          </x14:formula1>
          <xm:sqref>C17:C20</xm:sqref>
        </x14:dataValidation>
        <x14:dataValidation type="list" allowBlank="1" showInputMessage="1" showErrorMessage="1" prompt="Find your library in the drop-down list" xr:uid="{00000000-0002-0000-0000-000001000000}">
          <x14:formula1>
            <xm:f>'2020Data'!A2:A83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8"/>
  <sheetViews>
    <sheetView showGridLines="0" topLeftCell="B8" zoomScale="80" zoomScaleNormal="80" zoomScaleSheetLayoutView="80" zoomScalePageLayoutView="50" workbookViewId="0"/>
  </sheetViews>
  <sheetFormatPr defaultColWidth="9" defaultRowHeight="13.8" x14ac:dyDescent="0.25"/>
  <cols>
    <col min="1" max="1" width="2.109375" style="5" customWidth="1"/>
    <col min="2" max="2" width="53" style="236" customWidth="1"/>
    <col min="3" max="3" width="25.6640625" style="5" customWidth="1"/>
    <col min="4" max="4" width="2.109375" style="5" customWidth="1"/>
    <col min="5" max="5" width="40.6640625" style="5" customWidth="1"/>
    <col min="6" max="6" width="13.109375" style="5" bestFit="1" customWidth="1"/>
    <col min="7" max="16384" width="9" style="5"/>
  </cols>
  <sheetData>
    <row r="1" spans="1:10" ht="14.4" thickBot="1" x14ac:dyDescent="0.3"/>
    <row r="2" spans="1:10" s="7" customFormat="1" ht="33" x14ac:dyDescent="0.6">
      <c r="B2" s="409" t="str">
        <f>VLOOKUP(Input!$C$11, '2020Data'!$A$1:$DZ$83,122,0)</f>
        <v>NW Regional</v>
      </c>
      <c r="C2" s="410"/>
      <c r="D2" s="410"/>
      <c r="E2" s="410"/>
      <c r="F2" s="411"/>
      <c r="G2" s="6"/>
      <c r="H2" s="6"/>
      <c r="I2" s="6"/>
      <c r="J2" s="6"/>
    </row>
    <row r="3" spans="1:10" s="7" customFormat="1" ht="18" thickBot="1" x14ac:dyDescent="0.35">
      <c r="B3" s="412" t="s">
        <v>3277</v>
      </c>
      <c r="C3" s="413"/>
      <c r="D3" s="413"/>
      <c r="E3" s="413"/>
      <c r="F3" s="414"/>
      <c r="G3" s="6"/>
      <c r="H3" s="6"/>
      <c r="I3" s="6"/>
      <c r="J3" s="6"/>
    </row>
    <row r="4" spans="1:10" ht="15" customHeight="1" x14ac:dyDescent="0.25">
      <c r="B4" s="405" t="s">
        <v>1961</v>
      </c>
      <c r="C4" s="406"/>
      <c r="D4" s="8"/>
      <c r="E4" s="405" t="s">
        <v>1970</v>
      </c>
      <c r="F4" s="406"/>
    </row>
    <row r="5" spans="1:10" ht="15" customHeight="1" x14ac:dyDescent="0.25">
      <c r="B5" s="237" t="s">
        <v>1949</v>
      </c>
      <c r="C5" s="71" t="str">
        <f>VLOOKUP(Input!$C$11,'2020Data'!$A$1:$DX$83,1)</f>
        <v>NW REGIONAL</v>
      </c>
      <c r="D5" s="259"/>
      <c r="E5" s="9" t="s">
        <v>1971</v>
      </c>
      <c r="F5" s="10">
        <f>VLOOKUP(Input!$C$11,'2020Data'!$A$1:$DX$83,52,0)</f>
        <v>332109</v>
      </c>
    </row>
    <row r="6" spans="1:10" x14ac:dyDescent="0.25">
      <c r="B6" s="237" t="s">
        <v>1950</v>
      </c>
      <c r="C6" s="71" t="str">
        <f>VLOOKUP(Input!$C$11,'2020Data'!$A$1:$DX$85,123,0)</f>
        <v>SURRY</v>
      </c>
      <c r="D6" s="259"/>
      <c r="E6" s="9" t="s">
        <v>2003</v>
      </c>
      <c r="F6" s="10">
        <f>VLOOKUP(Input!$C$11,'2020Data'!$A$1:$DX$83,54,0)</f>
        <v>6601</v>
      </c>
    </row>
    <row r="7" spans="1:10" ht="15" customHeight="1" x14ac:dyDescent="0.25">
      <c r="B7" s="237" t="s">
        <v>1959</v>
      </c>
      <c r="C7" s="71" t="str">
        <f>VLOOKUP(Input!$C$11,'2020Data'!$A$1:$DX$85,119,0)</f>
        <v>Regional</v>
      </c>
      <c r="D7" s="259"/>
      <c r="E7" s="9" t="s">
        <v>2004</v>
      </c>
      <c r="F7" s="10">
        <f>VLOOKUP(Input!$C$11,'2020Data'!$A$1:$DX$83,56,0)</f>
        <v>15248</v>
      </c>
    </row>
    <row r="8" spans="1:10" ht="15" customHeight="1" x14ac:dyDescent="0.25">
      <c r="B8" s="237" t="s">
        <v>1993</v>
      </c>
      <c r="C8" s="74">
        <f>VLOOKUP(Input!$C$11,'2020Data'!$A$1:$DX$83,3)</f>
        <v>169664</v>
      </c>
      <c r="D8" s="259"/>
      <c r="E8" s="9" t="s">
        <v>1972</v>
      </c>
      <c r="F8" s="10">
        <f>VLOOKUP(Input!$C$11,'2020Data'!$A$1:$DX$83,58,0)</f>
        <v>73451</v>
      </c>
    </row>
    <row r="9" spans="1:10" ht="15" customHeight="1" x14ac:dyDescent="0.25">
      <c r="B9" s="237" t="s">
        <v>1994</v>
      </c>
      <c r="C9" s="13">
        <f>VLOOKUP(Input!$C$11,'2020Data'!$A$1:$DX$83,4,0)</f>
        <v>13</v>
      </c>
      <c r="D9" s="259"/>
      <c r="E9" s="9" t="s">
        <v>2005</v>
      </c>
      <c r="F9" s="10">
        <f>VLOOKUP(Input!$C$11,'2020Data'!$A$1:$DX$83,55,0)</f>
        <v>6601</v>
      </c>
    </row>
    <row r="10" spans="1:10" ht="15" customHeight="1" thickBot="1" x14ac:dyDescent="0.3">
      <c r="B10" s="238" t="s">
        <v>1995</v>
      </c>
      <c r="C10" s="72">
        <f>VLOOKUP(Input!$C$11,'2020Data'!$A$1:$DX$83,5,0)</f>
        <v>1</v>
      </c>
      <c r="D10" s="259"/>
      <c r="E10" s="9" t="s">
        <v>2006</v>
      </c>
      <c r="F10" s="10">
        <f>VLOOKUP(Input!$C$11,'2020Data'!$A$1:$DX$83,57,0)</f>
        <v>1760</v>
      </c>
    </row>
    <row r="11" spans="1:10" ht="15" customHeight="1" x14ac:dyDescent="0.25">
      <c r="B11" s="237"/>
      <c r="C11" s="259"/>
      <c r="D11" s="259"/>
      <c r="E11" s="9" t="s">
        <v>2954</v>
      </c>
      <c r="F11" s="10">
        <f>VLOOKUP(Input!$C$11,'2020Data'!$A$1:$DX$83,59,0)</f>
        <v>1</v>
      </c>
    </row>
    <row r="12" spans="1:10" ht="15" customHeight="1" thickBot="1" x14ac:dyDescent="0.3">
      <c r="B12" s="237"/>
      <c r="C12" s="259"/>
      <c r="D12" s="259"/>
      <c r="E12" s="14" t="s">
        <v>2007</v>
      </c>
      <c r="F12" s="11">
        <f>VLOOKUP(Input!$C$11,'2020Data'!$A$1:$DX$83,63,0)</f>
        <v>442369</v>
      </c>
    </row>
    <row r="13" spans="1:10" ht="15" customHeight="1" x14ac:dyDescent="0.25">
      <c r="A13" s="259"/>
      <c r="B13" s="405" t="s">
        <v>1962</v>
      </c>
      <c r="C13" s="406"/>
      <c r="D13" s="259"/>
      <c r="E13" s="9" t="s">
        <v>2008</v>
      </c>
      <c r="F13" s="10">
        <f>VLOOKUP(Input!$C$11,'2020Data'!$A$1:$DX$83,65,0)</f>
        <v>0</v>
      </c>
    </row>
    <row r="14" spans="1:10" ht="15" customHeight="1" x14ac:dyDescent="0.25">
      <c r="B14" s="237" t="s">
        <v>1963</v>
      </c>
      <c r="C14" s="15">
        <f>VLOOKUP(Input!$C$11,'2020Data'!$A$1:$DX$83,10,0)</f>
        <v>1320844</v>
      </c>
      <c r="D14" s="259"/>
      <c r="E14" s="9" t="s">
        <v>1984</v>
      </c>
      <c r="F14" s="12">
        <f>VLOOKUP(Input!$C$11,'2020Data'!$A$1:$DX$83,53,0)</f>
        <v>1.9574511976612599</v>
      </c>
    </row>
    <row r="15" spans="1:10" ht="15" customHeight="1" thickBot="1" x14ac:dyDescent="0.3">
      <c r="B15" s="237" t="s">
        <v>1964</v>
      </c>
      <c r="C15" s="15">
        <f>VLOOKUP(Input!$C$11,'2020Data'!$A$1:$DX$83,11,0)</f>
        <v>454512</v>
      </c>
      <c r="D15" s="259"/>
      <c r="E15" s="16" t="s">
        <v>1929</v>
      </c>
      <c r="F15" s="68">
        <f>VLOOKUP(Input!$C$11,'2020Data'!$A$1:$DX$83,64,0)</f>
        <v>2.6073238872123725</v>
      </c>
    </row>
    <row r="16" spans="1:10" ht="15" customHeight="1" thickBot="1" x14ac:dyDescent="0.35">
      <c r="B16" s="239" t="s">
        <v>1965</v>
      </c>
      <c r="C16" s="15">
        <f>VLOOKUP(Input!$C$11,'2020Data'!$A$1:$DX$83,12,0)</f>
        <v>1775356</v>
      </c>
      <c r="D16" s="259"/>
      <c r="E16" s="259"/>
      <c r="F16" s="13"/>
    </row>
    <row r="17" spans="2:6" ht="15" customHeight="1" x14ac:dyDescent="0.25">
      <c r="B17" s="237" t="s">
        <v>1996</v>
      </c>
      <c r="C17" s="15">
        <f>VLOOKUP(Input!$C$11,'2020Data'!$A$1:$DX$83,14,0)</f>
        <v>99263</v>
      </c>
      <c r="D17" s="259"/>
      <c r="E17" s="405" t="s">
        <v>1973</v>
      </c>
      <c r="F17" s="406"/>
    </row>
    <row r="18" spans="2:6" ht="15" customHeight="1" x14ac:dyDescent="0.25">
      <c r="B18" s="237" t="s">
        <v>1997</v>
      </c>
      <c r="C18" s="15">
        <f>VLOOKUP(Input!$C$11,'2020Data'!$A$1:$DX$83,15,0)</f>
        <v>38024</v>
      </c>
      <c r="D18" s="259"/>
      <c r="E18" s="9" t="s">
        <v>3138</v>
      </c>
      <c r="F18" s="10">
        <f>VLOOKUP(Input!$C$11,'2020Data'!$A$1:$DX$83,68,0)</f>
        <v>139514</v>
      </c>
    </row>
    <row r="19" spans="2:6" ht="15" customHeight="1" x14ac:dyDescent="0.25">
      <c r="B19" s="237" t="s">
        <v>1998</v>
      </c>
      <c r="C19" s="15">
        <f>VLOOKUP(Input!$C$11,'2020Data'!$A$1:$DX$83,16,0)</f>
        <v>8953</v>
      </c>
      <c r="D19" s="259"/>
      <c r="E19" s="9" t="s">
        <v>3139</v>
      </c>
      <c r="F19" s="10">
        <f>VLOOKUP(Input!$C$11,'2020Data'!$A$1:$DX$83,70,0)</f>
        <v>338250</v>
      </c>
    </row>
    <row r="20" spans="2:6" ht="15" customHeight="1" x14ac:dyDescent="0.3">
      <c r="B20" s="239" t="s">
        <v>1966</v>
      </c>
      <c r="C20" s="15">
        <f>VLOOKUP(Input!$C$11,'2020Data'!$A$1:$DX$83,17,0)</f>
        <v>146240</v>
      </c>
      <c r="D20" s="259"/>
      <c r="E20" s="9" t="s">
        <v>3140</v>
      </c>
      <c r="F20" s="10">
        <f>VLOOKUP(Input!$C$11,'2020Data'!$A$1:$DX$83,71,0)</f>
        <v>53559</v>
      </c>
    </row>
    <row r="21" spans="2:6" ht="15" customHeight="1" x14ac:dyDescent="0.25">
      <c r="B21" s="237" t="s">
        <v>1967</v>
      </c>
      <c r="C21" s="15">
        <f>VLOOKUP(Input!$C$11,'2020Data'!$A$1:$DX$83,19,0)</f>
        <v>505993</v>
      </c>
      <c r="D21" s="259"/>
      <c r="E21" s="9" t="s">
        <v>3141</v>
      </c>
      <c r="F21" s="10">
        <f>VLOOKUP(Input!$C$11,'2020Data'!$A$1:$DX$83,72,0)</f>
        <v>391809</v>
      </c>
    </row>
    <row r="22" spans="2:6" ht="15" customHeight="1" x14ac:dyDescent="0.25">
      <c r="B22" s="240" t="s">
        <v>1981</v>
      </c>
      <c r="C22" s="65">
        <f>VLOOKUP(Input!$C$11,'2020Data'!$A$1:$DX$83,22,0)</f>
        <v>2427589</v>
      </c>
      <c r="D22" s="259"/>
      <c r="E22" s="9" t="s">
        <v>2009</v>
      </c>
      <c r="F22" s="10">
        <f>VLOOKUP(Input!$C$11,'2020Data'!$A$1:$DX$83,89,0)</f>
        <v>67633</v>
      </c>
    </row>
    <row r="23" spans="2:6" ht="15" customHeight="1" x14ac:dyDescent="0.25">
      <c r="B23" s="237" t="s">
        <v>1980</v>
      </c>
      <c r="C23" s="69">
        <f>VLOOKUP(Input!$C$11,'2020Data'!$A$1:$DX$83,13)</f>
        <v>10.463952282157676</v>
      </c>
      <c r="D23" s="259"/>
      <c r="E23" s="9"/>
      <c r="F23" s="10"/>
    </row>
    <row r="24" spans="2:6" ht="15" customHeight="1" x14ac:dyDescent="0.25">
      <c r="B24" s="237" t="s">
        <v>2916</v>
      </c>
      <c r="C24" s="69">
        <f>VLOOKUP(Input!$C$11,'2020Data'!$A$1:$DX$83,25,0)</f>
        <v>6.0240839779715595E-2</v>
      </c>
      <c r="D24" s="259"/>
      <c r="E24" s="9" t="s">
        <v>2010</v>
      </c>
      <c r="F24" s="10">
        <f>VLOOKUP(Input!$C$11,'2020Data'!$A$1:$DX$83,66,0)</f>
        <v>129530</v>
      </c>
    </row>
    <row r="25" spans="2:6" ht="15" customHeight="1" x14ac:dyDescent="0.25">
      <c r="B25" s="237" t="s">
        <v>2917</v>
      </c>
      <c r="C25" s="69">
        <f>VLOOKUP(Input!$C$11,'2020Data'!$A$1:$DX$83,23,0)</f>
        <v>14.308215060354582</v>
      </c>
      <c r="D25" s="259"/>
      <c r="E25" s="9" t="s">
        <v>2011</v>
      </c>
      <c r="F25" s="10">
        <f>VLOOKUP(Input!$C$11,'2020Data'!$A$1:$DX$83,87,0)</f>
        <v>244528</v>
      </c>
    </row>
    <row r="26" spans="2:6" ht="15" customHeight="1" x14ac:dyDescent="0.25">
      <c r="B26" s="237" t="s">
        <v>2918</v>
      </c>
      <c r="C26" s="70">
        <f>VLOOKUP(Input!$C$11,'2020Data'!$A$1:$DX$83,24,0)</f>
        <v>0.73132478356097341</v>
      </c>
      <c r="D26" s="259"/>
      <c r="E26" s="9" t="s">
        <v>2012</v>
      </c>
      <c r="F26" s="10">
        <f>VLOOKUP(Input!$C$11,'2020Data'!$A$1:$DX$83,81,0)</f>
        <v>3651</v>
      </c>
    </row>
    <row r="27" spans="2:6" ht="15.75" customHeight="1" x14ac:dyDescent="0.25">
      <c r="B27" s="237" t="s">
        <v>2919</v>
      </c>
      <c r="C27" s="70">
        <f>VLOOKUP(Input!$C$11,'2020Data'!$A$1:$DX$83,25,0)</f>
        <v>6.0240839779715595E-2</v>
      </c>
      <c r="D27" s="259"/>
      <c r="E27" s="9" t="s">
        <v>2013</v>
      </c>
      <c r="F27" s="10">
        <f>VLOOKUP(Input!$C$11,'2020Data'!$A$1:$DX$83,85,0)</f>
        <v>140871</v>
      </c>
    </row>
    <row r="28" spans="2:6" ht="27.75" customHeight="1" x14ac:dyDescent="0.25">
      <c r="B28" s="237" t="s">
        <v>2920</v>
      </c>
      <c r="C28" s="70">
        <f>VLOOKUP(Input!$C$11,'2020Data'!$A$1:$DX$83,26,0)</f>
        <v>0.20843437665931094</v>
      </c>
      <c r="D28" s="259"/>
      <c r="E28" s="9" t="s">
        <v>3184</v>
      </c>
      <c r="F28" s="12">
        <f>VLOOKUP(Input!$C$11,'2020Data'!$A$1:$DX$83,73,0)</f>
        <v>2.3093231327800829</v>
      </c>
    </row>
    <row r="29" spans="2:6" x14ac:dyDescent="0.25">
      <c r="B29" s="237" t="s">
        <v>1960</v>
      </c>
      <c r="C29" s="15">
        <f>VLOOKUP(Input!$C$11,'2020Data'!$A$1:$DX$83,28,0)</f>
        <v>0</v>
      </c>
      <c r="D29" s="259"/>
      <c r="E29" s="9" t="s">
        <v>3185</v>
      </c>
      <c r="F29" s="10">
        <f>VLOOKUP(Input!$C$11,'2020Data'!$A$1:$DX$83,74,0)</f>
        <v>8130.5042539946053</v>
      </c>
    </row>
    <row r="30" spans="2:6" x14ac:dyDescent="0.25">
      <c r="B30" s="407" t="s">
        <v>1982</v>
      </c>
      <c r="C30" s="408"/>
      <c r="D30" s="259"/>
      <c r="E30" s="9" t="s">
        <v>3186</v>
      </c>
      <c r="F30" s="12">
        <f>VLOOKUP(Input!$C$11,'2020Data'!$A$1:$DX$83,75,0)</f>
        <v>15.29966027568433</v>
      </c>
    </row>
    <row r="31" spans="2:6" x14ac:dyDescent="0.25">
      <c r="B31" s="237" t="s">
        <v>3176</v>
      </c>
      <c r="C31" s="15">
        <f>VLOOKUP(Input!$C$11,'2020Data'!$A$1:$DX$83,29,0)</f>
        <v>0</v>
      </c>
      <c r="D31" s="259"/>
      <c r="E31" s="9" t="s">
        <v>3187</v>
      </c>
      <c r="F31" s="12">
        <f>VLOOKUP(Input!$C$11,'2020Data'!$A$1:$DX$83,76,0)</f>
        <v>1.6023073022312373</v>
      </c>
    </row>
    <row r="32" spans="2:6" ht="15" customHeight="1" x14ac:dyDescent="0.25">
      <c r="B32" s="237" t="s">
        <v>2933</v>
      </c>
      <c r="C32" s="15">
        <f>VLOOKUP(Input!$C$11,'2020Data'!$A$1:$DX$83,30,0)</f>
        <v>0</v>
      </c>
      <c r="D32" s="259"/>
      <c r="E32" s="9" t="s">
        <v>1985</v>
      </c>
      <c r="F32" s="12">
        <f>VLOOKUP(Input!$C$11,'2020Data'!$A$1:$DX$83,77,0)</f>
        <v>0.88570627688649073</v>
      </c>
    </row>
    <row r="33" spans="1:7" ht="15" customHeight="1" thickBot="1" x14ac:dyDescent="0.3">
      <c r="B33" s="238" t="s">
        <v>2977</v>
      </c>
      <c r="C33" s="67">
        <f>VLOOKUP(Input!$C$11,'2020Data'!$A$1:$DX$83,31,0)</f>
        <v>0</v>
      </c>
      <c r="D33" s="259"/>
      <c r="E33" s="9" t="s">
        <v>1992</v>
      </c>
      <c r="F33" s="12">
        <f>VLOOKUP(Input!$C$11,'2020Data'!$A$1:$DX$83,67,0)</f>
        <v>0.76345011316484346</v>
      </c>
    </row>
    <row r="34" spans="1:7" ht="15" customHeight="1" thickBot="1" x14ac:dyDescent="0.3">
      <c r="B34" s="237"/>
      <c r="C34" s="259"/>
      <c r="D34" s="259"/>
      <c r="E34" s="9" t="s">
        <v>1986</v>
      </c>
      <c r="F34" s="12">
        <f>VLOOKUP(Input!$C$11,'2020Data'!$A$1:$DX$83,86,0)</f>
        <v>0.83029399283289329</v>
      </c>
    </row>
    <row r="35" spans="1:7" ht="15" customHeight="1" thickBot="1" x14ac:dyDescent="0.3">
      <c r="B35" s="405" t="s">
        <v>1968</v>
      </c>
      <c r="C35" s="406"/>
      <c r="D35" s="259"/>
      <c r="E35" s="16" t="s">
        <v>1987</v>
      </c>
      <c r="F35" s="68">
        <f>VLOOKUP(Input!$C$11,'2020Data'!$A$1:$DX$83,88,0)</f>
        <v>1.4412485854394568</v>
      </c>
    </row>
    <row r="36" spans="1:7" ht="15" customHeight="1" thickBot="1" x14ac:dyDescent="0.3">
      <c r="A36" s="259"/>
      <c r="B36" s="237" t="s">
        <v>1949</v>
      </c>
      <c r="C36" s="15">
        <f>VLOOKUP(Input!$C$11,'2020Data'!$A$1:$DX$83,32,0)</f>
        <v>2427589</v>
      </c>
      <c r="D36" s="259"/>
      <c r="E36" s="259"/>
      <c r="F36" s="260"/>
    </row>
    <row r="37" spans="1:7" ht="15" customHeight="1" x14ac:dyDescent="0.25">
      <c r="B37" s="237" t="s">
        <v>1950</v>
      </c>
      <c r="C37" s="15">
        <f>VLOOKUP(Input!$C$11,'2020Data'!$A$1:$DX$83,33,0)</f>
        <v>1639491</v>
      </c>
      <c r="D37" s="259"/>
      <c r="E37" s="405" t="s">
        <v>1975</v>
      </c>
      <c r="F37" s="406"/>
    </row>
    <row r="38" spans="1:7" ht="15" customHeight="1" x14ac:dyDescent="0.3">
      <c r="B38" s="239" t="s">
        <v>2978</v>
      </c>
      <c r="C38" s="15">
        <f>VLOOKUP(Input!$C$11,'2020Data'!$A$1:$DX$83,35,0)</f>
        <v>4067080</v>
      </c>
      <c r="D38" s="259"/>
      <c r="E38" s="9" t="s">
        <v>1974</v>
      </c>
      <c r="F38" s="12">
        <f>VLOOKUP(Input!$C$11,'2020Data'!$A$1:$DX$83,93,0)</f>
        <v>2</v>
      </c>
      <c r="G38" s="259"/>
    </row>
    <row r="39" spans="1:7" ht="15" customHeight="1" x14ac:dyDescent="0.25">
      <c r="B39" s="237" t="s">
        <v>1999</v>
      </c>
      <c r="C39" s="15">
        <f>VLOOKUP(Input!$C$11,'2020Data'!$A$1:$DX$83,39,0)</f>
        <v>133559</v>
      </c>
      <c r="D39" s="259"/>
      <c r="E39" s="9" t="s">
        <v>2014</v>
      </c>
      <c r="F39" s="12">
        <f>VLOOKUP(Input!$C$11,'2020Data'!$A$1:$DX$83,95,0)</f>
        <v>0</v>
      </c>
    </row>
    <row r="40" spans="1:7" ht="15" customHeight="1" x14ac:dyDescent="0.25">
      <c r="B40" s="237" t="s">
        <v>2950</v>
      </c>
      <c r="C40" s="15">
        <f>VLOOKUP(Input!$C$11,'2020Data'!$A$1:$DX$83,38,0)</f>
        <v>4000</v>
      </c>
      <c r="D40" s="259"/>
      <c r="E40" s="9" t="s">
        <v>2015</v>
      </c>
      <c r="F40" s="12">
        <f>VLOOKUP(Input!$C$11,'2020Data'!$A$1:$DX$83,96,0)</f>
        <v>46.19</v>
      </c>
    </row>
    <row r="41" spans="1:7" ht="15" customHeight="1" x14ac:dyDescent="0.25">
      <c r="B41" s="237" t="s">
        <v>2000</v>
      </c>
      <c r="C41" s="15">
        <f>VLOOKUP(Input!$C$11,'2020Data'!$A$1:$DX$83,37,0)</f>
        <v>454548</v>
      </c>
      <c r="D41" s="259"/>
      <c r="E41" s="9" t="s">
        <v>2016</v>
      </c>
      <c r="F41" s="12">
        <f>VLOOKUP(Input!$C$11,'2020Data'!$A$1:$DX$83,97,0)</f>
        <v>48.19</v>
      </c>
    </row>
    <row r="42" spans="1:7" ht="15" customHeight="1" x14ac:dyDescent="0.25">
      <c r="B42" s="237" t="s">
        <v>2001</v>
      </c>
      <c r="C42" s="15">
        <f>VLOOKUP(Input!$C$11,'2020Data'!$A$1:$DX$83,40,0)</f>
        <v>0</v>
      </c>
      <c r="D42" s="259"/>
      <c r="E42" s="9" t="s">
        <v>3142</v>
      </c>
      <c r="F42" s="15">
        <f>VLOOKUP(Input!$C$11,'2020Data'!$A$1:$DX$83,100,0)</f>
        <v>67121</v>
      </c>
    </row>
    <row r="43" spans="1:7" ht="15" customHeight="1" x14ac:dyDescent="0.25">
      <c r="B43" s="240" t="s">
        <v>1969</v>
      </c>
      <c r="C43" s="65">
        <f>VLOOKUP(Input!$C$11,'2020Data'!$A$1:$DX$83,42,0)</f>
        <v>2534448</v>
      </c>
      <c r="D43" s="259"/>
      <c r="E43" s="9" t="s">
        <v>2953</v>
      </c>
      <c r="F43" s="10">
        <f>VLOOKUP(Input!$C$11,'2020Data'!$A$1:$DX$83,99,0)</f>
        <v>4751</v>
      </c>
    </row>
    <row r="44" spans="1:7" ht="15" customHeight="1" x14ac:dyDescent="0.25">
      <c r="B44" s="237" t="s">
        <v>2934</v>
      </c>
      <c r="C44" s="66">
        <f>VLOOKUP(Input!$C$11,'2020Data'!$A$1:$DX$83,36)</f>
        <v>23.97137872500943</v>
      </c>
      <c r="D44" s="259"/>
      <c r="E44" s="9" t="s">
        <v>2017</v>
      </c>
      <c r="F44" s="12">
        <f>VLOOKUP(Input!$C$11,'2020Data'!$A$1:$DX$83,94,0)</f>
        <v>0</v>
      </c>
    </row>
    <row r="45" spans="1:7" ht="15" customHeight="1" thickBot="1" x14ac:dyDescent="0.3">
      <c r="B45" s="237" t="s">
        <v>1983</v>
      </c>
      <c r="C45" s="66">
        <f>VLOOKUP(Input!$C$11,'2020Data'!$A$1:$DX$83,43)</f>
        <v>14.938042248208223</v>
      </c>
      <c r="D45" s="259"/>
      <c r="E45" s="16" t="s">
        <v>2018</v>
      </c>
      <c r="F45" s="61">
        <f>VLOOKUP(Input!$C$11,'2020Data'!$A$1:$DX$83,98,0)</f>
        <v>3520.7304420004152</v>
      </c>
    </row>
    <row r="46" spans="1:7" ht="15" customHeight="1" x14ac:dyDescent="0.25">
      <c r="B46" s="407" t="s">
        <v>1988</v>
      </c>
      <c r="C46" s="408"/>
      <c r="D46" s="259"/>
      <c r="E46" s="277"/>
      <c r="F46" s="278"/>
    </row>
    <row r="47" spans="1:7" ht="15" customHeight="1" thickBot="1" x14ac:dyDescent="0.3">
      <c r="B47" s="238" t="s">
        <v>1979</v>
      </c>
      <c r="C47" s="67">
        <f>VLOOKUP(Input!$C$11,'2020Data'!$A$1:$DX$83,51,0)</f>
        <v>0</v>
      </c>
      <c r="D47" s="259"/>
      <c r="E47" s="16"/>
      <c r="F47" s="72"/>
    </row>
    <row r="48" spans="1:7" ht="15" customHeight="1" x14ac:dyDescent="0.25">
      <c r="B48" s="237"/>
      <c r="C48" s="259"/>
      <c r="D48" s="259"/>
      <c r="E48" s="405" t="s">
        <v>2976</v>
      </c>
      <c r="F48" s="406"/>
    </row>
    <row r="49" spans="1:6" ht="15" customHeight="1" thickBot="1" x14ac:dyDescent="0.3">
      <c r="B49" s="237"/>
      <c r="C49" s="259"/>
      <c r="D49" s="259"/>
      <c r="E49" s="9" t="s">
        <v>2019</v>
      </c>
      <c r="F49" s="10">
        <f>VLOOKUP(Input!$C$11,'2020Data'!$A$1:$DX$83,104,0)</f>
        <v>18271</v>
      </c>
    </row>
    <row r="50" spans="1:6" ht="15" customHeight="1" thickBot="1" x14ac:dyDescent="0.3">
      <c r="B50" s="405" t="s">
        <v>1978</v>
      </c>
      <c r="C50" s="406"/>
      <c r="D50" s="259"/>
      <c r="E50" s="16" t="s">
        <v>2020</v>
      </c>
      <c r="F50" s="61">
        <f>VLOOKUP(Input!$C$11,'2020Data'!$A$1:$DX$83,105,0)</f>
        <v>22602</v>
      </c>
    </row>
    <row r="51" spans="1:6" ht="15" customHeight="1" thickBot="1" x14ac:dyDescent="0.3">
      <c r="B51" s="237" t="s">
        <v>3193</v>
      </c>
      <c r="C51" s="62">
        <f>VLOOKUP(Input!$C$11,'2020Data'!$A$1:$DX$83,6,0)</f>
        <v>98120</v>
      </c>
      <c r="D51" s="259"/>
      <c r="E51" s="259"/>
      <c r="F51" s="13"/>
    </row>
    <row r="52" spans="1:6" ht="15" customHeight="1" x14ac:dyDescent="0.25">
      <c r="A52" s="259"/>
      <c r="B52" s="237" t="s">
        <v>2002</v>
      </c>
      <c r="C52" s="63">
        <f>VLOOKUP(Input!$C$11,'2020Data'!$A$1:$DX$83,9,0)</f>
        <v>0.61075000000000002</v>
      </c>
      <c r="D52" s="259"/>
      <c r="E52" s="405" t="s">
        <v>1976</v>
      </c>
      <c r="F52" s="406"/>
    </row>
    <row r="53" spans="1:6" ht="15" customHeight="1" thickBot="1" x14ac:dyDescent="0.3">
      <c r="B53" s="238" t="s">
        <v>3194</v>
      </c>
      <c r="C53" s="64">
        <f>VLOOKUP(Input!$C$11,'2020Data'!$A$1:$DX$83,110,0)</f>
        <v>33258</v>
      </c>
      <c r="D53" s="259"/>
      <c r="E53" s="9" t="s">
        <v>2021</v>
      </c>
      <c r="F53" s="10">
        <f>VLOOKUP(Input!$C$11,'2020Data'!$A$1:$DX$83,106)</f>
        <v>158</v>
      </c>
    </row>
    <row r="54" spans="1:6" ht="15" customHeight="1" x14ac:dyDescent="0.25">
      <c r="D54" s="259"/>
      <c r="E54" s="9" t="s">
        <v>2022</v>
      </c>
      <c r="F54" s="10">
        <f>VLOOKUP(Input!$C$11,'2020Data'!$A$1:$DX$83,107)</f>
        <v>55105</v>
      </c>
    </row>
    <row r="55" spans="1:6" ht="15" customHeight="1" x14ac:dyDescent="0.25">
      <c r="D55" s="259"/>
      <c r="E55" s="9" t="s">
        <v>1977</v>
      </c>
      <c r="F55" s="73">
        <f>VLOOKUP(Input!$C$11,'2020Data'!$A$1:$DX$83,108)</f>
        <v>120740</v>
      </c>
    </row>
    <row r="56" spans="1:6" ht="15" customHeight="1" thickBot="1" x14ac:dyDescent="0.3">
      <c r="D56" s="259"/>
      <c r="E56" s="16" t="s">
        <v>2023</v>
      </c>
      <c r="F56" s="61">
        <f>VLOOKUP(Input!$C$11,'2020Data'!$A$1:$DX$83,109)</f>
        <v>89374</v>
      </c>
    </row>
    <row r="57" spans="1:6" ht="15" customHeight="1" x14ac:dyDescent="0.25">
      <c r="D57" s="259"/>
    </row>
    <row r="58" spans="1:6" ht="15" customHeight="1" x14ac:dyDescent="0.25">
      <c r="D58" s="259"/>
    </row>
  </sheetData>
  <mergeCells count="13">
    <mergeCell ref="B2:F2"/>
    <mergeCell ref="B3:F3"/>
    <mergeCell ref="B4:C4"/>
    <mergeCell ref="E4:F4"/>
    <mergeCell ref="B13:C13"/>
    <mergeCell ref="E52:F52"/>
    <mergeCell ref="E17:F17"/>
    <mergeCell ref="B35:C35"/>
    <mergeCell ref="E37:F37"/>
    <mergeCell ref="B50:C50"/>
    <mergeCell ref="E48:F48"/>
    <mergeCell ref="B30:C30"/>
    <mergeCell ref="B46:C46"/>
  </mergeCells>
  <printOptions horizontalCentered="1"/>
  <pageMargins left="0.37187500000000001" right="0.37187500000000001" top="0.92" bottom="0.25" header="0.28000000000000003" footer="0.3"/>
  <pageSetup scale="70" orientation="portrait" r:id="rId1"/>
  <headerFooter>
    <oddFooter>&amp;L&amp;"Arial,Regular"&amp;10Information reported in 2018 Texas Public Libraries Annual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5:T227"/>
  <sheetViews>
    <sheetView showRuler="0" topLeftCell="A15" zoomScaleNormal="100" zoomScaleSheetLayoutView="50" workbookViewId="0"/>
  </sheetViews>
  <sheetFormatPr defaultColWidth="9" defaultRowHeight="18" x14ac:dyDescent="0.35"/>
  <cols>
    <col min="1" max="1" width="3" style="325" customWidth="1"/>
    <col min="2" max="2" width="9" style="326"/>
    <col min="3" max="6" width="9" style="325"/>
    <col min="7" max="7" width="9" style="334"/>
    <col min="8" max="8" width="9" style="335"/>
    <col min="9" max="9" width="9" style="334"/>
    <col min="10" max="16384" width="9" style="325"/>
  </cols>
  <sheetData>
    <row r="5" spans="1:20" s="324" customFormat="1" ht="21" x14ac:dyDescent="0.4">
      <c r="B5" s="416" t="s">
        <v>3285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T5" s="325"/>
    </row>
    <row r="6" spans="1:20" s="324" customFormat="1" ht="28.8" x14ac:dyDescent="0.4">
      <c r="B6" s="417" t="str">
        <f>VLOOKUP(Input!$C$11,'2020Data'!$A$2:$DZ$83,122,0)</f>
        <v>NW Regional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T6" s="325"/>
    </row>
    <row r="7" spans="1:20" s="324" customFormat="1" ht="19.95" customHeight="1" x14ac:dyDescent="0.45">
      <c r="A7" s="325"/>
      <c r="B7" s="326"/>
      <c r="C7" s="327"/>
      <c r="D7" s="327"/>
      <c r="E7" s="327"/>
      <c r="F7" s="327"/>
      <c r="G7" s="328"/>
      <c r="H7" s="329"/>
      <c r="I7" s="328"/>
      <c r="J7" s="327"/>
      <c r="K7" s="327"/>
      <c r="T7" s="325"/>
    </row>
    <row r="8" spans="1:20" s="324" customFormat="1" ht="19.95" customHeight="1" x14ac:dyDescent="0.45">
      <c r="A8" s="325"/>
      <c r="B8" s="326"/>
      <c r="C8" s="327"/>
      <c r="D8" s="327"/>
      <c r="E8" s="327"/>
      <c r="F8" s="327"/>
      <c r="G8" s="328"/>
      <c r="H8" s="329"/>
      <c r="I8" s="328"/>
      <c r="J8" s="327"/>
      <c r="K8" s="327"/>
      <c r="T8" s="325"/>
    </row>
    <row r="9" spans="1:20" s="324" customFormat="1" ht="19.95" customHeight="1" x14ac:dyDescent="0.45">
      <c r="A9" s="325"/>
      <c r="B9" s="326"/>
      <c r="C9" s="327"/>
      <c r="D9" s="327"/>
      <c r="E9" s="327"/>
      <c r="F9" s="327"/>
      <c r="G9" s="328"/>
      <c r="H9" s="329"/>
      <c r="I9" s="328"/>
      <c r="J9" s="327"/>
      <c r="K9" s="327"/>
      <c r="T9" s="325"/>
    </row>
    <row r="10" spans="1:20" s="324" customFormat="1" ht="19.95" customHeight="1" x14ac:dyDescent="0.45">
      <c r="A10" s="325"/>
      <c r="B10" s="326"/>
      <c r="C10" s="327"/>
      <c r="D10" s="327"/>
      <c r="E10" s="327"/>
      <c r="F10" s="327"/>
      <c r="G10" s="328"/>
      <c r="H10" s="329"/>
      <c r="I10" s="328"/>
      <c r="J10" s="327"/>
      <c r="K10" s="327"/>
      <c r="T10" s="325"/>
    </row>
    <row r="11" spans="1:20" s="324" customFormat="1" ht="19.95" customHeight="1" x14ac:dyDescent="0.45">
      <c r="A11" s="325"/>
      <c r="B11" s="326"/>
      <c r="C11" s="327"/>
      <c r="D11" s="327"/>
      <c r="E11" s="327"/>
      <c r="F11" s="327"/>
      <c r="G11" s="328"/>
      <c r="H11" s="329"/>
      <c r="I11" s="328"/>
      <c r="J11" s="327"/>
      <c r="K11" s="327"/>
      <c r="T11" s="325"/>
    </row>
    <row r="12" spans="1:20" s="324" customFormat="1" ht="19.95" customHeight="1" x14ac:dyDescent="0.45">
      <c r="A12" s="325"/>
      <c r="B12" s="326"/>
      <c r="C12" s="327"/>
      <c r="D12" s="327"/>
      <c r="E12" s="327"/>
      <c r="F12" s="327"/>
      <c r="G12" s="328"/>
      <c r="H12" s="329"/>
      <c r="I12" s="328"/>
      <c r="J12" s="327"/>
      <c r="K12" s="327"/>
      <c r="T12" s="325"/>
    </row>
    <row r="13" spans="1:20" s="331" customFormat="1" ht="25.5" customHeight="1" x14ac:dyDescent="0.5">
      <c r="A13" s="325"/>
      <c r="B13" s="326"/>
      <c r="C13" s="327"/>
      <c r="D13" s="330"/>
      <c r="E13" s="330"/>
      <c r="F13" s="330"/>
      <c r="G13" s="328"/>
      <c r="H13" s="329"/>
      <c r="I13" s="328"/>
      <c r="J13" s="330"/>
      <c r="K13" s="330"/>
      <c r="L13" s="324"/>
      <c r="M13" s="324"/>
      <c r="N13" s="324"/>
      <c r="O13" s="324"/>
    </row>
    <row r="14" spans="1:20" s="331" customFormat="1" ht="16.5" customHeight="1" x14ac:dyDescent="0.5">
      <c r="A14" s="325"/>
      <c r="B14" s="326"/>
      <c r="C14" s="327"/>
      <c r="D14" s="340"/>
      <c r="E14" s="330"/>
      <c r="F14" s="330"/>
      <c r="G14" s="328"/>
      <c r="H14" s="341"/>
      <c r="I14" s="328"/>
      <c r="J14" s="330"/>
      <c r="K14" s="330"/>
      <c r="L14" s="324"/>
      <c r="M14" s="324"/>
      <c r="N14" s="324"/>
      <c r="O14" s="324"/>
    </row>
    <row r="15" spans="1:20" s="332" customFormat="1" ht="43.2" customHeight="1" x14ac:dyDescent="0.3">
      <c r="B15" s="423" t="s">
        <v>2042</v>
      </c>
      <c r="C15" s="423"/>
      <c r="D15" s="418" t="s">
        <v>13</v>
      </c>
      <c r="E15" s="419"/>
      <c r="F15" s="418" t="s">
        <v>1956</v>
      </c>
      <c r="G15" s="419"/>
      <c r="H15" s="418" t="s">
        <v>14</v>
      </c>
      <c r="I15" s="419"/>
      <c r="J15" s="420" t="s">
        <v>2955</v>
      </c>
      <c r="K15" s="421"/>
      <c r="L15" s="422"/>
      <c r="M15" s="342"/>
    </row>
    <row r="16" spans="1:20" ht="7.95" customHeight="1" x14ac:dyDescent="0.35">
      <c r="J16" s="343"/>
    </row>
    <row r="17" spans="2:17" ht="7.95" customHeight="1" x14ac:dyDescent="0.35">
      <c r="J17" s="343"/>
    </row>
    <row r="18" spans="2:17" ht="7.95" customHeight="1" x14ac:dyDescent="0.35">
      <c r="J18" s="343"/>
    </row>
    <row r="19" spans="2:17" ht="7.95" customHeight="1" x14ac:dyDescent="0.35">
      <c r="J19" s="343"/>
    </row>
    <row r="20" spans="2:17" ht="25.5" customHeight="1" x14ac:dyDescent="0.5">
      <c r="B20" s="424" t="s">
        <v>12</v>
      </c>
      <c r="C20" s="424"/>
      <c r="D20" s="424"/>
      <c r="E20" s="369"/>
      <c r="F20" s="366"/>
      <c r="G20" s="367"/>
      <c r="H20" s="368"/>
      <c r="I20" s="367"/>
      <c r="J20" s="366"/>
      <c r="K20" s="366"/>
      <c r="L20" s="366"/>
      <c r="M20" s="366"/>
      <c r="N20" s="366"/>
      <c r="O20" s="366"/>
    </row>
    <row r="21" spans="2:17" ht="19.95" customHeight="1" x14ac:dyDescent="0.35">
      <c r="B21" s="336"/>
    </row>
    <row r="22" spans="2:17" ht="18" customHeight="1" x14ac:dyDescent="0.35">
      <c r="B22" s="336"/>
      <c r="Q22" s="325" t="s">
        <v>1957</v>
      </c>
    </row>
    <row r="23" spans="2:17" ht="18" customHeight="1" x14ac:dyDescent="0.35">
      <c r="B23" s="336"/>
    </row>
    <row r="24" spans="2:17" ht="18" customHeight="1" x14ac:dyDescent="0.35">
      <c r="B24" s="336"/>
    </row>
    <row r="25" spans="2:17" ht="18" customHeight="1" x14ac:dyDescent="0.35">
      <c r="B25" s="336"/>
      <c r="Q25" s="325" t="s">
        <v>1957</v>
      </c>
    </row>
    <row r="26" spans="2:17" ht="18" customHeight="1" x14ac:dyDescent="0.35">
      <c r="B26" s="336"/>
    </row>
    <row r="27" spans="2:17" ht="18" customHeight="1" x14ac:dyDescent="0.35">
      <c r="B27" s="336"/>
    </row>
    <row r="28" spans="2:17" ht="18" customHeight="1" x14ac:dyDescent="0.35">
      <c r="B28" s="336"/>
    </row>
    <row r="29" spans="2:17" ht="18" customHeight="1" x14ac:dyDescent="0.35"/>
    <row r="30" spans="2:17" ht="18" customHeight="1" x14ac:dyDescent="0.35"/>
    <row r="31" spans="2:17" ht="18" customHeight="1" x14ac:dyDescent="0.35"/>
    <row r="32" spans="2:17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spans="8:8" ht="18" customHeight="1" x14ac:dyDescent="0.35"/>
    <row r="50" spans="8:8" ht="18" customHeight="1" x14ac:dyDescent="0.35"/>
    <row r="51" spans="8:8" ht="18" customHeight="1" x14ac:dyDescent="0.35"/>
    <row r="52" spans="8:8" ht="18" customHeight="1" x14ac:dyDescent="0.35"/>
    <row r="53" spans="8:8" ht="18" customHeight="1" x14ac:dyDescent="0.35"/>
    <row r="54" spans="8:8" ht="18" customHeight="1" x14ac:dyDescent="0.35"/>
    <row r="55" spans="8:8" ht="18" customHeight="1" x14ac:dyDescent="0.35"/>
    <row r="56" spans="8:8" ht="18" customHeight="1" x14ac:dyDescent="0.35"/>
    <row r="57" spans="8:8" ht="18" customHeight="1" x14ac:dyDescent="0.35"/>
    <row r="58" spans="8:8" ht="18" customHeight="1" x14ac:dyDescent="0.35"/>
    <row r="59" spans="8:8" ht="18" customHeight="1" x14ac:dyDescent="0.35"/>
    <row r="60" spans="8:8" ht="18" customHeight="1" x14ac:dyDescent="0.35"/>
    <row r="61" spans="8:8" ht="18" customHeight="1" x14ac:dyDescent="0.35">
      <c r="H61" s="337" t="s">
        <v>1989</v>
      </c>
    </row>
    <row r="62" spans="8:8" ht="18" customHeight="1" x14ac:dyDescent="0.35"/>
    <row r="63" spans="8:8" ht="18" customHeight="1" x14ac:dyDescent="0.35"/>
    <row r="64" spans="8:8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spans="2:14" ht="18" customHeight="1" x14ac:dyDescent="0.35"/>
    <row r="82" spans="2:14" ht="18" customHeight="1" x14ac:dyDescent="0.35"/>
    <row r="83" spans="2:14" ht="18" customHeight="1" x14ac:dyDescent="0.35"/>
    <row r="84" spans="2:14" ht="18" customHeight="1" x14ac:dyDescent="0.35"/>
    <row r="85" spans="2:14" ht="18" customHeight="1" x14ac:dyDescent="0.35"/>
    <row r="86" spans="2:14" ht="18" customHeight="1" x14ac:dyDescent="0.35"/>
    <row r="87" spans="2:14" ht="18" customHeight="1" x14ac:dyDescent="0.35"/>
    <row r="88" spans="2:14" ht="18" customHeight="1" x14ac:dyDescent="0.35"/>
    <row r="89" spans="2:14" ht="18" customHeight="1" x14ac:dyDescent="0.35"/>
    <row r="90" spans="2:14" ht="18" customHeight="1" x14ac:dyDescent="0.35"/>
    <row r="91" spans="2:14" ht="18" customHeight="1" x14ac:dyDescent="0.35">
      <c r="H91" s="337" t="s">
        <v>1989</v>
      </c>
    </row>
    <row r="92" spans="2:14" ht="18" customHeight="1" x14ac:dyDescent="0.35"/>
    <row r="93" spans="2:14" ht="18" customHeight="1" x14ac:dyDescent="0.35"/>
    <row r="94" spans="2:14" ht="21.75" customHeight="1" x14ac:dyDescent="0.3">
      <c r="B94" s="425" t="s">
        <v>13</v>
      </c>
      <c r="C94" s="425"/>
      <c r="D94" s="425"/>
      <c r="E94" s="369"/>
      <c r="F94" s="369"/>
      <c r="G94" s="370"/>
      <c r="H94" s="371"/>
      <c r="I94" s="370"/>
      <c r="J94" s="369"/>
      <c r="K94" s="369"/>
      <c r="L94" s="369"/>
      <c r="M94" s="369"/>
      <c r="N94" s="369"/>
    </row>
    <row r="95" spans="2:14" ht="18" customHeight="1" x14ac:dyDescent="0.3">
      <c r="B95" s="344"/>
      <c r="C95" s="344"/>
      <c r="D95" s="344"/>
    </row>
    <row r="96" spans="2:14" ht="18" customHeight="1" x14ac:dyDescent="0.35"/>
    <row r="97" spans="2:14" ht="18" customHeight="1" x14ac:dyDescent="0.3">
      <c r="B97" s="325"/>
    </row>
    <row r="98" spans="2:14" ht="18" customHeight="1" x14ac:dyDescent="0.35"/>
    <row r="99" spans="2:14" ht="18" customHeight="1" x14ac:dyDescent="0.35"/>
    <row r="100" spans="2:14" ht="18" customHeight="1" x14ac:dyDescent="0.35"/>
    <row r="101" spans="2:14" ht="18" customHeight="1" x14ac:dyDescent="0.35"/>
    <row r="104" spans="2:14" x14ac:dyDescent="0.35">
      <c r="B104" s="338"/>
    </row>
    <row r="109" spans="2:14" x14ac:dyDescent="0.35">
      <c r="H109" s="337" t="s">
        <v>1989</v>
      </c>
    </row>
    <row r="110" spans="2:14" x14ac:dyDescent="0.35">
      <c r="H110" s="337"/>
    </row>
    <row r="111" spans="2:14" ht="24.75" customHeight="1" x14ac:dyDescent="0.3">
      <c r="B111" s="425" t="s">
        <v>1956</v>
      </c>
      <c r="C111" s="425"/>
      <c r="D111" s="425"/>
      <c r="E111" s="369"/>
      <c r="F111" s="369"/>
      <c r="G111" s="370"/>
      <c r="H111" s="369"/>
      <c r="I111" s="370"/>
      <c r="J111" s="369"/>
      <c r="K111" s="369"/>
      <c r="L111" s="369"/>
      <c r="M111" s="369"/>
      <c r="N111" s="369"/>
    </row>
    <row r="112" spans="2:14" ht="21" x14ac:dyDescent="0.3">
      <c r="B112" s="344"/>
      <c r="C112" s="344"/>
      <c r="D112" s="344"/>
      <c r="H112" s="337"/>
    </row>
    <row r="113" spans="2:14" ht="14.4" x14ac:dyDescent="0.3">
      <c r="B113" s="325"/>
    </row>
    <row r="118" spans="2:14" x14ac:dyDescent="0.35">
      <c r="H118" s="339"/>
    </row>
    <row r="120" spans="2:14" x14ac:dyDescent="0.35">
      <c r="B120" s="338"/>
    </row>
    <row r="126" spans="2:14" x14ac:dyDescent="0.35">
      <c r="H126" s="337" t="s">
        <v>1989</v>
      </c>
    </row>
    <row r="127" spans="2:14" ht="25.8" x14ac:dyDescent="0.3">
      <c r="B127" s="425" t="s">
        <v>14</v>
      </c>
      <c r="C127" s="425"/>
      <c r="D127" s="425"/>
      <c r="E127" s="369"/>
      <c r="F127" s="369"/>
      <c r="G127" s="370"/>
      <c r="H127" s="371"/>
      <c r="I127" s="370"/>
      <c r="J127" s="369"/>
      <c r="K127" s="369"/>
      <c r="L127" s="369"/>
      <c r="M127" s="369"/>
      <c r="N127" s="369"/>
    </row>
    <row r="128" spans="2:14" ht="21" x14ac:dyDescent="0.3">
      <c r="B128" s="344"/>
      <c r="C128" s="344"/>
      <c r="D128" s="344"/>
    </row>
    <row r="129" spans="2:2" ht="14.4" x14ac:dyDescent="0.3">
      <c r="B129" s="325"/>
    </row>
    <row r="130" spans="2:2" ht="14.4" x14ac:dyDescent="0.3">
      <c r="B130" s="325"/>
    </row>
    <row r="150" spans="8:9" x14ac:dyDescent="0.35">
      <c r="I150" s="334" t="s">
        <v>1957</v>
      </c>
    </row>
    <row r="155" spans="8:9" x14ac:dyDescent="0.35">
      <c r="H155" s="337" t="s">
        <v>1989</v>
      </c>
    </row>
    <row r="169" spans="8:8" x14ac:dyDescent="0.35">
      <c r="H169" s="337" t="s">
        <v>1989</v>
      </c>
    </row>
    <row r="185" spans="2:14" ht="25.8" x14ac:dyDescent="0.3">
      <c r="B185" s="415" t="s">
        <v>1958</v>
      </c>
      <c r="C185" s="415"/>
      <c r="D185" s="415"/>
      <c r="E185" s="366"/>
      <c r="F185" s="366"/>
      <c r="G185" s="367"/>
      <c r="H185" s="368"/>
      <c r="I185" s="367"/>
      <c r="J185" s="366"/>
      <c r="K185" s="366"/>
      <c r="L185" s="366"/>
      <c r="M185" s="366"/>
      <c r="N185" s="366"/>
    </row>
    <row r="186" spans="2:14" ht="21" x14ac:dyDescent="0.3">
      <c r="B186" s="345"/>
      <c r="C186" s="345"/>
      <c r="D186" s="345"/>
    </row>
    <row r="200" spans="2:2" ht="14.4" x14ac:dyDescent="0.3">
      <c r="B200" s="325"/>
    </row>
    <row r="227" spans="8:8" x14ac:dyDescent="0.35">
      <c r="H227" s="337" t="s">
        <v>1989</v>
      </c>
    </row>
  </sheetData>
  <mergeCells count="12">
    <mergeCell ref="B185:D185"/>
    <mergeCell ref="B5:O5"/>
    <mergeCell ref="B6:O6"/>
    <mergeCell ref="D15:E15"/>
    <mergeCell ref="F15:G15"/>
    <mergeCell ref="H15:I15"/>
    <mergeCell ref="J15:L15"/>
    <mergeCell ref="B15:C15"/>
    <mergeCell ref="B20:D20"/>
    <mergeCell ref="B94:D94"/>
    <mergeCell ref="B111:D111"/>
    <mergeCell ref="B127:D127"/>
  </mergeCells>
  <hyperlinks>
    <hyperlink ref="D15" location="'2012 Charts'!B83" display="Collection " xr:uid="{00000000-0004-0000-0200-000000000000}"/>
    <hyperlink ref="F15" location="'2012 Charts'!B97" display="Revenue " xr:uid="{00000000-0004-0000-0200-000001000000}"/>
    <hyperlink ref="H15" location="'2012 Charts'!B114" display="Expenditure " xr:uid="{00000000-0004-0000-0200-000002000000}"/>
    <hyperlink ref="D15:E15" location="'2019 Individual Charts'!A94" display="Collection Charts" xr:uid="{00000000-0004-0000-0200-000003000000}"/>
    <hyperlink ref="F15:G15" location="'2019 Individual Charts'!A111" display="Revenue Charts" xr:uid="{00000000-0004-0000-0200-000004000000}"/>
    <hyperlink ref="H15:I15" location="'2019 Individual Charts'!A127" display="Expenditure Charts" xr:uid="{00000000-0004-0000-0200-000005000000}"/>
    <hyperlink ref="H109" location="'2019 Individual Charts'!A1" display="return to top" xr:uid="{00000000-0004-0000-0200-000006000000}"/>
    <hyperlink ref="H169" location="'2019 Individual Charts'!A1" display="return to top" xr:uid="{00000000-0004-0000-0200-000007000000}"/>
    <hyperlink ref="H227" location="'2019 Individual Charts'!A1" display="return to top" xr:uid="{00000000-0004-0000-0200-000008000000}"/>
    <hyperlink ref="J15:L15" location="'2019 Individual Charts'!A185" display="Other Measures Charts" xr:uid="{00000000-0004-0000-0200-00000A000000}"/>
    <hyperlink ref="H155" location="'2019 Individual Charts'!A1" display="return to top" xr:uid="{00000000-0004-0000-0200-00000B000000}"/>
    <hyperlink ref="H126" location="'2019 Individual Charts'!A1" display="return to top" xr:uid="{00000000-0004-0000-0200-00000C000000}"/>
    <hyperlink ref="H91" location="'2019 Individual Charts'!A1" display="return to top" xr:uid="{00000000-0004-0000-0200-00000D000000}"/>
    <hyperlink ref="H61" location="'2019 Individual Charts'!A1" display="return to top" xr:uid="{00000000-0004-0000-0200-00000E000000}"/>
  </hyperlinks>
  <printOptions horizontalCentered="1"/>
  <pageMargins left="0.2" right="0.2" top="0.38" bottom="0.37" header="0.24" footer="0.24"/>
  <pageSetup fitToWidth="0" fitToHeight="0" orientation="landscape" r:id="rId1"/>
  <headerFooter differentFirst="1">
    <oddFooter>&amp;R&amp;9&amp;F,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5:N331"/>
  <sheetViews>
    <sheetView showGridLines="0" tabSelected="1" showRuler="0" zoomScale="120" zoomScaleNormal="120" zoomScaleSheetLayoutView="100" workbookViewId="0"/>
  </sheetViews>
  <sheetFormatPr defaultColWidth="9" defaultRowHeight="21" x14ac:dyDescent="0.4"/>
  <cols>
    <col min="1" max="1" width="4.77734375" style="347" customWidth="1"/>
    <col min="2" max="2" width="11.6640625" style="360" customWidth="1"/>
    <col min="3" max="9" width="9" style="347"/>
    <col min="10" max="10" width="9" style="354"/>
    <col min="11" max="11" width="12.109375" style="362" customWidth="1"/>
    <col min="12" max="16384" width="9" style="347"/>
  </cols>
  <sheetData>
    <row r="5" spans="1:14" ht="21" customHeight="1" x14ac:dyDescent="0.4">
      <c r="A5" s="416" t="s">
        <v>3284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346"/>
    </row>
    <row r="6" spans="1:14" ht="33.75" customHeight="1" x14ac:dyDescent="0.35">
      <c r="A6" s="426" t="str">
        <f>VLOOKUP(Input!C11,'2020Data'!$A$2:$DX$86,122,0)</f>
        <v>NW Regional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346"/>
    </row>
    <row r="7" spans="1:14" ht="23.4" x14ac:dyDescent="0.45">
      <c r="A7" s="348"/>
      <c r="B7" s="349"/>
      <c r="C7" s="350"/>
      <c r="D7" s="350"/>
      <c r="E7" s="350"/>
      <c r="F7" s="350"/>
      <c r="G7" s="350"/>
      <c r="H7" s="350"/>
      <c r="I7" s="350"/>
      <c r="J7" s="351"/>
      <c r="K7" s="352"/>
    </row>
    <row r="8" spans="1:14" ht="23.4" x14ac:dyDescent="0.45">
      <c r="A8" s="348"/>
      <c r="B8" s="349"/>
      <c r="C8" s="350"/>
      <c r="D8" s="350"/>
      <c r="E8" s="350"/>
      <c r="F8" s="350"/>
      <c r="G8" s="350"/>
      <c r="H8" s="350"/>
      <c r="I8" s="350"/>
      <c r="J8" s="351"/>
      <c r="K8" s="352"/>
    </row>
    <row r="9" spans="1:14" ht="23.4" x14ac:dyDescent="0.45">
      <c r="A9" s="348"/>
      <c r="B9" s="349"/>
      <c r="C9" s="350"/>
      <c r="D9" s="350"/>
      <c r="E9" s="350"/>
      <c r="F9" s="350"/>
      <c r="G9" s="350"/>
      <c r="H9" s="350"/>
      <c r="I9" s="350"/>
      <c r="J9" s="351"/>
      <c r="K9" s="352"/>
    </row>
    <row r="10" spans="1:14" ht="23.4" x14ac:dyDescent="0.45">
      <c r="A10" s="348"/>
      <c r="B10" s="349"/>
      <c r="C10" s="350"/>
      <c r="D10" s="350"/>
      <c r="E10" s="350"/>
      <c r="F10" s="350"/>
      <c r="G10" s="350"/>
      <c r="H10" s="350"/>
      <c r="I10" s="350"/>
      <c r="J10" s="351"/>
      <c r="K10" s="352"/>
    </row>
    <row r="11" spans="1:14" ht="23.4" x14ac:dyDescent="0.45">
      <c r="A11" s="348"/>
      <c r="B11" s="349"/>
      <c r="C11" s="350"/>
      <c r="D11" s="350"/>
      <c r="E11" s="350"/>
      <c r="F11" s="350"/>
      <c r="G11" s="350"/>
      <c r="H11" s="350"/>
      <c r="I11" s="350"/>
      <c r="J11" s="351"/>
      <c r="K11" s="352"/>
    </row>
    <row r="12" spans="1:14" s="348" customFormat="1" ht="23.4" x14ac:dyDescent="0.45">
      <c r="B12" s="349"/>
      <c r="C12" s="350"/>
      <c r="D12" s="350"/>
      <c r="E12" s="350"/>
      <c r="F12" s="350"/>
      <c r="G12" s="350"/>
      <c r="H12" s="350"/>
      <c r="I12" s="350"/>
      <c r="J12" s="351"/>
      <c r="K12" s="352"/>
    </row>
    <row r="13" spans="1:14" s="353" customFormat="1" ht="15.6" x14ac:dyDescent="0.3">
      <c r="D13" s="347"/>
      <c r="F13" s="347"/>
      <c r="H13" s="347"/>
      <c r="J13" s="354"/>
      <c r="K13" s="355"/>
      <c r="L13" s="347"/>
      <c r="M13" s="347"/>
      <c r="N13" s="356"/>
    </row>
    <row r="14" spans="1:14" s="353" customFormat="1" ht="15.6" x14ac:dyDescent="0.3">
      <c r="D14" s="347"/>
      <c r="F14" s="347"/>
      <c r="H14" s="347"/>
      <c r="J14" s="354"/>
      <c r="K14" s="355"/>
      <c r="L14" s="347"/>
      <c r="M14" s="347"/>
      <c r="N14" s="356"/>
    </row>
    <row r="15" spans="1:14" s="332" customFormat="1" ht="48.45" customHeight="1" x14ac:dyDescent="0.3">
      <c r="A15" s="423" t="s">
        <v>2042</v>
      </c>
      <c r="B15" s="423"/>
      <c r="C15" s="430" t="s">
        <v>13</v>
      </c>
      <c r="D15" s="430"/>
      <c r="E15" s="430" t="s">
        <v>1956</v>
      </c>
      <c r="F15" s="430"/>
      <c r="G15" s="430" t="s">
        <v>14</v>
      </c>
      <c r="H15" s="430"/>
      <c r="I15" s="430" t="s">
        <v>2955</v>
      </c>
      <c r="J15" s="430"/>
      <c r="K15" s="430"/>
      <c r="L15" s="333"/>
    </row>
    <row r="16" spans="1:14" s="336" customFormat="1" x14ac:dyDescent="0.4">
      <c r="B16" s="348"/>
      <c r="C16" s="348"/>
      <c r="D16" s="357"/>
      <c r="E16" s="357"/>
      <c r="F16" s="348"/>
      <c r="G16" s="348"/>
      <c r="H16" s="432"/>
      <c r="I16" s="432"/>
      <c r="J16" s="432"/>
      <c r="K16" s="355"/>
    </row>
    <row r="17" spans="1:11" s="353" customFormat="1" ht="25.8" x14ac:dyDescent="0.5">
      <c r="A17" s="336"/>
      <c r="B17" s="424" t="s">
        <v>12</v>
      </c>
      <c r="C17" s="424"/>
      <c r="D17" s="424"/>
      <c r="E17" s="372"/>
      <c r="F17" s="373"/>
      <c r="G17" s="373"/>
      <c r="H17" s="373"/>
      <c r="I17" s="373"/>
      <c r="J17" s="374"/>
      <c r="K17" s="375"/>
    </row>
    <row r="18" spans="1:11" s="353" customFormat="1" ht="17.25" customHeight="1" x14ac:dyDescent="0.4">
      <c r="B18" s="348"/>
      <c r="J18" s="358"/>
      <c r="K18" s="355"/>
    </row>
    <row r="19" spans="1:11" s="359" customFormat="1" ht="18" customHeight="1" x14ac:dyDescent="0.55000000000000004">
      <c r="A19" s="353"/>
      <c r="B19" s="348"/>
      <c r="C19" s="353"/>
      <c r="D19" s="353"/>
      <c r="E19" s="353"/>
      <c r="F19" s="353"/>
      <c r="G19" s="353"/>
      <c r="H19" s="353"/>
      <c r="I19" s="353"/>
      <c r="J19" s="358"/>
      <c r="K19" s="355"/>
    </row>
    <row r="20" spans="1:11" ht="28.8" x14ac:dyDescent="0.55000000000000004">
      <c r="A20" s="359"/>
      <c r="B20" s="431"/>
      <c r="C20" s="431"/>
      <c r="D20" s="431"/>
      <c r="E20" s="431"/>
      <c r="F20" s="431"/>
      <c r="G20" s="431"/>
      <c r="H20" s="431"/>
      <c r="I20" s="431"/>
      <c r="J20" s="431"/>
      <c r="K20" s="431"/>
    </row>
    <row r="63" spans="11:11" x14ac:dyDescent="0.4">
      <c r="K63" s="337" t="s">
        <v>1989</v>
      </c>
    </row>
    <row r="67" spans="11:11" x14ac:dyDescent="0.4">
      <c r="K67" s="361"/>
    </row>
    <row r="97" spans="11:11" x14ac:dyDescent="0.4">
      <c r="K97" s="337" t="s">
        <v>1989</v>
      </c>
    </row>
    <row r="118" spans="2:11" ht="14.4" x14ac:dyDescent="0.3">
      <c r="B118" s="347"/>
    </row>
    <row r="120" spans="2:11" x14ac:dyDescent="0.4">
      <c r="K120" s="337" t="s">
        <v>1989</v>
      </c>
    </row>
    <row r="121" spans="2:11" ht="25.8" x14ac:dyDescent="0.5">
      <c r="B121" s="424" t="s">
        <v>13</v>
      </c>
      <c r="C121" s="424"/>
      <c r="D121" s="424"/>
      <c r="E121" s="376"/>
      <c r="F121" s="376"/>
      <c r="G121" s="376"/>
      <c r="H121" s="376"/>
      <c r="I121" s="376"/>
      <c r="J121" s="377"/>
      <c r="K121" s="378"/>
    </row>
    <row r="123" spans="2:11" ht="14.4" x14ac:dyDescent="0.3">
      <c r="B123" s="347"/>
    </row>
    <row r="142" spans="2:12" ht="14.4" x14ac:dyDescent="0.3">
      <c r="B142" s="347"/>
      <c r="L142" s="363"/>
    </row>
    <row r="143" spans="2:12" x14ac:dyDescent="0.4">
      <c r="K143" s="337" t="s">
        <v>1989</v>
      </c>
    </row>
    <row r="144" spans="2:12" ht="25.8" x14ac:dyDescent="0.5">
      <c r="B144" s="424" t="s">
        <v>1956</v>
      </c>
      <c r="C144" s="424"/>
      <c r="D144" s="424"/>
      <c r="E144" s="376"/>
      <c r="F144" s="376"/>
      <c r="G144" s="376"/>
      <c r="H144" s="376"/>
      <c r="I144" s="376"/>
      <c r="J144" s="377"/>
      <c r="K144" s="378"/>
    </row>
    <row r="145" spans="2:2" ht="14.4" x14ac:dyDescent="0.3">
      <c r="B145" s="347"/>
    </row>
    <row r="155" spans="2:2" ht="14.4" x14ac:dyDescent="0.3">
      <c r="B155" s="347"/>
    </row>
    <row r="169" spans="2:11" x14ac:dyDescent="0.4">
      <c r="K169" s="337" t="s">
        <v>1989</v>
      </c>
    </row>
    <row r="171" spans="2:11" ht="25.8" x14ac:dyDescent="0.5">
      <c r="B171" s="380" t="s">
        <v>14</v>
      </c>
      <c r="C171" s="379"/>
      <c r="D171" s="379"/>
      <c r="E171" s="376"/>
      <c r="F171" s="376"/>
      <c r="G171" s="376"/>
      <c r="H171" s="376"/>
      <c r="I171" s="376"/>
      <c r="J171" s="377"/>
      <c r="K171" s="376"/>
    </row>
    <row r="173" spans="2:11" ht="14.4" x14ac:dyDescent="0.3">
      <c r="B173" s="347"/>
    </row>
    <row r="181" spans="2:2" ht="14.4" x14ac:dyDescent="0.3">
      <c r="B181" s="347"/>
    </row>
    <row r="188" spans="2:2" ht="14.4" x14ac:dyDescent="0.3">
      <c r="B188" s="347"/>
    </row>
    <row r="189" spans="2:2" ht="14.4" x14ac:dyDescent="0.3">
      <c r="B189" s="347"/>
    </row>
    <row r="208" spans="11:11" x14ac:dyDescent="0.4">
      <c r="K208" s="337" t="s">
        <v>1989</v>
      </c>
    </row>
    <row r="241" spans="11:11" x14ac:dyDescent="0.4">
      <c r="K241" s="337" t="s">
        <v>1989</v>
      </c>
    </row>
    <row r="242" spans="11:11" x14ac:dyDescent="0.4">
      <c r="K242" s="364"/>
    </row>
    <row r="243" spans="11:11" x14ac:dyDescent="0.4">
      <c r="K243" s="364"/>
    </row>
    <row r="244" spans="11:11" x14ac:dyDescent="0.4">
      <c r="K244" s="364"/>
    </row>
    <row r="245" spans="11:11" x14ac:dyDescent="0.4">
      <c r="K245" s="364"/>
    </row>
    <row r="246" spans="11:11" x14ac:dyDescent="0.4">
      <c r="K246" s="364"/>
    </row>
    <row r="247" spans="11:11" x14ac:dyDescent="0.4">
      <c r="K247" s="364"/>
    </row>
    <row r="248" spans="11:11" x14ac:dyDescent="0.4">
      <c r="K248" s="364"/>
    </row>
    <row r="249" spans="11:11" x14ac:dyDescent="0.4">
      <c r="K249" s="364"/>
    </row>
    <row r="250" spans="11:11" x14ac:dyDescent="0.4">
      <c r="K250" s="364"/>
    </row>
    <row r="251" spans="11:11" x14ac:dyDescent="0.4">
      <c r="K251" s="364"/>
    </row>
    <row r="252" spans="11:11" x14ac:dyDescent="0.4">
      <c r="K252" s="364"/>
    </row>
    <row r="253" spans="11:11" x14ac:dyDescent="0.4">
      <c r="K253" s="364"/>
    </row>
    <row r="254" spans="11:11" x14ac:dyDescent="0.4">
      <c r="K254" s="364"/>
    </row>
    <row r="255" spans="11:11" x14ac:dyDescent="0.4">
      <c r="K255" s="364"/>
    </row>
    <row r="256" spans="11:11" x14ac:dyDescent="0.4">
      <c r="K256" s="364"/>
    </row>
    <row r="257" spans="2:11" x14ac:dyDescent="0.4">
      <c r="K257" s="364"/>
    </row>
    <row r="258" spans="2:11" x14ac:dyDescent="0.4">
      <c r="K258" s="364"/>
    </row>
    <row r="259" spans="2:11" x14ac:dyDescent="0.4">
      <c r="K259" s="364"/>
    </row>
    <row r="260" spans="2:11" x14ac:dyDescent="0.4">
      <c r="K260" s="364"/>
    </row>
    <row r="261" spans="2:11" x14ac:dyDescent="0.4">
      <c r="K261" s="364"/>
    </row>
    <row r="262" spans="2:11" x14ac:dyDescent="0.4">
      <c r="K262" s="364"/>
    </row>
    <row r="263" spans="2:11" x14ac:dyDescent="0.4">
      <c r="K263" s="364"/>
    </row>
    <row r="264" spans="2:11" x14ac:dyDescent="0.4">
      <c r="K264" s="337" t="s">
        <v>1989</v>
      </c>
    </row>
    <row r="265" spans="2:11" x14ac:dyDescent="0.4">
      <c r="K265" s="364"/>
    </row>
    <row r="266" spans="2:11" ht="25.8" x14ac:dyDescent="0.5">
      <c r="B266" s="428" t="s">
        <v>1958</v>
      </c>
      <c r="C266" s="429"/>
      <c r="D266" s="429"/>
      <c r="E266" s="381"/>
      <c r="F266" s="381"/>
      <c r="G266" s="381"/>
      <c r="H266" s="381"/>
      <c r="I266" s="381"/>
      <c r="J266" s="382"/>
      <c r="K266" s="381"/>
    </row>
    <row r="271" spans="2:11" ht="14.4" x14ac:dyDescent="0.3">
      <c r="B271" s="347"/>
      <c r="K271" s="361"/>
    </row>
    <row r="283" spans="2:2" ht="14.4" x14ac:dyDescent="0.3">
      <c r="B283" s="347"/>
    </row>
    <row r="314" spans="1:11" s="365" customFormat="1" ht="28.8" x14ac:dyDescent="0.55000000000000004">
      <c r="A314" s="347"/>
      <c r="B314" s="360"/>
      <c r="C314" s="347"/>
      <c r="D314" s="347"/>
      <c r="E314" s="347"/>
      <c r="F314" s="347"/>
      <c r="G314" s="347"/>
      <c r="H314" s="347"/>
      <c r="I314" s="347"/>
      <c r="J314" s="354"/>
      <c r="K314" s="362"/>
    </row>
    <row r="315" spans="1:11" s="365" customFormat="1" ht="28.8" x14ac:dyDescent="0.55000000000000004">
      <c r="A315" s="347"/>
      <c r="B315" s="360"/>
      <c r="C315" s="347"/>
      <c r="D315" s="347"/>
      <c r="E315" s="347"/>
      <c r="F315" s="347"/>
      <c r="G315" s="347"/>
      <c r="H315" s="347"/>
      <c r="I315" s="347"/>
      <c r="J315" s="354"/>
      <c r="K315" s="362"/>
    </row>
    <row r="316" spans="1:11" ht="28.8" x14ac:dyDescent="0.55000000000000004">
      <c r="A316" s="365"/>
      <c r="C316" s="359"/>
      <c r="D316" s="359"/>
      <c r="E316" s="359"/>
      <c r="F316" s="359"/>
      <c r="G316" s="359"/>
      <c r="H316" s="359"/>
      <c r="I316" s="359"/>
      <c r="J316" s="358"/>
      <c r="K316" s="355"/>
    </row>
    <row r="319" spans="1:11" x14ac:dyDescent="0.4">
      <c r="G319" s="347" t="s">
        <v>1957</v>
      </c>
      <c r="K319" s="364"/>
    </row>
    <row r="331" spans="11:11" x14ac:dyDescent="0.4">
      <c r="K331" s="337" t="s">
        <v>1989</v>
      </c>
    </row>
  </sheetData>
  <mergeCells count="13">
    <mergeCell ref="A6:K6"/>
    <mergeCell ref="A5:K5"/>
    <mergeCell ref="B121:D121"/>
    <mergeCell ref="B144:D144"/>
    <mergeCell ref="B266:D266"/>
    <mergeCell ref="A15:B15"/>
    <mergeCell ref="I15:K15"/>
    <mergeCell ref="B20:K20"/>
    <mergeCell ref="H16:J16"/>
    <mergeCell ref="C15:D15"/>
    <mergeCell ref="E15:F15"/>
    <mergeCell ref="G15:H15"/>
    <mergeCell ref="B17:D17"/>
  </mergeCells>
  <hyperlinks>
    <hyperlink ref="C15" location="'2012 Comparison Charts'!B140" display="Collection " xr:uid="{00000000-0004-0000-0300-000000000000}"/>
    <hyperlink ref="E15" location="'2012 Comparison Charts'!B164" display="Revenue " xr:uid="{00000000-0004-0000-0300-000001000000}"/>
    <hyperlink ref="G15" location="'2012 Comparison Charts'!B200" display="Expenditure " xr:uid="{00000000-0004-0000-0300-000002000000}"/>
    <hyperlink ref="I15" location="'2012 Comparison Charts'!B282" display="Other Measures" xr:uid="{00000000-0004-0000-0300-000003000000}"/>
    <hyperlink ref="K120" location="'2019 Comparison Charts'!A1" tooltip="Top" display="return to top" xr:uid="{00000000-0004-0000-0300-000006000000}"/>
    <hyperlink ref="C15:D15" location="'2019 Comparison Charts'!A121" display="Collection Charts" xr:uid="{00000000-0004-0000-0300-00000B000000}"/>
    <hyperlink ref="E15:F15" location="'2019 Comparison Charts'!A144" display="Revenue Charts" xr:uid="{00000000-0004-0000-0300-00000C000000}"/>
    <hyperlink ref="G15:H15" location="'2019 Comparison Charts'!A171" display="Expenditure Charts" xr:uid="{00000000-0004-0000-0300-00000D000000}"/>
    <hyperlink ref="K169" location="'2019 Comparison Charts'!A1" tooltip="Top" display="return to top" xr:uid="{00000000-0004-0000-0300-00000E000000}"/>
    <hyperlink ref="I15:K15" location="'2019 Comparison Charts'!A266" display="Other Measures Charts" xr:uid="{00000000-0004-0000-0300-00000F000000}"/>
    <hyperlink ref="K208" location="'2019 Comparison Charts'!A1" tooltip="Top" display="return to top" xr:uid="{5CA31CBA-EC94-4C5B-A8B1-83313B5A3D7B}"/>
    <hyperlink ref="K241" location="'2019 Comparison Charts'!A1" tooltip="Top" display="return to top" xr:uid="{4E23C0CF-06AC-4AB6-A506-98DC0006EB70}"/>
    <hyperlink ref="K264" location="'2019 Comparison Charts'!A1" tooltip="Top" display="return to top" xr:uid="{D0BE4974-11CC-4948-8FFA-F18FA0482751}"/>
    <hyperlink ref="K331" location="'2019 Comparison Charts'!A1" tooltip="Top" display="return to top" xr:uid="{E295E1A7-4E9A-4A9C-A0D2-F5AE3CE9CA87}"/>
    <hyperlink ref="K63" location="'2017 Comparison Charts'!A1" tooltip="Top" display="return to top" xr:uid="{0F7CA973-6BDE-45E8-BC7A-51CE14B4214C}"/>
    <hyperlink ref="K97" location="'2019 Comparison Charts'!A1" tooltip="Top" display="return to top" xr:uid="{4DFE3B14-8344-4D98-8AB6-A89DFBBCDE0A}"/>
    <hyperlink ref="K143" location="'2019 Comparison Charts'!A1" tooltip="Top" display="return to top" xr:uid="{E5FFDD49-30A4-4826-9386-825C836A49EB}"/>
  </hyperlinks>
  <printOptions horizontalCentered="1"/>
  <pageMargins left="0.25" right="0.25" top="0.33" bottom="0.5" header="0.05" footer="0.3"/>
  <pageSetup orientation="portrait" r:id="rId1"/>
  <headerFooter differentFirst="1">
    <oddFooter>&amp;R&amp;9Texas State Library and Archives Commission, Page &amp;P</oddFooter>
  </headerFooter>
  <rowBreaks count="4" manualBreakCount="4">
    <brk id="96" max="10" man="1"/>
    <brk id="119" max="10" man="1"/>
    <brk id="143" max="10" man="1"/>
    <brk id="170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B11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60" sqref="A60"/>
    </sheetView>
  </sheetViews>
  <sheetFormatPr defaultColWidth="8.77734375" defaultRowHeight="13.8" x14ac:dyDescent="0.3"/>
  <cols>
    <col min="1" max="1" width="20.44140625" style="157" customWidth="1"/>
    <col min="2" max="2" width="21.77734375" style="157" customWidth="1"/>
    <col min="3" max="3" width="16" style="151" customWidth="1"/>
    <col min="4" max="4" width="20.109375" style="151" customWidth="1"/>
    <col min="5" max="5" width="15.44140625" style="164" customWidth="1"/>
    <col min="6" max="6" width="18.33203125" style="151" bestFit="1" customWidth="1"/>
    <col min="7" max="7" width="14.44140625" style="75" bestFit="1" customWidth="1"/>
    <col min="8" max="8" width="16.77734375" style="151" bestFit="1" customWidth="1"/>
    <col min="9" max="9" width="19.44140625" style="165" bestFit="1" customWidth="1"/>
    <col min="10" max="10" width="19.77734375" style="168" bestFit="1" customWidth="1"/>
    <col min="11" max="11" width="20.6640625" style="168" bestFit="1" customWidth="1"/>
    <col min="12" max="12" width="14.77734375" style="168" customWidth="1"/>
    <col min="13" max="13" width="17.109375" style="153" customWidth="1"/>
    <col min="14" max="14" width="14.6640625" style="168" customWidth="1"/>
    <col min="15" max="16" width="13.109375" style="168" customWidth="1"/>
    <col min="17" max="17" width="16.109375" style="168" customWidth="1"/>
    <col min="18" max="18" width="17.44140625" style="153" customWidth="1"/>
    <col min="19" max="19" width="14.109375" style="168" customWidth="1"/>
    <col min="20" max="20" width="22.109375" style="168" customWidth="1"/>
    <col min="21" max="21" width="13.6640625" style="168" customWidth="1"/>
    <col min="22" max="22" width="15" style="168" bestFit="1" customWidth="1"/>
    <col min="23" max="23" width="13.109375" style="153" customWidth="1"/>
    <col min="24" max="24" width="18.44140625" style="154" customWidth="1"/>
    <col min="25" max="26" width="18.6640625" style="154" customWidth="1"/>
    <col min="27" max="27" width="17.6640625" style="154" customWidth="1"/>
    <col min="28" max="28" width="18.44140625" style="168" customWidth="1"/>
    <col min="29" max="29" width="19" style="168" customWidth="1"/>
    <col min="30" max="30" width="15.44140625" style="168" customWidth="1"/>
    <col min="31" max="31" width="17.109375" style="168" customWidth="1"/>
    <col min="32" max="32" width="16.44140625" style="168" customWidth="1"/>
    <col min="33" max="33" width="14.44140625" style="168" customWidth="1"/>
    <col min="34" max="34" width="15.109375" style="168" customWidth="1"/>
    <col min="35" max="35" width="18.6640625" style="168" customWidth="1"/>
    <col min="36" max="36" width="18.6640625" style="153" customWidth="1"/>
    <col min="37" max="37" width="15.6640625" style="168" customWidth="1"/>
    <col min="38" max="38" width="16.44140625" style="168" customWidth="1"/>
    <col min="39" max="39" width="20.6640625" style="168" customWidth="1"/>
    <col min="40" max="40" width="14.109375" style="168" customWidth="1"/>
    <col min="41" max="41" width="16.109375" style="168" customWidth="1"/>
    <col min="42" max="42" width="21.109375" style="168" customWidth="1"/>
    <col min="43" max="43" width="11.109375" style="153" customWidth="1"/>
    <col min="44" max="45" width="14.6640625" style="168" customWidth="1"/>
    <col min="46" max="46" width="17" style="168" customWidth="1"/>
    <col min="47" max="47" width="17.44140625" style="168" customWidth="1"/>
    <col min="48" max="48" width="18" style="168" customWidth="1"/>
    <col min="49" max="49" width="20.109375" style="168" customWidth="1"/>
    <col min="50" max="50" width="15.109375" style="168" customWidth="1"/>
    <col min="51" max="51" width="17" style="168" customWidth="1"/>
    <col min="52" max="52" width="14.6640625" style="151" customWidth="1"/>
    <col min="53" max="53" width="14.6640625" style="152" customWidth="1"/>
    <col min="54" max="54" width="14.6640625" style="151" customWidth="1"/>
    <col min="55" max="55" width="12.109375" style="151" customWidth="1"/>
    <col min="56" max="56" width="16" style="151" customWidth="1"/>
    <col min="57" max="57" width="14" style="151" customWidth="1"/>
    <col min="58" max="58" width="12.109375" style="151" customWidth="1"/>
    <col min="59" max="59" width="14.6640625" style="151" customWidth="1"/>
    <col min="60" max="60" width="13" style="151" customWidth="1"/>
    <col min="61" max="61" width="11.109375" style="151" customWidth="1"/>
    <col min="62" max="62" width="12.109375" style="151" customWidth="1"/>
    <col min="63" max="63" width="19.44140625" style="151" customWidth="1"/>
    <col min="64" max="64" width="19.44140625" style="152" customWidth="1"/>
    <col min="65" max="65" width="16" style="151" customWidth="1"/>
    <col min="66" max="66" width="18.6640625" style="151" customWidth="1"/>
    <col min="67" max="67" width="15.109375" style="152" customWidth="1"/>
    <col min="68" max="68" width="20.44140625" style="151" customWidth="1"/>
    <col min="69" max="69" width="16.109375" style="151" customWidth="1"/>
    <col min="70" max="70" width="14.33203125" style="151" customWidth="1"/>
    <col min="71" max="71" width="14.44140625" style="151" customWidth="1"/>
    <col min="72" max="72" width="15.109375" style="151" customWidth="1"/>
    <col min="73" max="73" width="18.109375" style="188" customWidth="1"/>
    <col min="74" max="74" width="18.109375" style="151" customWidth="1"/>
    <col min="75" max="77" width="18.109375" style="165" customWidth="1"/>
    <col min="78" max="78" width="18.109375" style="151" customWidth="1"/>
    <col min="79" max="79" width="17.6640625" style="151" customWidth="1"/>
    <col min="80" max="80" width="21.109375" style="151" customWidth="1"/>
    <col min="81" max="81" width="21.44140625" style="151" customWidth="1"/>
    <col min="82" max="82" width="18" style="151" customWidth="1"/>
    <col min="83" max="84" width="21.44140625" style="151" customWidth="1"/>
    <col min="85" max="85" width="17.6640625" style="151" customWidth="1"/>
    <col min="86" max="86" width="16.44140625" style="152" customWidth="1"/>
    <col min="87" max="87" width="11.44140625" style="151" customWidth="1"/>
    <col min="88" max="88" width="11.44140625" style="152" customWidth="1"/>
    <col min="89" max="89" width="16.6640625" style="151" customWidth="1"/>
    <col min="90" max="90" width="12.44140625" style="157" customWidth="1"/>
    <col min="91" max="91" width="15.6640625" style="150" customWidth="1"/>
    <col min="92" max="92" width="16.44140625" style="150" customWidth="1"/>
    <col min="93" max="93" width="16.6640625" style="220" bestFit="1" customWidth="1"/>
    <col min="94" max="94" width="13.44140625" style="151" customWidth="1"/>
    <col min="95" max="95" width="13.44140625" style="212" customWidth="1"/>
    <col min="96" max="96" width="15" style="212" customWidth="1"/>
    <col min="97" max="97" width="16.6640625" style="212" customWidth="1"/>
    <col min="98" max="99" width="14.109375" style="151" customWidth="1"/>
    <col min="100" max="100" width="15.109375" style="168" customWidth="1"/>
    <col min="101" max="101" width="15.109375" style="152" customWidth="1"/>
    <col min="102" max="102" width="26" style="157" customWidth="1"/>
    <col min="103" max="103" width="16.109375" style="150" customWidth="1"/>
    <col min="104" max="104" width="17.44140625" style="186" customWidth="1"/>
    <col min="105" max="105" width="18.6640625" style="151" customWidth="1"/>
    <col min="106" max="106" width="14" style="151" customWidth="1"/>
    <col min="107" max="107" width="16.33203125" style="186" customWidth="1"/>
    <col min="108" max="108" width="18.44140625" style="151" customWidth="1"/>
    <col min="109" max="109" width="23.44140625" style="151" customWidth="1"/>
    <col min="110" max="111" width="17.6640625" style="151" customWidth="1"/>
    <col min="112" max="112" width="17.109375" style="151" customWidth="1"/>
    <col min="113" max="113" width="21" style="151" customWidth="1"/>
    <col min="114" max="114" width="22" style="151" customWidth="1"/>
    <col min="115" max="116" width="19" style="151" customWidth="1"/>
    <col min="117" max="117" width="16" style="187" bestFit="1" customWidth="1"/>
    <col min="118" max="118" width="10" style="157" bestFit="1" customWidth="1"/>
    <col min="119" max="119" width="14" style="183" bestFit="1" customWidth="1"/>
    <col min="120" max="120" width="13" style="150" bestFit="1" customWidth="1"/>
    <col min="121" max="121" width="9.33203125" style="157" customWidth="1"/>
    <col min="122" max="122" width="45.109375" style="157" bestFit="1" customWidth="1"/>
    <col min="123" max="123" width="14.77734375" style="157" bestFit="1" customWidth="1"/>
    <col min="124" max="124" width="14.109375" style="152" customWidth="1"/>
    <col min="125" max="125" width="11.109375" style="157" customWidth="1"/>
    <col min="126" max="126" width="45.109375" style="157" bestFit="1" customWidth="1"/>
    <col min="127" max="128" width="15.6640625" style="152" customWidth="1"/>
    <col min="129" max="129" width="14.44140625" style="152" customWidth="1"/>
    <col min="130" max="130" width="14.109375" style="152" customWidth="1"/>
    <col min="131" max="131" width="13.6640625" style="153" customWidth="1"/>
    <col min="132" max="132" width="11.109375" style="153" customWidth="1"/>
    <col min="133" max="16384" width="8.77734375" style="157"/>
  </cols>
  <sheetData>
    <row r="1" spans="1:132" s="150" customFormat="1" ht="66.45" customHeight="1" thickBot="1" x14ac:dyDescent="0.35">
      <c r="A1" s="105" t="s">
        <v>2923</v>
      </c>
      <c r="B1" s="105"/>
      <c r="C1" s="93" t="s">
        <v>1821</v>
      </c>
      <c r="D1" s="93" t="s">
        <v>1828</v>
      </c>
      <c r="E1" s="93" t="s">
        <v>1829</v>
      </c>
      <c r="F1" s="265" t="s">
        <v>3191</v>
      </c>
      <c r="G1" s="265" t="s">
        <v>1944</v>
      </c>
      <c r="H1" s="265" t="s">
        <v>1945</v>
      </c>
      <c r="I1" s="109" t="s">
        <v>1946</v>
      </c>
      <c r="J1" s="266" t="s">
        <v>1831</v>
      </c>
      <c r="K1" s="266" t="s">
        <v>1832</v>
      </c>
      <c r="L1" s="207" t="s">
        <v>1833</v>
      </c>
      <c r="M1" s="204" t="s">
        <v>1923</v>
      </c>
      <c r="N1" s="392" t="s">
        <v>1834</v>
      </c>
      <c r="O1" s="392" t="s">
        <v>1835</v>
      </c>
      <c r="P1" s="392" t="s">
        <v>1836</v>
      </c>
      <c r="Q1" s="207" t="s">
        <v>1837</v>
      </c>
      <c r="R1" s="204" t="s">
        <v>1924</v>
      </c>
      <c r="S1" s="207" t="s">
        <v>1838</v>
      </c>
      <c r="T1" s="207" t="s">
        <v>1839</v>
      </c>
      <c r="U1" s="207" t="s">
        <v>1840</v>
      </c>
      <c r="V1" s="207" t="s">
        <v>1841</v>
      </c>
      <c r="W1" s="204" t="s">
        <v>1925</v>
      </c>
      <c r="X1" s="108" t="s">
        <v>1940</v>
      </c>
      <c r="Y1" s="108" t="s">
        <v>1941</v>
      </c>
      <c r="Z1" s="108" t="s">
        <v>1942</v>
      </c>
      <c r="AA1" s="108" t="s">
        <v>1943</v>
      </c>
      <c r="AB1" s="207" t="s">
        <v>1842</v>
      </c>
      <c r="AC1" s="266" t="s">
        <v>1843</v>
      </c>
      <c r="AD1" s="266" t="s">
        <v>1844</v>
      </c>
      <c r="AE1" s="266" t="s">
        <v>1845</v>
      </c>
      <c r="AF1" s="267" t="s">
        <v>3177</v>
      </c>
      <c r="AG1" s="267" t="s">
        <v>3178</v>
      </c>
      <c r="AH1" s="266" t="s">
        <v>1848</v>
      </c>
      <c r="AI1" s="207" t="s">
        <v>1849</v>
      </c>
      <c r="AJ1" s="204" t="s">
        <v>1926</v>
      </c>
      <c r="AK1" s="207" t="s">
        <v>1850</v>
      </c>
      <c r="AL1" s="207" t="s">
        <v>2959</v>
      </c>
      <c r="AM1" s="207" t="s">
        <v>2960</v>
      </c>
      <c r="AN1" s="266" t="s">
        <v>2961</v>
      </c>
      <c r="AO1" s="207" t="s">
        <v>2962</v>
      </c>
      <c r="AP1" s="207" t="s">
        <v>2963</v>
      </c>
      <c r="AQ1" s="204" t="s">
        <v>1927</v>
      </c>
      <c r="AR1" s="266" t="s">
        <v>2964</v>
      </c>
      <c r="AS1" s="389" t="s">
        <v>3179</v>
      </c>
      <c r="AT1" s="266" t="s">
        <v>2965</v>
      </c>
      <c r="AU1" s="389" t="s">
        <v>2966</v>
      </c>
      <c r="AV1" s="389" t="s">
        <v>2967</v>
      </c>
      <c r="AW1" s="266" t="s">
        <v>2968</v>
      </c>
      <c r="AX1" s="207" t="s">
        <v>2969</v>
      </c>
      <c r="AY1" s="389" t="s">
        <v>2970</v>
      </c>
      <c r="AZ1" s="93" t="s">
        <v>2958</v>
      </c>
      <c r="BA1" s="107" t="s">
        <v>1928</v>
      </c>
      <c r="BB1" s="93" t="s">
        <v>2971</v>
      </c>
      <c r="BC1" s="93" t="s">
        <v>2972</v>
      </c>
      <c r="BD1" s="93" t="s">
        <v>2973</v>
      </c>
      <c r="BE1" s="93" t="s">
        <v>2974</v>
      </c>
      <c r="BF1" s="93" t="s">
        <v>2975</v>
      </c>
      <c r="BG1" s="390" t="s">
        <v>2956</v>
      </c>
      <c r="BH1" s="390" t="s">
        <v>1878</v>
      </c>
      <c r="BI1" s="93" t="s">
        <v>2936</v>
      </c>
      <c r="BJ1" s="93" t="s">
        <v>1880</v>
      </c>
      <c r="BK1" s="93" t="s">
        <v>1882</v>
      </c>
      <c r="BL1" s="107" t="s">
        <v>1929</v>
      </c>
      <c r="BM1" s="93" t="s">
        <v>1883</v>
      </c>
      <c r="BN1" s="93" t="s">
        <v>1885</v>
      </c>
      <c r="BO1" s="107" t="s">
        <v>1935</v>
      </c>
      <c r="BP1" s="270" t="s">
        <v>3136</v>
      </c>
      <c r="BQ1" s="93" t="s">
        <v>2899</v>
      </c>
      <c r="BR1" s="93" t="s">
        <v>2900</v>
      </c>
      <c r="BS1" s="93" t="s">
        <v>2901</v>
      </c>
      <c r="BT1" s="93" t="s">
        <v>2902</v>
      </c>
      <c r="BU1" s="107" t="s">
        <v>1930</v>
      </c>
      <c r="BV1" s="93" t="s">
        <v>1931</v>
      </c>
      <c r="BW1" s="109" t="s">
        <v>1932</v>
      </c>
      <c r="BX1" s="94" t="s">
        <v>1933</v>
      </c>
      <c r="BY1" s="94" t="s">
        <v>1934</v>
      </c>
      <c r="BZ1" s="93" t="s">
        <v>2924</v>
      </c>
      <c r="CA1" s="93" t="s">
        <v>2925</v>
      </c>
      <c r="CB1" s="93" t="s">
        <v>2926</v>
      </c>
      <c r="CC1" s="93" t="s">
        <v>2927</v>
      </c>
      <c r="CD1" s="93" t="s">
        <v>2928</v>
      </c>
      <c r="CE1" s="93" t="s">
        <v>1896</v>
      </c>
      <c r="CF1" s="93" t="s">
        <v>2929</v>
      </c>
      <c r="CG1" s="93" t="s">
        <v>2930</v>
      </c>
      <c r="CH1" s="107" t="s">
        <v>1936</v>
      </c>
      <c r="CI1" s="93" t="s">
        <v>2912</v>
      </c>
      <c r="CJ1" s="107" t="s">
        <v>1937</v>
      </c>
      <c r="CK1" s="93" t="s">
        <v>2913</v>
      </c>
      <c r="CL1" s="271" t="s">
        <v>2914</v>
      </c>
      <c r="CM1" s="271" t="s">
        <v>2147</v>
      </c>
      <c r="CN1" s="271" t="s">
        <v>2146</v>
      </c>
      <c r="CO1" s="112" t="s">
        <v>1902</v>
      </c>
      <c r="CP1" s="93" t="s">
        <v>1938</v>
      </c>
      <c r="CQ1" s="112" t="s">
        <v>1903</v>
      </c>
      <c r="CR1" s="112" t="s">
        <v>1904</v>
      </c>
      <c r="CS1" s="112" t="s">
        <v>1905</v>
      </c>
      <c r="CT1" s="93" t="s">
        <v>1939</v>
      </c>
      <c r="CU1" s="93" t="s">
        <v>1906</v>
      </c>
      <c r="CV1" s="207" t="s">
        <v>1907</v>
      </c>
      <c r="CW1" s="272" t="s">
        <v>1908</v>
      </c>
      <c r="CX1" s="271" t="s">
        <v>1909</v>
      </c>
      <c r="CY1" s="271" t="s">
        <v>2957</v>
      </c>
      <c r="CZ1" s="93" t="s">
        <v>1911</v>
      </c>
      <c r="DA1" s="93" t="s">
        <v>1912</v>
      </c>
      <c r="DB1" s="93" t="s">
        <v>2162</v>
      </c>
      <c r="DC1" s="93" t="s">
        <v>2163</v>
      </c>
      <c r="DD1" s="93" t="s">
        <v>2915</v>
      </c>
      <c r="DE1" s="93" t="s">
        <v>2931</v>
      </c>
      <c r="DF1" s="265" t="s">
        <v>1917</v>
      </c>
      <c r="DG1" s="265" t="s">
        <v>1918</v>
      </c>
      <c r="DH1" s="265" t="s">
        <v>2932</v>
      </c>
      <c r="DI1" s="265" t="s">
        <v>2175</v>
      </c>
      <c r="DJ1" s="265" t="s">
        <v>2176</v>
      </c>
      <c r="DK1" s="273" t="s">
        <v>1947</v>
      </c>
      <c r="DL1" s="273" t="s">
        <v>1948</v>
      </c>
      <c r="DM1" s="271" t="s">
        <v>1823</v>
      </c>
      <c r="DN1" s="105" t="s">
        <v>1819</v>
      </c>
      <c r="DO1" s="105" t="s">
        <v>1820</v>
      </c>
      <c r="DP1" s="274" t="s">
        <v>21</v>
      </c>
      <c r="DQ1" s="271" t="s">
        <v>2937</v>
      </c>
      <c r="DR1" s="105" t="s">
        <v>1824</v>
      </c>
      <c r="DS1" s="105" t="s">
        <v>1825</v>
      </c>
      <c r="DT1" s="106" t="s">
        <v>1826</v>
      </c>
      <c r="DU1" s="106" t="s">
        <v>1827</v>
      </c>
      <c r="DV1" s="111" t="s">
        <v>15</v>
      </c>
      <c r="DW1" s="94" t="s">
        <v>2938</v>
      </c>
      <c r="DX1" s="94" t="s">
        <v>2939</v>
      </c>
      <c r="DY1" s="94" t="s">
        <v>2940</v>
      </c>
      <c r="DZ1" s="94" t="s">
        <v>2941</v>
      </c>
      <c r="EA1" s="244" t="s">
        <v>2951</v>
      </c>
      <c r="EB1" s="244" t="s">
        <v>2952</v>
      </c>
    </row>
    <row r="2" spans="1:132" ht="15" thickBot="1" x14ac:dyDescent="0.35">
      <c r="A2" s="261" t="s">
        <v>3143</v>
      </c>
      <c r="B2" s="388" t="s">
        <v>3195</v>
      </c>
      <c r="C2" s="262">
        <v>162062</v>
      </c>
      <c r="D2" s="250">
        <v>3</v>
      </c>
      <c r="E2" s="250">
        <v>0</v>
      </c>
      <c r="F2" s="249">
        <v>56056</v>
      </c>
      <c r="H2" s="151">
        <f t="shared" ref="H2:H65" si="0">G2+F2</f>
        <v>56056</v>
      </c>
      <c r="I2" s="152">
        <v>0.34588999999999998</v>
      </c>
      <c r="J2" s="251">
        <v>1706812</v>
      </c>
      <c r="K2" s="251">
        <v>662897</v>
      </c>
      <c r="L2" s="158">
        <f>J2+K2</f>
        <v>2369709</v>
      </c>
      <c r="M2" s="153">
        <f t="shared" ref="M2" si="1">L2/C2</f>
        <v>14.622237168491072</v>
      </c>
      <c r="N2" s="251">
        <v>187832</v>
      </c>
      <c r="O2" s="251">
        <v>55000</v>
      </c>
      <c r="P2" s="268">
        <v>56000</v>
      </c>
      <c r="Q2" s="158">
        <v>298832</v>
      </c>
      <c r="R2" s="153">
        <f t="shared" ref="R2" si="2">Q2/C2</f>
        <v>1.8439362713035752</v>
      </c>
      <c r="S2" s="268">
        <v>417041</v>
      </c>
      <c r="T2" s="251">
        <v>3085582</v>
      </c>
      <c r="U2" s="251">
        <v>0</v>
      </c>
      <c r="V2" s="251">
        <v>3085582</v>
      </c>
      <c r="W2" s="153">
        <f t="shared" ref="W2" si="3">V2/C2</f>
        <v>19.039515740889289</v>
      </c>
      <c r="X2" s="154">
        <f t="shared" ref="X2" si="4">L2/V2</f>
        <v>0.76799417419468996</v>
      </c>
      <c r="Y2" s="154">
        <f t="shared" ref="Y2" si="5">Q2/V2</f>
        <v>9.6847855607143152E-2</v>
      </c>
      <c r="Z2" s="154">
        <f t="shared" ref="Z2" si="6">S2/V2</f>
        <v>0.13515797019816683</v>
      </c>
      <c r="AA2" s="154">
        <f t="shared" ref="AA2" si="7">U2/V2</f>
        <v>0</v>
      </c>
      <c r="AB2" s="251">
        <v>0</v>
      </c>
      <c r="AE2" s="251"/>
      <c r="AF2" s="251">
        <v>3085582</v>
      </c>
      <c r="AG2" s="251">
        <v>2904899</v>
      </c>
      <c r="AH2" s="251"/>
      <c r="AI2" s="158">
        <f t="shared" ref="AI2:AI33" si="8">SUM(AF2:AH2)</f>
        <v>5990481</v>
      </c>
      <c r="AJ2" s="153">
        <f t="shared" ref="AJ2" si="9">AI2/C2</f>
        <v>36.964131011588158</v>
      </c>
      <c r="AK2" s="251">
        <v>182685</v>
      </c>
      <c r="AL2" s="251">
        <v>50000</v>
      </c>
      <c r="AM2" s="251">
        <v>109575</v>
      </c>
      <c r="AN2" s="251"/>
      <c r="AO2" s="158">
        <f t="shared" ref="AO2" si="10">AM2+AN2</f>
        <v>109575</v>
      </c>
      <c r="AP2" s="251">
        <v>3469319</v>
      </c>
      <c r="AQ2" s="155">
        <f t="shared" ref="AQ2" si="11">AP2/C2</f>
        <v>21.407356443830139</v>
      </c>
      <c r="AR2" s="251"/>
      <c r="AS2" s="268">
        <v>0</v>
      </c>
      <c r="AT2" s="251">
        <v>0</v>
      </c>
      <c r="AU2" s="268">
        <v>0</v>
      </c>
      <c r="AV2" s="268">
        <v>0</v>
      </c>
      <c r="AW2" s="251"/>
      <c r="AX2" s="268">
        <v>0</v>
      </c>
      <c r="AY2" s="158">
        <f t="shared" ref="AY2" si="12">SUM(AR2:AX2)</f>
        <v>0</v>
      </c>
      <c r="AZ2" s="249">
        <v>168855</v>
      </c>
      <c r="BA2" s="152">
        <f t="shared" ref="BA2:BA65" si="13">AZ2/C2</f>
        <v>1.041916056817761</v>
      </c>
      <c r="BB2" s="269">
        <v>14148</v>
      </c>
      <c r="BC2" s="269">
        <v>14148</v>
      </c>
      <c r="BD2" s="269">
        <v>27827</v>
      </c>
      <c r="BE2" s="269">
        <v>1752</v>
      </c>
      <c r="BF2" s="269">
        <v>75629</v>
      </c>
      <c r="BG2" s="269">
        <v>7</v>
      </c>
      <c r="BH2" s="269">
        <v>89</v>
      </c>
      <c r="BI2" s="249">
        <v>0</v>
      </c>
      <c r="BJ2" s="159">
        <f t="shared" ref="BJ2" si="14">SUM(BG2:BI2)</f>
        <v>96</v>
      </c>
      <c r="BK2" s="269">
        <v>311436</v>
      </c>
      <c r="BL2" s="152">
        <f t="shared" ref="BL2:BL65" si="15">BK2/C2</f>
        <v>1.9217089755772483</v>
      </c>
      <c r="BM2" s="269">
        <v>229</v>
      </c>
      <c r="BN2" s="249">
        <v>37767</v>
      </c>
      <c r="BO2" s="152">
        <f t="shared" ref="BO2:BO65" si="16">BN2/C2</f>
        <v>0.23304044131258408</v>
      </c>
      <c r="BP2" s="249">
        <v>144230</v>
      </c>
      <c r="BQ2" s="249">
        <v>0</v>
      </c>
      <c r="BR2" s="276">
        <f>BT2-BS2</f>
        <v>466526</v>
      </c>
      <c r="BS2" s="276">
        <v>211570</v>
      </c>
      <c r="BT2" s="269">
        <v>678096</v>
      </c>
      <c r="BU2" s="152">
        <f t="shared" ref="BU2:BU65" si="17">BT2/C2</f>
        <v>4.1841764263059815</v>
      </c>
      <c r="BV2" s="151">
        <f t="shared" ref="BV2" si="18">BT2/CS2</f>
        <v>10432.246153846154</v>
      </c>
      <c r="BW2" s="152">
        <f t="shared" ref="BW2:BW33" si="19">BT2/DL2</f>
        <v>78.958546809501627</v>
      </c>
      <c r="BX2" s="152">
        <f t="shared" ref="BX2:BX33" si="20">BT2/CI2</f>
        <v>1.9053420700661998</v>
      </c>
      <c r="BY2" s="152">
        <f t="shared" ref="BY2" si="21">BT2/BK2</f>
        <v>2.1773205409779215</v>
      </c>
      <c r="BZ2" s="249">
        <v>720</v>
      </c>
      <c r="CA2" s="249">
        <v>81</v>
      </c>
      <c r="CB2" s="249">
        <v>513</v>
      </c>
      <c r="CC2" s="156">
        <f>SUM(BZ2:CB2)</f>
        <v>1314</v>
      </c>
      <c r="CD2" s="249">
        <v>19170</v>
      </c>
      <c r="CE2" s="249">
        <v>521</v>
      </c>
      <c r="CF2" s="249">
        <v>10267</v>
      </c>
      <c r="CG2" s="159">
        <f t="shared" ref="CG2" si="22">SUM(CD2:CF2)</f>
        <v>29958</v>
      </c>
      <c r="CH2" s="152">
        <f t="shared" ref="CH2:CH65" si="23">CG2/C2</f>
        <v>0.18485517888215622</v>
      </c>
      <c r="CI2" s="249">
        <v>355892</v>
      </c>
      <c r="CJ2" s="152">
        <f t="shared" ref="CJ2:CJ65" si="24">CI2/C2</f>
        <v>2.1960237439992101</v>
      </c>
      <c r="CK2" s="269">
        <v>103947</v>
      </c>
      <c r="CL2" s="252" t="s">
        <v>25</v>
      </c>
      <c r="CM2" s="252" t="s">
        <v>25</v>
      </c>
      <c r="CN2" s="252" t="s">
        <v>25</v>
      </c>
      <c r="CO2" s="253">
        <v>11</v>
      </c>
      <c r="CP2" s="151">
        <f>C2/CO2</f>
        <v>14732.90909090909</v>
      </c>
      <c r="CQ2" s="253">
        <v>0</v>
      </c>
      <c r="CR2" s="253">
        <v>54</v>
      </c>
      <c r="CS2" s="223">
        <f t="shared" ref="CS2" si="25">CO2+CQ2+CR2</f>
        <v>65</v>
      </c>
      <c r="CT2" s="151">
        <f t="shared" ref="CT2:CT36" si="26">C2/CS2</f>
        <v>2493.2615384615383</v>
      </c>
      <c r="CU2" s="249">
        <v>1212</v>
      </c>
      <c r="CV2" s="251">
        <v>74500</v>
      </c>
      <c r="CW2" s="253">
        <v>40</v>
      </c>
      <c r="CX2" s="252" t="s">
        <v>25</v>
      </c>
      <c r="CY2" s="252" t="s">
        <v>25</v>
      </c>
      <c r="CZ2" s="249">
        <v>98</v>
      </c>
      <c r="DA2" s="249">
        <v>269</v>
      </c>
      <c r="DB2" s="249">
        <v>93</v>
      </c>
      <c r="DC2" s="249">
        <v>69769</v>
      </c>
      <c r="DD2" s="249">
        <v>43791</v>
      </c>
      <c r="DE2" s="249">
        <v>228788</v>
      </c>
      <c r="DF2" s="249">
        <v>11458</v>
      </c>
      <c r="DG2" s="249">
        <v>52</v>
      </c>
      <c r="DH2" s="253">
        <f>DF2/C2</f>
        <v>7.0701336525527264E-2</v>
      </c>
      <c r="DI2" s="249">
        <v>63</v>
      </c>
      <c r="DJ2" s="249">
        <v>63</v>
      </c>
      <c r="DK2" s="151">
        <v>6254</v>
      </c>
      <c r="DL2" s="151">
        <v>8588</v>
      </c>
      <c r="DM2" s="248"/>
      <c r="DN2" s="252" t="s">
        <v>3054</v>
      </c>
      <c r="DO2" s="252" t="s">
        <v>1950</v>
      </c>
      <c r="DP2" s="252"/>
      <c r="DQ2" s="250"/>
      <c r="DR2" s="261" t="s">
        <v>3143</v>
      </c>
      <c r="DS2" s="248" t="s">
        <v>2979</v>
      </c>
      <c r="DT2" s="275">
        <v>43282</v>
      </c>
      <c r="DU2" s="275">
        <v>43646</v>
      </c>
      <c r="DV2" s="261" t="s">
        <v>3143</v>
      </c>
      <c r="DW2" s="152">
        <f t="shared" ref="DW2:DW65" si="27">BP2/C2</f>
        <v>0.88996803692414017</v>
      </c>
      <c r="DX2" s="152">
        <f t="shared" ref="DX2:DX65" si="28">BQ2/C2</f>
        <v>0</v>
      </c>
      <c r="DY2" s="152">
        <f t="shared" ref="DY2:DY65" si="29">BR2/C2</f>
        <v>2.8786884032037121</v>
      </c>
      <c r="DZ2" s="152">
        <f t="shared" ref="DZ2:DZ65" si="30">BS2/C2</f>
        <v>1.3054880231022694</v>
      </c>
      <c r="EA2" s="153">
        <f t="shared" ref="EA2:EA5" si="31">N2/(BP2+BR2)</f>
        <v>0.30754016333855089</v>
      </c>
      <c r="EB2" s="243">
        <f>O2/(BQ2+BS2)</f>
        <v>0.25996124214208066</v>
      </c>
    </row>
    <row r="3" spans="1:132" ht="15" thickBot="1" x14ac:dyDescent="0.35">
      <c r="A3" s="261" t="s">
        <v>3144</v>
      </c>
      <c r="B3" s="388" t="s">
        <v>3196</v>
      </c>
      <c r="C3" s="263">
        <v>76553</v>
      </c>
      <c r="D3" s="250">
        <v>6</v>
      </c>
      <c r="E3" s="250">
        <v>0</v>
      </c>
      <c r="F3" s="249">
        <v>32361</v>
      </c>
      <c r="H3" s="151">
        <f t="shared" si="0"/>
        <v>32361</v>
      </c>
      <c r="I3" s="152">
        <v>0.42272999999999999</v>
      </c>
      <c r="J3" s="251">
        <v>636056</v>
      </c>
      <c r="K3" s="251">
        <v>206060</v>
      </c>
      <c r="L3" s="158">
        <f t="shared" ref="L3:L66" si="32">J3+K3</f>
        <v>842116</v>
      </c>
      <c r="M3" s="153">
        <f t="shared" ref="M3:M66" si="33">L3/C3</f>
        <v>11.000431073896516</v>
      </c>
      <c r="N3" s="251">
        <v>76923</v>
      </c>
      <c r="O3" s="251">
        <v>14888</v>
      </c>
      <c r="P3" s="268">
        <v>12610</v>
      </c>
      <c r="Q3" s="158">
        <v>104421</v>
      </c>
      <c r="R3" s="153">
        <f t="shared" ref="R3:R66" si="34">Q3/C3</f>
        <v>1.3640353741852049</v>
      </c>
      <c r="S3" s="268">
        <v>328907</v>
      </c>
      <c r="T3" s="251">
        <v>1275444</v>
      </c>
      <c r="U3" s="251">
        <v>0</v>
      </c>
      <c r="V3" s="251">
        <v>1275444</v>
      </c>
      <c r="W3" s="153">
        <f t="shared" ref="W3:W66" si="35">V3/C3</f>
        <v>16.660927723276686</v>
      </c>
      <c r="X3" s="154">
        <f t="shared" ref="X3:X66" si="36">L3/V3</f>
        <v>0.66025321378280821</v>
      </c>
      <c r="Y3" s="154">
        <f t="shared" ref="Y3:Y66" si="37">Q3/V3</f>
        <v>8.1870313396746539E-2</v>
      </c>
      <c r="Z3" s="154">
        <f t="shared" ref="Z3:Z66" si="38">S3/V3</f>
        <v>0.25787647282044529</v>
      </c>
      <c r="AA3" s="154">
        <f t="shared" ref="AA3:AA66" si="39">U3/V3</f>
        <v>0</v>
      </c>
      <c r="AB3" s="251">
        <v>0</v>
      </c>
      <c r="AE3" s="251"/>
      <c r="AF3" s="251">
        <v>1275444</v>
      </c>
      <c r="AG3" s="251">
        <v>500519</v>
      </c>
      <c r="AH3" s="251"/>
      <c r="AI3" s="158">
        <f t="shared" si="8"/>
        <v>1775963</v>
      </c>
      <c r="AJ3" s="153">
        <f t="shared" ref="AJ3:AJ66" si="40">AI3/C3</f>
        <v>23.199130014499758</v>
      </c>
      <c r="AK3" s="251">
        <v>389530</v>
      </c>
      <c r="AL3" s="251">
        <v>20024</v>
      </c>
      <c r="AM3" s="251">
        <v>59740</v>
      </c>
      <c r="AN3" s="251"/>
      <c r="AO3" s="158">
        <f t="shared" ref="AO3:AO66" si="41">AM3+AN3</f>
        <v>59740</v>
      </c>
      <c r="AP3" s="251">
        <v>1208995</v>
      </c>
      <c r="AQ3" s="155">
        <f t="shared" ref="AQ3:AQ66" si="42">AP3/C3</f>
        <v>15.792914712682716</v>
      </c>
      <c r="AR3" s="251"/>
      <c r="AS3" s="268">
        <v>0</v>
      </c>
      <c r="AT3" s="251">
        <v>0</v>
      </c>
      <c r="AU3" s="268">
        <v>0</v>
      </c>
      <c r="AV3" s="268">
        <v>0</v>
      </c>
      <c r="AW3" s="251"/>
      <c r="AX3" s="268">
        <v>0</v>
      </c>
      <c r="AY3" s="158">
        <f t="shared" ref="AY3:AY66" si="43">SUM(AR3:AX3)</f>
        <v>0</v>
      </c>
      <c r="AZ3" s="249">
        <v>187067</v>
      </c>
      <c r="BA3" s="152">
        <f t="shared" si="13"/>
        <v>2.4436272908965031</v>
      </c>
      <c r="BB3" s="269">
        <v>8363</v>
      </c>
      <c r="BC3" s="269">
        <v>8363</v>
      </c>
      <c r="BD3" s="269">
        <v>14305</v>
      </c>
      <c r="BE3" s="269">
        <v>2179</v>
      </c>
      <c r="BF3" s="269">
        <v>144058</v>
      </c>
      <c r="BG3" s="269">
        <v>4</v>
      </c>
      <c r="BH3" s="269">
        <v>89</v>
      </c>
      <c r="BI3" s="249">
        <v>0</v>
      </c>
      <c r="BJ3" s="159">
        <f t="shared" ref="BJ3:BJ66" si="44">SUM(BG3:BI3)</f>
        <v>93</v>
      </c>
      <c r="BK3" s="269">
        <v>394751</v>
      </c>
      <c r="BL3" s="152">
        <f t="shared" si="15"/>
        <v>5.1565712643528014</v>
      </c>
      <c r="BM3" s="269">
        <v>536</v>
      </c>
      <c r="BN3" s="249">
        <v>31879</v>
      </c>
      <c r="BO3" s="152">
        <f t="shared" si="16"/>
        <v>0.41643044687993941</v>
      </c>
      <c r="BP3" s="249">
        <v>20796</v>
      </c>
      <c r="BQ3" s="249">
        <v>0</v>
      </c>
      <c r="BR3" s="276">
        <f t="shared" ref="BR3:BR66" si="45">BT3-BS3</f>
        <v>61366</v>
      </c>
      <c r="BS3" s="276">
        <v>6467</v>
      </c>
      <c r="BT3" s="269">
        <v>67833</v>
      </c>
      <c r="BU3" s="152">
        <f t="shared" si="17"/>
        <v>0.88609198855694749</v>
      </c>
      <c r="BV3" s="151">
        <f t="shared" ref="BV3:BV36" si="46">BT3/CS3</f>
        <v>2826.375</v>
      </c>
      <c r="BW3" s="152">
        <f t="shared" si="19"/>
        <v>5.2163180559827742</v>
      </c>
      <c r="BX3" s="152">
        <f t="shared" si="20"/>
        <v>0.69365279013406145</v>
      </c>
      <c r="BY3" s="152">
        <f t="shared" ref="BY3:BY34" si="47">BT3/BK3</f>
        <v>0.17183743676393473</v>
      </c>
      <c r="BZ3" s="249">
        <v>264</v>
      </c>
      <c r="CA3" s="249">
        <v>70</v>
      </c>
      <c r="CB3" s="249">
        <v>243</v>
      </c>
      <c r="CC3" s="156">
        <f t="shared" ref="CC3:CC66" si="48">SUM(BZ3:CB3)</f>
        <v>577</v>
      </c>
      <c r="CD3" s="249">
        <v>7682</v>
      </c>
      <c r="CE3" s="249">
        <v>1011</v>
      </c>
      <c r="CF3" s="249">
        <v>2045</v>
      </c>
      <c r="CG3" s="159">
        <f t="shared" ref="CG3:CG66" si="49">SUM(CD3:CF3)</f>
        <v>10738</v>
      </c>
      <c r="CH3" s="152">
        <f t="shared" si="23"/>
        <v>0.14026883335728188</v>
      </c>
      <c r="CI3" s="249">
        <v>97791</v>
      </c>
      <c r="CJ3" s="152">
        <f t="shared" si="24"/>
        <v>1.277428709521508</v>
      </c>
      <c r="CK3" s="269">
        <v>37175</v>
      </c>
      <c r="CL3" s="252" t="s">
        <v>25</v>
      </c>
      <c r="CM3" s="252" t="s">
        <v>25</v>
      </c>
      <c r="CN3" s="252" t="s">
        <v>25</v>
      </c>
      <c r="CO3" s="253">
        <v>1</v>
      </c>
      <c r="CP3" s="253">
        <v>0</v>
      </c>
      <c r="CQ3" s="253">
        <v>1</v>
      </c>
      <c r="CR3" s="253">
        <v>22</v>
      </c>
      <c r="CS3" s="223">
        <f t="shared" ref="CS3:CS66" si="50">CO3+CQ3+CR3</f>
        <v>24</v>
      </c>
      <c r="CT3" s="151">
        <f t="shared" si="26"/>
        <v>3189.7083333333335</v>
      </c>
      <c r="CU3" s="249">
        <v>150</v>
      </c>
      <c r="CV3" s="251">
        <v>65409</v>
      </c>
      <c r="CW3" s="253">
        <v>40</v>
      </c>
      <c r="CX3" s="252" t="s">
        <v>25</v>
      </c>
      <c r="CY3" s="252" t="s">
        <v>25</v>
      </c>
      <c r="CZ3" s="249">
        <v>0</v>
      </c>
      <c r="DA3" s="249">
        <v>0</v>
      </c>
      <c r="DB3" s="249">
        <v>90</v>
      </c>
      <c r="DC3" s="249">
        <v>35183</v>
      </c>
      <c r="DD3" s="249">
        <v>26880</v>
      </c>
      <c r="DE3" s="249">
        <v>293696</v>
      </c>
      <c r="DF3" s="249">
        <v>15288</v>
      </c>
      <c r="DG3" s="249">
        <v>52</v>
      </c>
      <c r="DH3" s="253">
        <f t="shared" ref="DH3:DH66" si="51">DF3/C3</f>
        <v>0.19970477969511319</v>
      </c>
      <c r="DI3" s="249">
        <v>62</v>
      </c>
      <c r="DJ3" s="249">
        <v>62</v>
      </c>
      <c r="DL3" s="151">
        <v>13004</v>
      </c>
      <c r="DM3" s="248"/>
      <c r="DN3" s="252" t="s">
        <v>3055</v>
      </c>
      <c r="DO3" s="252" t="s">
        <v>3052</v>
      </c>
      <c r="DP3" s="252"/>
      <c r="DQ3" s="250"/>
      <c r="DR3" s="261" t="s">
        <v>3144</v>
      </c>
      <c r="DS3" s="248" t="s">
        <v>2980</v>
      </c>
      <c r="DT3" s="275">
        <v>43282</v>
      </c>
      <c r="DU3" s="275">
        <v>43646</v>
      </c>
      <c r="DV3" s="261" t="s">
        <v>3144</v>
      </c>
      <c r="DW3" s="152">
        <f t="shared" si="27"/>
        <v>0.27165493187726153</v>
      </c>
      <c r="DX3" s="152">
        <f t="shared" si="28"/>
        <v>0</v>
      </c>
      <c r="DY3" s="152">
        <f t="shared" si="29"/>
        <v>0.80161456768513317</v>
      </c>
      <c r="DZ3" s="152">
        <f t="shared" si="30"/>
        <v>8.4477420871814299E-2</v>
      </c>
      <c r="EA3" s="153">
        <f t="shared" si="31"/>
        <v>0.9362357294126239</v>
      </c>
      <c r="EB3" s="243">
        <f t="shared" ref="EB3:EB65" si="52">O3/(BQ3+BS3)</f>
        <v>2.3021493737436214</v>
      </c>
    </row>
    <row r="4" spans="1:132" ht="15" thickBot="1" x14ac:dyDescent="0.35">
      <c r="A4" s="261" t="s">
        <v>3145</v>
      </c>
      <c r="B4" s="388" t="s">
        <v>3197</v>
      </c>
      <c r="C4" s="263">
        <v>38390</v>
      </c>
      <c r="D4" s="250">
        <v>2</v>
      </c>
      <c r="E4" s="250">
        <v>0</v>
      </c>
      <c r="F4" s="249">
        <v>13120</v>
      </c>
      <c r="H4" s="151">
        <f t="shared" si="0"/>
        <v>13120</v>
      </c>
      <c r="I4" s="152">
        <v>0.34176000000000001</v>
      </c>
      <c r="J4" s="251">
        <v>281564</v>
      </c>
      <c r="K4" s="251">
        <v>124817</v>
      </c>
      <c r="L4" s="158">
        <f t="shared" si="32"/>
        <v>406381</v>
      </c>
      <c r="M4" s="153">
        <f t="shared" si="33"/>
        <v>10.585595207085179</v>
      </c>
      <c r="N4" s="251">
        <v>39673</v>
      </c>
      <c r="O4" s="251">
        <v>6784</v>
      </c>
      <c r="P4" s="268">
        <v>6726</v>
      </c>
      <c r="Q4" s="158">
        <v>53183</v>
      </c>
      <c r="R4" s="153">
        <f t="shared" si="34"/>
        <v>1.3853347225840063</v>
      </c>
      <c r="S4" s="268">
        <v>71924</v>
      </c>
      <c r="T4" s="251">
        <v>531488</v>
      </c>
      <c r="U4" s="251">
        <v>0</v>
      </c>
      <c r="V4" s="251">
        <v>531488</v>
      </c>
      <c r="W4" s="153">
        <f t="shared" si="35"/>
        <v>13.844438655899975</v>
      </c>
      <c r="X4" s="154">
        <f t="shared" si="36"/>
        <v>0.76460992534168226</v>
      </c>
      <c r="Y4" s="154">
        <f t="shared" si="37"/>
        <v>0.10006434764284425</v>
      </c>
      <c r="Z4" s="154">
        <f t="shared" si="38"/>
        <v>0.13532572701547355</v>
      </c>
      <c r="AA4" s="154">
        <f t="shared" si="39"/>
        <v>0</v>
      </c>
      <c r="AB4" s="251">
        <v>0</v>
      </c>
      <c r="AE4" s="251"/>
      <c r="AF4" s="251">
        <v>531488</v>
      </c>
      <c r="AG4" s="251">
        <v>462148</v>
      </c>
      <c r="AH4" s="251"/>
      <c r="AI4" s="158">
        <f t="shared" si="8"/>
        <v>993636</v>
      </c>
      <c r="AJ4" s="153">
        <f t="shared" si="40"/>
        <v>25.882677780672051</v>
      </c>
      <c r="AK4" s="251">
        <v>94754</v>
      </c>
      <c r="AL4" s="251">
        <v>0</v>
      </c>
      <c r="AM4" s="251">
        <v>14769</v>
      </c>
      <c r="AN4" s="251"/>
      <c r="AO4" s="158">
        <f t="shared" si="41"/>
        <v>14769</v>
      </c>
      <c r="AP4" s="251">
        <v>571671</v>
      </c>
      <c r="AQ4" s="155">
        <f t="shared" si="42"/>
        <v>14.891143526960146</v>
      </c>
      <c r="AR4" s="251"/>
      <c r="AS4" s="268">
        <v>6770</v>
      </c>
      <c r="AT4" s="251">
        <v>0</v>
      </c>
      <c r="AU4" s="268">
        <v>0</v>
      </c>
      <c r="AV4" s="268">
        <v>0</v>
      </c>
      <c r="AW4" s="251"/>
      <c r="AX4" s="268">
        <v>0</v>
      </c>
      <c r="AY4" s="158">
        <f t="shared" si="43"/>
        <v>6770</v>
      </c>
      <c r="AZ4" s="249">
        <v>51456</v>
      </c>
      <c r="BA4" s="152">
        <f t="shared" si="13"/>
        <v>1.3403490492315706</v>
      </c>
      <c r="BB4" s="269">
        <v>2574</v>
      </c>
      <c r="BC4" s="269">
        <v>2574</v>
      </c>
      <c r="BD4" s="269">
        <v>3337</v>
      </c>
      <c r="BE4" s="269">
        <v>1752</v>
      </c>
      <c r="BF4" s="269">
        <v>72043</v>
      </c>
      <c r="BG4" s="269">
        <v>1</v>
      </c>
      <c r="BH4" s="269">
        <v>89</v>
      </c>
      <c r="BI4" s="249">
        <v>0</v>
      </c>
      <c r="BJ4" s="159">
        <f t="shared" si="44"/>
        <v>90</v>
      </c>
      <c r="BK4" s="269">
        <v>149901</v>
      </c>
      <c r="BL4" s="152">
        <f t="shared" si="15"/>
        <v>3.9046887210210994</v>
      </c>
      <c r="BM4" s="269">
        <v>0</v>
      </c>
      <c r="BN4" s="249">
        <v>1800</v>
      </c>
      <c r="BO4" s="152">
        <f t="shared" si="16"/>
        <v>4.6887210210992444E-2</v>
      </c>
      <c r="BP4" s="249">
        <v>25116</v>
      </c>
      <c r="BQ4" s="249">
        <v>0</v>
      </c>
      <c r="BR4" s="276">
        <f t="shared" si="45"/>
        <v>57730</v>
      </c>
      <c r="BS4" s="276">
        <v>4576</v>
      </c>
      <c r="BT4" s="269">
        <v>62306</v>
      </c>
      <c r="BU4" s="152">
        <f t="shared" si="17"/>
        <v>1.6229747330033863</v>
      </c>
      <c r="BV4" s="151">
        <f t="shared" si="46"/>
        <v>5371.2068965517246</v>
      </c>
      <c r="BW4" s="152">
        <f t="shared" si="19"/>
        <v>21.641542202153527</v>
      </c>
      <c r="BX4" s="152">
        <f t="shared" si="20"/>
        <v>1.379519539466401</v>
      </c>
      <c r="BY4" s="152">
        <f t="shared" si="47"/>
        <v>0.41564766078945437</v>
      </c>
      <c r="BZ4" s="249">
        <v>301</v>
      </c>
      <c r="CA4" s="249">
        <v>24</v>
      </c>
      <c r="CB4" s="249">
        <v>152</v>
      </c>
      <c r="CC4" s="156">
        <f t="shared" si="48"/>
        <v>477</v>
      </c>
      <c r="CD4" s="249">
        <v>5461</v>
      </c>
      <c r="CE4" s="249">
        <v>869</v>
      </c>
      <c r="CF4" s="249">
        <v>854</v>
      </c>
      <c r="CG4" s="159">
        <f t="shared" si="49"/>
        <v>7184</v>
      </c>
      <c r="CH4" s="152">
        <f t="shared" si="23"/>
        <v>0.18713206564209431</v>
      </c>
      <c r="CI4" s="249">
        <v>45165</v>
      </c>
      <c r="CJ4" s="152">
        <f t="shared" si="24"/>
        <v>1.1764782495441521</v>
      </c>
      <c r="CK4" s="269">
        <v>8986</v>
      </c>
      <c r="CL4" s="252" t="s">
        <v>25</v>
      </c>
      <c r="CM4" s="252" t="s">
        <v>25</v>
      </c>
      <c r="CN4" s="252" t="s">
        <v>25</v>
      </c>
      <c r="CO4" s="253">
        <v>1</v>
      </c>
      <c r="CP4" s="151">
        <f>C4/CO4</f>
        <v>38390</v>
      </c>
      <c r="CQ4" s="253">
        <v>0</v>
      </c>
      <c r="CR4" s="253">
        <v>10.6</v>
      </c>
      <c r="CS4" s="223">
        <f t="shared" si="50"/>
        <v>11.6</v>
      </c>
      <c r="CT4" s="151">
        <f t="shared" si="26"/>
        <v>3309.4827586206898</v>
      </c>
      <c r="CU4" s="249" t="s">
        <v>2935</v>
      </c>
      <c r="CV4" s="251">
        <v>50412</v>
      </c>
      <c r="CW4" s="253">
        <v>20</v>
      </c>
      <c r="CX4" s="252" t="s">
        <v>25</v>
      </c>
      <c r="CY4" s="252" t="s">
        <v>25</v>
      </c>
      <c r="CZ4" s="249">
        <v>3764</v>
      </c>
      <c r="DA4" s="249">
        <v>3815</v>
      </c>
      <c r="DB4" s="249">
        <v>16</v>
      </c>
      <c r="DC4" s="249">
        <v>7320</v>
      </c>
      <c r="DD4" s="249" t="s">
        <v>3137</v>
      </c>
      <c r="DE4" s="249">
        <v>29086</v>
      </c>
      <c r="DF4" s="249">
        <v>4893</v>
      </c>
      <c r="DG4" s="249">
        <v>51</v>
      </c>
      <c r="DH4" s="253">
        <f t="shared" si="51"/>
        <v>0.12745506642354779</v>
      </c>
      <c r="DI4" s="249">
        <v>29</v>
      </c>
      <c r="DJ4" s="249">
        <v>29</v>
      </c>
      <c r="DL4" s="151">
        <v>2879</v>
      </c>
      <c r="DM4" s="248"/>
      <c r="DN4" s="252" t="s">
        <v>3056</v>
      </c>
      <c r="DO4" s="252" t="s">
        <v>1950</v>
      </c>
      <c r="DP4" s="252"/>
      <c r="DQ4" s="250"/>
      <c r="DR4" s="261" t="s">
        <v>3145</v>
      </c>
      <c r="DS4" s="248" t="s">
        <v>2981</v>
      </c>
      <c r="DT4" s="275">
        <v>43282</v>
      </c>
      <c r="DU4" s="275">
        <v>43646</v>
      </c>
      <c r="DV4" s="261" t="s">
        <v>3145</v>
      </c>
      <c r="DW4" s="152">
        <f t="shared" si="27"/>
        <v>0.65423287314404788</v>
      </c>
      <c r="DX4" s="152">
        <f t="shared" si="28"/>
        <v>0</v>
      </c>
      <c r="DY4" s="152">
        <f t="shared" si="29"/>
        <v>1.5037770252669966</v>
      </c>
      <c r="DZ4" s="152">
        <f t="shared" si="30"/>
        <v>0.11919770773638969</v>
      </c>
      <c r="EA4" s="153">
        <f t="shared" si="31"/>
        <v>0.47887646959418678</v>
      </c>
      <c r="EB4" s="243">
        <f t="shared" si="52"/>
        <v>1.4825174825174825</v>
      </c>
    </row>
    <row r="5" spans="1:132" ht="29.4" thickBot="1" x14ac:dyDescent="0.35">
      <c r="A5" s="261" t="s">
        <v>3146</v>
      </c>
      <c r="B5" s="388" t="s">
        <v>3198</v>
      </c>
      <c r="C5" s="263">
        <v>155104</v>
      </c>
      <c r="D5" s="250">
        <v>2</v>
      </c>
      <c r="E5" s="250">
        <v>0</v>
      </c>
      <c r="F5" s="249">
        <v>71101</v>
      </c>
      <c r="H5" s="151">
        <f t="shared" si="0"/>
        <v>71101</v>
      </c>
      <c r="I5" s="152">
        <v>0.45840999999999998</v>
      </c>
      <c r="J5" s="251">
        <v>1605603</v>
      </c>
      <c r="K5" s="251">
        <v>453692</v>
      </c>
      <c r="L5" s="158">
        <f t="shared" si="32"/>
        <v>2059295</v>
      </c>
      <c r="M5" s="153">
        <f t="shared" si="33"/>
        <v>13.276865844852486</v>
      </c>
      <c r="N5" s="251">
        <v>121458</v>
      </c>
      <c r="O5" s="251">
        <v>16551</v>
      </c>
      <c r="P5" s="268">
        <v>16719</v>
      </c>
      <c r="Q5" s="158">
        <v>154728</v>
      </c>
      <c r="R5" s="153">
        <f t="shared" si="34"/>
        <v>0.99757582009490409</v>
      </c>
      <c r="S5" s="268">
        <v>420769</v>
      </c>
      <c r="T5" s="251">
        <v>2634792</v>
      </c>
      <c r="U5" s="251">
        <v>0</v>
      </c>
      <c r="V5" s="251">
        <v>2634792</v>
      </c>
      <c r="W5" s="153">
        <f t="shared" si="35"/>
        <v>16.987260160924283</v>
      </c>
      <c r="X5" s="154">
        <f t="shared" si="36"/>
        <v>0.78157782473910653</v>
      </c>
      <c r="Y5" s="154">
        <f t="shared" si="37"/>
        <v>5.8724939198236521E-2</v>
      </c>
      <c r="Z5" s="154">
        <f t="shared" si="38"/>
        <v>0.15969723606265693</v>
      </c>
      <c r="AA5" s="154">
        <f t="shared" si="39"/>
        <v>0</v>
      </c>
      <c r="AB5" s="251">
        <v>0</v>
      </c>
      <c r="AE5" s="251"/>
      <c r="AF5" s="251">
        <v>2634792</v>
      </c>
      <c r="AG5" s="251">
        <v>1858220</v>
      </c>
      <c r="AH5" s="251"/>
      <c r="AI5" s="158">
        <f t="shared" si="8"/>
        <v>4493012</v>
      </c>
      <c r="AJ5" s="153">
        <f t="shared" si="40"/>
        <v>28.967737775943881</v>
      </c>
      <c r="AK5" s="251">
        <v>377580</v>
      </c>
      <c r="AL5" s="251">
        <v>46516</v>
      </c>
      <c r="AM5" s="251">
        <v>317111</v>
      </c>
      <c r="AN5" s="251"/>
      <c r="AO5" s="158">
        <f t="shared" si="41"/>
        <v>317111</v>
      </c>
      <c r="AP5" s="251">
        <v>2605027</v>
      </c>
      <c r="AQ5" s="155">
        <f t="shared" si="42"/>
        <v>16.795356663915825</v>
      </c>
      <c r="AR5" s="251"/>
      <c r="AS5" s="268">
        <v>0</v>
      </c>
      <c r="AT5" s="251">
        <v>0</v>
      </c>
      <c r="AU5" s="268">
        <v>0</v>
      </c>
      <c r="AV5" s="268">
        <v>0</v>
      </c>
      <c r="AW5" s="251"/>
      <c r="AX5" s="268">
        <v>0</v>
      </c>
      <c r="AY5" s="158">
        <f t="shared" si="43"/>
        <v>0</v>
      </c>
      <c r="AZ5" s="249">
        <v>199399</v>
      </c>
      <c r="BA5" s="152">
        <f t="shared" si="13"/>
        <v>1.2855825768516609</v>
      </c>
      <c r="BB5" s="269">
        <v>10319</v>
      </c>
      <c r="BC5" s="269">
        <v>10319</v>
      </c>
      <c r="BD5" s="269">
        <v>11534</v>
      </c>
      <c r="BE5" s="269">
        <v>31752</v>
      </c>
      <c r="BF5" s="269">
        <v>74242</v>
      </c>
      <c r="BG5" s="269">
        <v>1</v>
      </c>
      <c r="BH5" s="269">
        <v>89</v>
      </c>
      <c r="BI5" s="249">
        <v>0</v>
      </c>
      <c r="BJ5" s="159">
        <f t="shared" si="44"/>
        <v>90</v>
      </c>
      <c r="BK5" s="269">
        <v>342356</v>
      </c>
      <c r="BL5" s="152">
        <f t="shared" si="15"/>
        <v>2.2072673818857025</v>
      </c>
      <c r="BM5" s="269">
        <v>173</v>
      </c>
      <c r="BN5" s="249">
        <v>24492</v>
      </c>
      <c r="BO5" s="152">
        <f t="shared" si="16"/>
        <v>0.15790695275428099</v>
      </c>
      <c r="BP5" s="249">
        <v>184009</v>
      </c>
      <c r="BQ5" s="249">
        <v>0</v>
      </c>
      <c r="BR5" s="276">
        <f t="shared" si="45"/>
        <v>421368</v>
      </c>
      <c r="BS5" s="276">
        <v>89749</v>
      </c>
      <c r="BT5" s="269">
        <v>511117</v>
      </c>
      <c r="BU5" s="152">
        <f t="shared" si="17"/>
        <v>3.2953179801939343</v>
      </c>
      <c r="BV5" s="151">
        <f t="shared" si="46"/>
        <v>10269.580068314244</v>
      </c>
      <c r="BW5" s="152">
        <f t="shared" si="19"/>
        <v>61.63977327544621</v>
      </c>
      <c r="BX5" s="152">
        <f t="shared" si="20"/>
        <v>1.7898321584776953</v>
      </c>
      <c r="BY5" s="152">
        <f t="shared" si="47"/>
        <v>1.4929400974424283</v>
      </c>
      <c r="BZ5" s="249">
        <v>1304</v>
      </c>
      <c r="CA5" s="249">
        <v>65</v>
      </c>
      <c r="CB5" s="249">
        <v>457</v>
      </c>
      <c r="CC5" s="156">
        <f t="shared" si="48"/>
        <v>1826</v>
      </c>
      <c r="CD5" s="249">
        <v>26924</v>
      </c>
      <c r="CE5" s="249">
        <v>1147</v>
      </c>
      <c r="CF5" s="249">
        <v>6072</v>
      </c>
      <c r="CG5" s="159">
        <f t="shared" si="49"/>
        <v>34143</v>
      </c>
      <c r="CH5" s="152">
        <f t="shared" si="23"/>
        <v>0.22012971941407056</v>
      </c>
      <c r="CI5" s="249">
        <v>285567</v>
      </c>
      <c r="CJ5" s="152">
        <f t="shared" si="24"/>
        <v>1.8411324014854549</v>
      </c>
      <c r="CK5" s="269">
        <v>60759</v>
      </c>
      <c r="CL5" s="252" t="s">
        <v>25</v>
      </c>
      <c r="CM5" s="252" t="s">
        <v>25</v>
      </c>
      <c r="CN5" s="252" t="s">
        <v>25</v>
      </c>
      <c r="CO5" s="253">
        <v>12.63</v>
      </c>
      <c r="CP5" s="151">
        <f>C5/CO5</f>
        <v>12280.601741884402</v>
      </c>
      <c r="CQ5" s="253">
        <v>2</v>
      </c>
      <c r="CR5" s="253">
        <v>35.14</v>
      </c>
      <c r="CS5" s="223">
        <f t="shared" si="50"/>
        <v>49.77</v>
      </c>
      <c r="CT5" s="151">
        <f t="shared" si="26"/>
        <v>3116.4155113522202</v>
      </c>
      <c r="CU5" s="249">
        <v>4570</v>
      </c>
      <c r="CV5" s="251">
        <v>71758</v>
      </c>
      <c r="CW5" s="253">
        <v>32</v>
      </c>
      <c r="CX5" s="252" t="s">
        <v>25</v>
      </c>
      <c r="CY5" s="252" t="s">
        <v>25</v>
      </c>
      <c r="CZ5" s="249">
        <v>16729</v>
      </c>
      <c r="DA5" s="249">
        <v>27466</v>
      </c>
      <c r="DB5" s="249">
        <v>115</v>
      </c>
      <c r="DC5" s="249">
        <v>36987</v>
      </c>
      <c r="DD5" s="249">
        <v>34246</v>
      </c>
      <c r="DE5" s="249">
        <v>164938</v>
      </c>
      <c r="DF5" s="249">
        <v>11300</v>
      </c>
      <c r="DG5" s="249">
        <v>50</v>
      </c>
      <c r="DH5" s="253">
        <f t="shared" si="51"/>
        <v>7.2854342892510832E-2</v>
      </c>
      <c r="DI5" s="249">
        <v>35</v>
      </c>
      <c r="DJ5" s="249">
        <v>35</v>
      </c>
      <c r="DL5" s="151">
        <v>8292</v>
      </c>
      <c r="DM5" s="248"/>
      <c r="DN5" s="252" t="s">
        <v>3057</v>
      </c>
      <c r="DO5" s="252" t="s">
        <v>3052</v>
      </c>
      <c r="DP5" s="252"/>
      <c r="DQ5" s="250"/>
      <c r="DR5" s="261" t="s">
        <v>3146</v>
      </c>
      <c r="DS5" s="248" t="s">
        <v>2982</v>
      </c>
      <c r="DT5" s="275">
        <v>43282</v>
      </c>
      <c r="DU5" s="275">
        <v>43646</v>
      </c>
      <c r="DV5" s="261" t="s">
        <v>3146</v>
      </c>
      <c r="DW5" s="152">
        <f t="shared" si="27"/>
        <v>1.18635883020425</v>
      </c>
      <c r="DX5" s="152">
        <f t="shared" si="28"/>
        <v>0</v>
      </c>
      <c r="DY5" s="152">
        <f t="shared" si="29"/>
        <v>2.7166804208788942</v>
      </c>
      <c r="DZ5" s="152">
        <f t="shared" si="30"/>
        <v>0.57863755931504024</v>
      </c>
      <c r="EA5" s="153">
        <f t="shared" si="31"/>
        <v>0.20063200286763455</v>
      </c>
      <c r="EB5" s="243">
        <f t="shared" si="52"/>
        <v>0.18441431102296404</v>
      </c>
    </row>
    <row r="6" spans="1:132" ht="15" thickBot="1" x14ac:dyDescent="0.35">
      <c r="A6" s="261" t="s">
        <v>3147</v>
      </c>
      <c r="B6" s="388" t="s">
        <v>3199</v>
      </c>
      <c r="C6" s="263">
        <v>51510</v>
      </c>
      <c r="D6" s="250">
        <v>4</v>
      </c>
      <c r="E6" s="250">
        <v>1</v>
      </c>
      <c r="F6" s="249">
        <v>28632</v>
      </c>
      <c r="H6" s="151">
        <f t="shared" si="0"/>
        <v>28632</v>
      </c>
      <c r="I6" s="152">
        <v>0.55469000000000002</v>
      </c>
      <c r="J6" s="251">
        <v>396261</v>
      </c>
      <c r="K6" s="251">
        <v>160145</v>
      </c>
      <c r="L6" s="158">
        <f t="shared" si="32"/>
        <v>556406</v>
      </c>
      <c r="M6" s="153">
        <f t="shared" si="33"/>
        <v>10.801902543195496</v>
      </c>
      <c r="N6" s="251">
        <v>66700</v>
      </c>
      <c r="O6" s="251">
        <v>0</v>
      </c>
      <c r="P6" s="268">
        <v>0</v>
      </c>
      <c r="Q6" s="158">
        <v>66700</v>
      </c>
      <c r="R6" s="153">
        <f t="shared" si="34"/>
        <v>1.2948941953018831</v>
      </c>
      <c r="S6" s="268">
        <v>219722</v>
      </c>
      <c r="T6" s="251">
        <v>842828</v>
      </c>
      <c r="U6" s="251">
        <v>0</v>
      </c>
      <c r="V6" s="251">
        <v>842828</v>
      </c>
      <c r="W6" s="153">
        <f t="shared" si="35"/>
        <v>16.362415065035915</v>
      </c>
      <c r="X6" s="154">
        <f t="shared" si="36"/>
        <v>0.66016553792707411</v>
      </c>
      <c r="Y6" s="154">
        <f t="shared" si="37"/>
        <v>7.9138329528682008E-2</v>
      </c>
      <c r="Z6" s="154">
        <f t="shared" si="38"/>
        <v>0.2606961325442439</v>
      </c>
      <c r="AA6" s="154">
        <f t="shared" si="39"/>
        <v>0</v>
      </c>
      <c r="AB6" s="251">
        <v>0</v>
      </c>
      <c r="AE6" s="251"/>
      <c r="AF6" s="251">
        <v>842828</v>
      </c>
      <c r="AG6" s="251">
        <v>360566</v>
      </c>
      <c r="AH6" s="251"/>
      <c r="AI6" s="158">
        <f t="shared" si="8"/>
        <v>1203394</v>
      </c>
      <c r="AJ6" s="153">
        <f t="shared" si="40"/>
        <v>23.362337410211609</v>
      </c>
      <c r="AK6" s="251">
        <v>296904</v>
      </c>
      <c r="AL6" s="251">
        <v>4200</v>
      </c>
      <c r="AM6" s="251">
        <v>84529</v>
      </c>
      <c r="AN6" s="251"/>
      <c r="AO6" s="158">
        <f t="shared" si="41"/>
        <v>84529</v>
      </c>
      <c r="AP6" s="251">
        <v>836491</v>
      </c>
      <c r="AQ6" s="155">
        <f t="shared" si="42"/>
        <v>16.239390409629198</v>
      </c>
      <c r="AR6" s="251"/>
      <c r="AS6" s="268">
        <v>0</v>
      </c>
      <c r="AT6" s="251">
        <v>0</v>
      </c>
      <c r="AU6" s="268">
        <v>0</v>
      </c>
      <c r="AV6" s="268">
        <v>0</v>
      </c>
      <c r="AW6" s="251"/>
      <c r="AX6" s="268">
        <v>0</v>
      </c>
      <c r="AY6" s="158">
        <f t="shared" si="43"/>
        <v>0</v>
      </c>
      <c r="AZ6" s="249">
        <v>153963</v>
      </c>
      <c r="BA6" s="152">
        <f t="shared" si="13"/>
        <v>2.9889924286546301</v>
      </c>
      <c r="BB6" s="269">
        <v>2477</v>
      </c>
      <c r="BC6" s="269">
        <v>2477</v>
      </c>
      <c r="BD6" s="269">
        <v>4200</v>
      </c>
      <c r="BE6" s="269">
        <v>2067</v>
      </c>
      <c r="BF6" s="269">
        <v>107596</v>
      </c>
      <c r="BG6" s="269">
        <v>1</v>
      </c>
      <c r="BH6" s="269">
        <v>89</v>
      </c>
      <c r="BI6" s="249">
        <v>0</v>
      </c>
      <c r="BJ6" s="159">
        <f t="shared" si="44"/>
        <v>90</v>
      </c>
      <c r="BK6" s="269">
        <v>289363</v>
      </c>
      <c r="BL6" s="152">
        <f t="shared" si="15"/>
        <v>5.617608231411376</v>
      </c>
      <c r="BM6" s="269">
        <v>54</v>
      </c>
      <c r="BN6" s="249">
        <v>29875</v>
      </c>
      <c r="BO6" s="152">
        <f t="shared" si="16"/>
        <v>0.57998446903513878</v>
      </c>
      <c r="BP6" s="249">
        <v>90436</v>
      </c>
      <c r="BQ6" s="249">
        <v>0</v>
      </c>
      <c r="BR6" s="276">
        <f t="shared" si="45"/>
        <v>174501</v>
      </c>
      <c r="BS6" s="276">
        <v>25093</v>
      </c>
      <c r="BT6" s="269">
        <v>199594</v>
      </c>
      <c r="BU6" s="152">
        <f t="shared" si="17"/>
        <v>3.8748592506309456</v>
      </c>
      <c r="BV6" s="151">
        <f t="shared" si="46"/>
        <v>9072.454545454546</v>
      </c>
      <c r="BW6" s="152">
        <f t="shared" si="19"/>
        <v>21.868521967787881</v>
      </c>
      <c r="BX6" s="152">
        <f t="shared" si="20"/>
        <v>3.2195177030405677</v>
      </c>
      <c r="BY6" s="152">
        <f t="shared" si="47"/>
        <v>0.68977028853032352</v>
      </c>
      <c r="BZ6" s="249">
        <v>174</v>
      </c>
      <c r="CA6" s="249">
        <v>17</v>
      </c>
      <c r="CB6" s="249">
        <v>1159</v>
      </c>
      <c r="CC6" s="156">
        <f t="shared" si="48"/>
        <v>1350</v>
      </c>
      <c r="CD6" s="249">
        <v>2110</v>
      </c>
      <c r="CE6" s="249">
        <v>76</v>
      </c>
      <c r="CF6" s="249">
        <v>8872</v>
      </c>
      <c r="CG6" s="159">
        <f t="shared" si="49"/>
        <v>11058</v>
      </c>
      <c r="CH6" s="152">
        <f t="shared" si="23"/>
        <v>0.21467676179382644</v>
      </c>
      <c r="CI6" s="249">
        <v>61995</v>
      </c>
      <c r="CJ6" s="152">
        <f t="shared" si="24"/>
        <v>1.2035527082119977</v>
      </c>
      <c r="CK6" s="269">
        <v>42329</v>
      </c>
      <c r="CL6" s="252" t="s">
        <v>25</v>
      </c>
      <c r="CM6" s="252" t="s">
        <v>25</v>
      </c>
      <c r="CN6" s="252" t="s">
        <v>25</v>
      </c>
      <c r="CO6" s="253">
        <v>2</v>
      </c>
      <c r="CP6" s="151">
        <f>C6/CO6</f>
        <v>25755</v>
      </c>
      <c r="CQ6" s="253">
        <v>1</v>
      </c>
      <c r="CR6" s="253">
        <v>19</v>
      </c>
      <c r="CS6" s="223">
        <f t="shared" si="50"/>
        <v>22</v>
      </c>
      <c r="CT6" s="151">
        <f t="shared" si="26"/>
        <v>2341.3636363636365</v>
      </c>
      <c r="CU6" s="249">
        <v>428</v>
      </c>
      <c r="CV6" s="251">
        <v>42618</v>
      </c>
      <c r="CW6" s="253">
        <v>40</v>
      </c>
      <c r="CX6" s="252" t="s">
        <v>25</v>
      </c>
      <c r="CY6" s="252" t="s">
        <v>25</v>
      </c>
      <c r="CZ6" s="249">
        <v>0</v>
      </c>
      <c r="DA6" s="249">
        <v>0</v>
      </c>
      <c r="DB6" s="249">
        <v>108</v>
      </c>
      <c r="DC6" s="249">
        <v>15754</v>
      </c>
      <c r="DD6" s="249">
        <v>11723</v>
      </c>
      <c r="DE6" s="249">
        <v>30180</v>
      </c>
      <c r="DF6" s="249">
        <v>11832</v>
      </c>
      <c r="DG6" s="249">
        <v>52</v>
      </c>
      <c r="DH6" s="253">
        <f t="shared" si="51"/>
        <v>0.22970297029702971</v>
      </c>
      <c r="DI6" s="249">
        <v>47</v>
      </c>
      <c r="DJ6" s="249">
        <v>47</v>
      </c>
      <c r="DK6" s="151">
        <v>2691</v>
      </c>
      <c r="DL6" s="151">
        <v>9127</v>
      </c>
      <c r="DM6" s="248"/>
      <c r="DN6" s="252" t="s">
        <v>3058</v>
      </c>
      <c r="DO6" s="252" t="s">
        <v>3052</v>
      </c>
      <c r="DP6" s="252"/>
      <c r="DQ6" s="250"/>
      <c r="DR6" s="261" t="s">
        <v>3147</v>
      </c>
      <c r="DS6" s="248" t="s">
        <v>2983</v>
      </c>
      <c r="DT6" s="275">
        <v>43282</v>
      </c>
      <c r="DU6" s="275">
        <v>43646</v>
      </c>
      <c r="DV6" s="261" t="s">
        <v>3147</v>
      </c>
      <c r="DW6" s="152">
        <f t="shared" si="27"/>
        <v>1.7556979227334497</v>
      </c>
      <c r="DX6" s="152">
        <f t="shared" si="28"/>
        <v>0</v>
      </c>
      <c r="DY6" s="152">
        <f t="shared" si="29"/>
        <v>3.387711124053582</v>
      </c>
      <c r="DZ6" s="152">
        <f t="shared" si="30"/>
        <v>0.48714812657736362</v>
      </c>
      <c r="EA6" s="153">
        <f t="shared" ref="EA6:EA37" si="53">N6/(BP6+BR6)</f>
        <v>0.25175796510113724</v>
      </c>
      <c r="EB6" s="243">
        <v>0</v>
      </c>
    </row>
    <row r="7" spans="1:132" ht="15" thickBot="1" x14ac:dyDescent="0.35">
      <c r="A7" s="261" t="s">
        <v>3148</v>
      </c>
      <c r="B7" s="388" t="s">
        <v>3200</v>
      </c>
      <c r="C7" s="263">
        <v>66822</v>
      </c>
      <c r="D7" s="250">
        <v>7</v>
      </c>
      <c r="E7" s="250">
        <v>0</v>
      </c>
      <c r="F7" s="249">
        <v>31962</v>
      </c>
      <c r="H7" s="151">
        <f t="shared" si="0"/>
        <v>31962</v>
      </c>
      <c r="I7" s="152">
        <v>0.47832000000000002</v>
      </c>
      <c r="J7" s="251">
        <v>486163</v>
      </c>
      <c r="K7" s="251">
        <v>128235</v>
      </c>
      <c r="L7" s="158">
        <f t="shared" si="32"/>
        <v>614398</v>
      </c>
      <c r="M7" s="153">
        <f t="shared" si="33"/>
        <v>9.1945467061746129</v>
      </c>
      <c r="N7" s="251">
        <v>43154</v>
      </c>
      <c r="O7" s="251">
        <v>6732</v>
      </c>
      <c r="P7" s="268">
        <v>7319</v>
      </c>
      <c r="Q7" s="158">
        <v>57205</v>
      </c>
      <c r="R7" s="153">
        <f t="shared" si="34"/>
        <v>0.8560803328245189</v>
      </c>
      <c r="S7" s="268">
        <v>143020</v>
      </c>
      <c r="T7" s="251">
        <v>814623</v>
      </c>
      <c r="U7" s="251">
        <v>0</v>
      </c>
      <c r="V7" s="251">
        <v>814623</v>
      </c>
      <c r="W7" s="153">
        <f t="shared" si="35"/>
        <v>12.19094010954476</v>
      </c>
      <c r="X7" s="154">
        <f t="shared" si="36"/>
        <v>0.75421145732443107</v>
      </c>
      <c r="Y7" s="154">
        <f t="shared" si="37"/>
        <v>7.0222667417934426E-2</v>
      </c>
      <c r="Z7" s="154">
        <f t="shared" si="38"/>
        <v>0.17556587525763451</v>
      </c>
      <c r="AA7" s="154">
        <f t="shared" si="39"/>
        <v>0</v>
      </c>
      <c r="AB7" s="251">
        <v>0</v>
      </c>
      <c r="AE7" s="251"/>
      <c r="AF7" s="251">
        <v>814623</v>
      </c>
      <c r="AG7" s="251">
        <v>376825</v>
      </c>
      <c r="AH7" s="251"/>
      <c r="AI7" s="158">
        <f t="shared" si="8"/>
        <v>1191448</v>
      </c>
      <c r="AJ7" s="153">
        <f t="shared" si="40"/>
        <v>17.830175690640807</v>
      </c>
      <c r="AK7" s="251">
        <v>299668</v>
      </c>
      <c r="AL7" s="251">
        <v>7529</v>
      </c>
      <c r="AM7" s="251">
        <v>63697</v>
      </c>
      <c r="AN7" s="251"/>
      <c r="AO7" s="158">
        <f t="shared" si="41"/>
        <v>63697</v>
      </c>
      <c r="AP7" s="251">
        <v>855469</v>
      </c>
      <c r="AQ7" s="155">
        <f t="shared" si="42"/>
        <v>12.802205860345396</v>
      </c>
      <c r="AR7" s="251"/>
      <c r="AS7" s="268">
        <v>0</v>
      </c>
      <c r="AT7" s="251">
        <v>0</v>
      </c>
      <c r="AU7" s="268">
        <v>0</v>
      </c>
      <c r="AV7" s="268">
        <v>0</v>
      </c>
      <c r="AW7" s="251"/>
      <c r="AX7" s="268">
        <v>0</v>
      </c>
      <c r="AY7" s="158">
        <f t="shared" si="43"/>
        <v>0</v>
      </c>
      <c r="AZ7" s="249">
        <v>96804</v>
      </c>
      <c r="BA7" s="152">
        <f t="shared" si="13"/>
        <v>1.4486845649636346</v>
      </c>
      <c r="BB7" s="269">
        <v>1735</v>
      </c>
      <c r="BC7" s="269">
        <v>1735</v>
      </c>
      <c r="BD7" s="269">
        <v>6478</v>
      </c>
      <c r="BE7" s="269">
        <v>1752</v>
      </c>
      <c r="BF7" s="269">
        <v>73336</v>
      </c>
      <c r="BG7" s="269">
        <v>1</v>
      </c>
      <c r="BH7" s="269">
        <v>89</v>
      </c>
      <c r="BI7" s="249">
        <v>0</v>
      </c>
      <c r="BJ7" s="159">
        <f t="shared" si="44"/>
        <v>90</v>
      </c>
      <c r="BK7" s="269">
        <v>201374</v>
      </c>
      <c r="BL7" s="152">
        <f t="shared" si="15"/>
        <v>3.0135883391697345</v>
      </c>
      <c r="BM7" s="269">
        <v>32</v>
      </c>
      <c r="BN7" s="249">
        <v>7220</v>
      </c>
      <c r="BO7" s="152">
        <f t="shared" si="16"/>
        <v>0.10804824758313131</v>
      </c>
      <c r="BP7" s="249">
        <v>20828</v>
      </c>
      <c r="BQ7" s="249">
        <v>0</v>
      </c>
      <c r="BR7" s="276">
        <f t="shared" si="45"/>
        <v>43931</v>
      </c>
      <c r="BS7" s="276">
        <v>7063</v>
      </c>
      <c r="BT7" s="269">
        <v>50994</v>
      </c>
      <c r="BU7" s="152">
        <f t="shared" si="17"/>
        <v>0.76313190266678643</v>
      </c>
      <c r="BV7" s="151">
        <f t="shared" si="46"/>
        <v>2817.3480662983425</v>
      </c>
      <c r="BW7" s="152">
        <f t="shared" si="19"/>
        <v>3.8226386806596704</v>
      </c>
      <c r="BX7" s="152">
        <f t="shared" si="20"/>
        <v>0.72564533113242446</v>
      </c>
      <c r="BY7" s="152">
        <f t="shared" si="47"/>
        <v>0.25323030778551353</v>
      </c>
      <c r="BZ7" s="249">
        <v>346</v>
      </c>
      <c r="CA7" s="249">
        <v>15</v>
      </c>
      <c r="CB7" s="249">
        <v>151</v>
      </c>
      <c r="CC7" s="156">
        <f t="shared" si="48"/>
        <v>512</v>
      </c>
      <c r="CD7" s="249">
        <v>6666</v>
      </c>
      <c r="CE7" s="249">
        <v>107</v>
      </c>
      <c r="CF7" s="249">
        <v>1630</v>
      </c>
      <c r="CG7" s="159">
        <f t="shared" si="49"/>
        <v>8403</v>
      </c>
      <c r="CH7" s="152">
        <f t="shared" si="23"/>
        <v>0.12575199784502111</v>
      </c>
      <c r="CI7" s="249">
        <v>70274</v>
      </c>
      <c r="CJ7" s="152">
        <f t="shared" si="24"/>
        <v>1.0516596330549819</v>
      </c>
      <c r="CK7" s="269">
        <v>21059</v>
      </c>
      <c r="CL7" s="252" t="s">
        <v>25</v>
      </c>
      <c r="CM7" s="252" t="s">
        <v>25</v>
      </c>
      <c r="CN7" s="252" t="s">
        <v>25</v>
      </c>
      <c r="CO7" s="253">
        <v>2</v>
      </c>
      <c r="CP7" s="151">
        <f>C7/CO7</f>
        <v>33411</v>
      </c>
      <c r="CQ7" s="253">
        <v>1</v>
      </c>
      <c r="CR7" s="253">
        <v>15.1</v>
      </c>
      <c r="CS7" s="223">
        <f t="shared" si="50"/>
        <v>18.100000000000001</v>
      </c>
      <c r="CT7" s="151">
        <f t="shared" si="26"/>
        <v>3691.8232044198894</v>
      </c>
      <c r="CU7" s="249">
        <v>231</v>
      </c>
      <c r="CV7" s="251">
        <v>51000</v>
      </c>
      <c r="CW7" s="253">
        <v>40</v>
      </c>
      <c r="CX7" s="252" t="s">
        <v>25</v>
      </c>
      <c r="CY7" s="252" t="s">
        <v>25</v>
      </c>
      <c r="CZ7" s="249">
        <v>4103</v>
      </c>
      <c r="DA7" s="249">
        <v>3391</v>
      </c>
      <c r="DB7" s="249">
        <v>91</v>
      </c>
      <c r="DC7" s="249">
        <v>19127</v>
      </c>
      <c r="DD7" s="249">
        <v>33315</v>
      </c>
      <c r="DE7" s="249">
        <v>53616</v>
      </c>
      <c r="DF7" s="249">
        <v>16640</v>
      </c>
      <c r="DG7" s="249">
        <v>52</v>
      </c>
      <c r="DH7" s="253">
        <f t="shared" si="51"/>
        <v>0.24901978390350482</v>
      </c>
      <c r="DI7" s="249">
        <v>64</v>
      </c>
      <c r="DJ7" s="249">
        <v>64</v>
      </c>
      <c r="DL7" s="151">
        <v>13340</v>
      </c>
      <c r="DM7" s="248"/>
      <c r="DN7" s="252" t="s">
        <v>3059</v>
      </c>
      <c r="DO7" s="252" t="s">
        <v>3052</v>
      </c>
      <c r="DP7" s="252"/>
      <c r="DQ7" s="250"/>
      <c r="DR7" s="261" t="s">
        <v>3148</v>
      </c>
      <c r="DS7" s="248" t="s">
        <v>2984</v>
      </c>
      <c r="DT7" s="275">
        <v>43282</v>
      </c>
      <c r="DU7" s="275">
        <v>43646</v>
      </c>
      <c r="DV7" s="261" t="s">
        <v>3148</v>
      </c>
      <c r="DW7" s="152">
        <f t="shared" si="27"/>
        <v>0.31169375355421869</v>
      </c>
      <c r="DX7" s="152">
        <f t="shared" si="28"/>
        <v>0</v>
      </c>
      <c r="DY7" s="152">
        <f t="shared" si="29"/>
        <v>0.65743318068899459</v>
      </c>
      <c r="DZ7" s="152">
        <f t="shared" si="30"/>
        <v>0.10569872197779175</v>
      </c>
      <c r="EA7" s="153">
        <f t="shared" si="53"/>
        <v>0.66637841844376844</v>
      </c>
      <c r="EB7" s="243">
        <f t="shared" si="52"/>
        <v>0.95313606116381144</v>
      </c>
    </row>
    <row r="8" spans="1:132" ht="15" thickBot="1" x14ac:dyDescent="0.35">
      <c r="A8" s="261" t="s">
        <v>3149</v>
      </c>
      <c r="B8" s="388" t="s">
        <v>3201</v>
      </c>
      <c r="C8" s="263">
        <v>34298</v>
      </c>
      <c r="D8" s="250">
        <v>2</v>
      </c>
      <c r="E8" s="250">
        <v>1</v>
      </c>
      <c r="F8" s="249">
        <v>15132</v>
      </c>
      <c r="H8" s="151">
        <f t="shared" si="0"/>
        <v>15132</v>
      </c>
      <c r="I8" s="152">
        <v>0.44119000000000003</v>
      </c>
      <c r="J8" s="251">
        <v>379356</v>
      </c>
      <c r="K8" s="251">
        <v>159629</v>
      </c>
      <c r="L8" s="158">
        <f t="shared" si="32"/>
        <v>538985</v>
      </c>
      <c r="M8" s="153">
        <f t="shared" si="33"/>
        <v>15.714764709312496</v>
      </c>
      <c r="N8" s="251">
        <v>12787</v>
      </c>
      <c r="O8" s="251">
        <v>6000</v>
      </c>
      <c r="P8" s="268">
        <v>1541</v>
      </c>
      <c r="Q8" s="158">
        <v>20328</v>
      </c>
      <c r="R8" s="153">
        <f t="shared" si="34"/>
        <v>0.59268762026940347</v>
      </c>
      <c r="S8" s="268">
        <v>25271</v>
      </c>
      <c r="T8" s="251">
        <v>584584</v>
      </c>
      <c r="U8" s="251">
        <v>0</v>
      </c>
      <c r="V8" s="251">
        <v>584584</v>
      </c>
      <c r="W8" s="153">
        <f t="shared" si="35"/>
        <v>17.044259140474662</v>
      </c>
      <c r="X8" s="154">
        <f t="shared" si="36"/>
        <v>0.92199752302492033</v>
      </c>
      <c r="Y8" s="154">
        <f t="shared" si="37"/>
        <v>3.4773445732349841E-2</v>
      </c>
      <c r="Z8" s="154">
        <f t="shared" si="38"/>
        <v>4.3229031242729872E-2</v>
      </c>
      <c r="AA8" s="154">
        <f t="shared" si="39"/>
        <v>0</v>
      </c>
      <c r="AB8" s="251">
        <v>0</v>
      </c>
      <c r="AE8" s="251"/>
      <c r="AF8" s="251">
        <v>584584</v>
      </c>
      <c r="AG8" s="251">
        <v>512034</v>
      </c>
      <c r="AH8" s="251"/>
      <c r="AI8" s="158">
        <f t="shared" si="8"/>
        <v>1096618</v>
      </c>
      <c r="AJ8" s="153">
        <f t="shared" si="40"/>
        <v>31.973234590938247</v>
      </c>
      <c r="AK8" s="251">
        <v>93852</v>
      </c>
      <c r="AL8" s="251">
        <v>588</v>
      </c>
      <c r="AM8" s="251">
        <v>7651</v>
      </c>
      <c r="AN8" s="251"/>
      <c r="AO8" s="158">
        <f t="shared" si="41"/>
        <v>7651</v>
      </c>
      <c r="AP8" s="251">
        <v>629125</v>
      </c>
      <c r="AQ8" s="155">
        <f t="shared" si="42"/>
        <v>18.342906291912065</v>
      </c>
      <c r="AR8" s="251"/>
      <c r="AS8" s="268">
        <v>0</v>
      </c>
      <c r="AT8" s="251">
        <v>0</v>
      </c>
      <c r="AU8" s="268">
        <v>0</v>
      </c>
      <c r="AV8" s="268">
        <v>0</v>
      </c>
      <c r="AW8" s="251"/>
      <c r="AX8" s="268">
        <v>0</v>
      </c>
      <c r="AY8" s="158">
        <f t="shared" si="43"/>
        <v>0</v>
      </c>
      <c r="AZ8" s="249">
        <v>51503</v>
      </c>
      <c r="BA8" s="152">
        <f t="shared" si="13"/>
        <v>1.501632748265205</v>
      </c>
      <c r="BB8" s="269">
        <v>2337</v>
      </c>
      <c r="BC8" s="269">
        <v>2337</v>
      </c>
      <c r="BD8" s="269">
        <v>2774</v>
      </c>
      <c r="BE8" s="269">
        <v>1752</v>
      </c>
      <c r="BF8" s="269">
        <v>72308</v>
      </c>
      <c r="BG8" s="269">
        <v>2</v>
      </c>
      <c r="BH8" s="269">
        <v>89</v>
      </c>
      <c r="BI8" s="249">
        <v>0</v>
      </c>
      <c r="BJ8" s="159">
        <f t="shared" si="44"/>
        <v>91</v>
      </c>
      <c r="BK8" s="269">
        <v>145677</v>
      </c>
      <c r="BL8" s="152">
        <f t="shared" si="15"/>
        <v>4.247390518397574</v>
      </c>
      <c r="BM8" s="269">
        <v>4</v>
      </c>
      <c r="BN8" s="249">
        <v>2827</v>
      </c>
      <c r="BO8" s="152">
        <f t="shared" si="16"/>
        <v>8.242463117382938E-2</v>
      </c>
      <c r="BP8" s="249">
        <v>7446</v>
      </c>
      <c r="BQ8" s="249">
        <v>0</v>
      </c>
      <c r="BR8" s="276">
        <f t="shared" si="45"/>
        <v>19340</v>
      </c>
      <c r="BS8" s="276">
        <v>3345</v>
      </c>
      <c r="BT8" s="269">
        <v>22685</v>
      </c>
      <c r="BU8" s="152">
        <f t="shared" si="17"/>
        <v>0.66140882850311966</v>
      </c>
      <c r="BV8" s="151">
        <f t="shared" si="46"/>
        <v>2211.0136452241718</v>
      </c>
      <c r="BW8" s="152">
        <f t="shared" si="19"/>
        <v>4.5865345733926404</v>
      </c>
      <c r="BX8" s="152">
        <f t="shared" si="20"/>
        <v>1.0477576093482981</v>
      </c>
      <c r="BY8" s="152">
        <f t="shared" si="47"/>
        <v>0.15572121886090459</v>
      </c>
      <c r="BZ8" s="249">
        <v>154</v>
      </c>
      <c r="CA8" s="249">
        <v>1</v>
      </c>
      <c r="CB8" s="249">
        <v>5</v>
      </c>
      <c r="CC8" s="156">
        <f t="shared" si="48"/>
        <v>160</v>
      </c>
      <c r="CD8" s="249">
        <v>3500</v>
      </c>
      <c r="CE8" s="249">
        <v>6</v>
      </c>
      <c r="CF8" s="249">
        <v>46</v>
      </c>
      <c r="CG8" s="159">
        <f t="shared" si="49"/>
        <v>3552</v>
      </c>
      <c r="CH8" s="152">
        <f t="shared" si="23"/>
        <v>0.10356288996442942</v>
      </c>
      <c r="CI8" s="249">
        <v>21651</v>
      </c>
      <c r="CJ8" s="152">
        <f t="shared" si="24"/>
        <v>0.63126129803487085</v>
      </c>
      <c r="CK8" s="269">
        <v>9790</v>
      </c>
      <c r="CL8" s="252" t="s">
        <v>25</v>
      </c>
      <c r="CM8" s="252" t="s">
        <v>25</v>
      </c>
      <c r="CN8" s="252" t="s">
        <v>25</v>
      </c>
      <c r="CO8" s="253">
        <v>1</v>
      </c>
      <c r="CP8" s="253">
        <v>0</v>
      </c>
      <c r="CQ8" s="253">
        <v>0</v>
      </c>
      <c r="CR8" s="253">
        <v>9.26</v>
      </c>
      <c r="CS8" s="223">
        <f t="shared" si="50"/>
        <v>10.26</v>
      </c>
      <c r="CT8" s="151">
        <f t="shared" si="26"/>
        <v>3342.8849902534112</v>
      </c>
      <c r="CU8" s="249">
        <v>63</v>
      </c>
      <c r="CV8" s="251">
        <v>59740.004999999997</v>
      </c>
      <c r="CW8" s="253">
        <v>40</v>
      </c>
      <c r="CX8" s="252" t="s">
        <v>25</v>
      </c>
      <c r="CY8" s="252" t="s">
        <v>25</v>
      </c>
      <c r="CZ8" s="249">
        <v>2444</v>
      </c>
      <c r="DA8" s="249">
        <v>3374</v>
      </c>
      <c r="DB8" s="249">
        <v>13</v>
      </c>
      <c r="DC8" s="249">
        <v>4347</v>
      </c>
      <c r="DD8" s="249" t="s">
        <v>3137</v>
      </c>
      <c r="DE8" s="249">
        <v>8341</v>
      </c>
      <c r="DF8" s="249">
        <v>6460</v>
      </c>
      <c r="DG8" s="249">
        <v>52</v>
      </c>
      <c r="DH8" s="253">
        <f t="shared" si="51"/>
        <v>0.18834917487900169</v>
      </c>
      <c r="DI8" s="249">
        <v>44</v>
      </c>
      <c r="DJ8" s="249">
        <v>44</v>
      </c>
      <c r="DL8" s="151">
        <v>4946</v>
      </c>
      <c r="DM8" s="248"/>
      <c r="DN8" s="252" t="s">
        <v>3060</v>
      </c>
      <c r="DO8" s="252" t="s">
        <v>1950</v>
      </c>
      <c r="DP8" s="252"/>
      <c r="DQ8" s="250"/>
      <c r="DR8" s="261" t="s">
        <v>3149</v>
      </c>
      <c r="DS8" s="248" t="s">
        <v>2985</v>
      </c>
      <c r="DT8" s="275">
        <v>43282</v>
      </c>
      <c r="DU8" s="275">
        <v>43646</v>
      </c>
      <c r="DV8" s="261" t="s">
        <v>3149</v>
      </c>
      <c r="DW8" s="152">
        <f t="shared" si="27"/>
        <v>0.21709720683421774</v>
      </c>
      <c r="DX8" s="152">
        <f t="shared" si="28"/>
        <v>0</v>
      </c>
      <c r="DY8" s="152">
        <f t="shared" si="29"/>
        <v>0.56388127587614434</v>
      </c>
      <c r="DZ8" s="152">
        <f t="shared" si="30"/>
        <v>9.7527552626975336E-2</v>
      </c>
      <c r="EA8" s="153">
        <f t="shared" si="53"/>
        <v>0.4773762413200926</v>
      </c>
      <c r="EB8" s="243">
        <v>0</v>
      </c>
    </row>
    <row r="9" spans="1:132" ht="15" thickBot="1" x14ac:dyDescent="0.35">
      <c r="A9" s="261" t="s">
        <v>3150</v>
      </c>
      <c r="B9" s="388" t="s">
        <v>3273</v>
      </c>
      <c r="C9" s="263">
        <v>89851</v>
      </c>
      <c r="D9" s="250">
        <v>4</v>
      </c>
      <c r="E9" s="250">
        <v>0</v>
      </c>
      <c r="F9" s="249">
        <v>64619</v>
      </c>
      <c r="H9" s="151">
        <f t="shared" si="0"/>
        <v>64619</v>
      </c>
      <c r="I9" s="152">
        <v>0.71918000000000004</v>
      </c>
      <c r="J9" s="251">
        <v>1053451</v>
      </c>
      <c r="K9" s="251">
        <v>391721</v>
      </c>
      <c r="L9" s="158">
        <f t="shared" si="32"/>
        <v>1445172</v>
      </c>
      <c r="M9" s="153">
        <f t="shared" si="33"/>
        <v>16.084094779134343</v>
      </c>
      <c r="N9" s="251">
        <v>76325</v>
      </c>
      <c r="O9" s="251">
        <v>32786</v>
      </c>
      <c r="P9" s="268">
        <v>16874</v>
      </c>
      <c r="Q9" s="158">
        <v>125985</v>
      </c>
      <c r="R9" s="153">
        <f t="shared" si="34"/>
        <v>1.4021546783007424</v>
      </c>
      <c r="S9" s="268">
        <v>659255</v>
      </c>
      <c r="T9" s="251">
        <v>2230412</v>
      </c>
      <c r="U9" s="251">
        <v>0</v>
      </c>
      <c r="V9" s="251">
        <v>2230412</v>
      </c>
      <c r="W9" s="153">
        <f t="shared" si="35"/>
        <v>24.823452159686592</v>
      </c>
      <c r="X9" s="154">
        <f t="shared" si="36"/>
        <v>0.64793948382630651</v>
      </c>
      <c r="Y9" s="154">
        <f t="shared" si="37"/>
        <v>5.6485079886585979E-2</v>
      </c>
      <c r="Z9" s="154">
        <f t="shared" si="38"/>
        <v>0.29557543628710747</v>
      </c>
      <c r="AA9" s="154">
        <f t="shared" si="39"/>
        <v>0</v>
      </c>
      <c r="AB9" s="251">
        <v>0</v>
      </c>
      <c r="AE9" s="251"/>
      <c r="AF9" s="251">
        <v>2230412</v>
      </c>
      <c r="AG9" s="251">
        <v>1102550</v>
      </c>
      <c r="AH9" s="251"/>
      <c r="AI9" s="158">
        <f t="shared" si="8"/>
        <v>3332962</v>
      </c>
      <c r="AJ9" s="153">
        <f t="shared" si="40"/>
        <v>37.094322823340868</v>
      </c>
      <c r="AK9" s="251">
        <v>129324</v>
      </c>
      <c r="AL9" s="251">
        <v>26240</v>
      </c>
      <c r="AM9" s="251">
        <v>425470</v>
      </c>
      <c r="AN9" s="251"/>
      <c r="AO9" s="158">
        <f t="shared" si="41"/>
        <v>425470</v>
      </c>
      <c r="AP9" s="251">
        <v>2329669</v>
      </c>
      <c r="AQ9" s="155">
        <f t="shared" si="42"/>
        <v>25.928136581674107</v>
      </c>
      <c r="AR9" s="251"/>
      <c r="AS9" s="268">
        <v>0</v>
      </c>
      <c r="AT9" s="251">
        <v>0</v>
      </c>
      <c r="AU9" s="268">
        <v>0</v>
      </c>
      <c r="AV9" s="268">
        <v>0</v>
      </c>
      <c r="AW9" s="251"/>
      <c r="AX9" s="268">
        <v>0</v>
      </c>
      <c r="AY9" s="158">
        <f t="shared" si="43"/>
        <v>0</v>
      </c>
      <c r="AZ9" s="249">
        <v>96605</v>
      </c>
      <c r="BA9" s="152">
        <f t="shared" si="13"/>
        <v>1.0751688907190793</v>
      </c>
      <c r="BB9" s="269">
        <v>3456</v>
      </c>
      <c r="BC9" s="269">
        <v>3456</v>
      </c>
      <c r="BD9" s="269">
        <v>4003</v>
      </c>
      <c r="BE9" s="269">
        <v>2068</v>
      </c>
      <c r="BF9" s="269">
        <v>107581</v>
      </c>
      <c r="BG9" s="269">
        <v>4</v>
      </c>
      <c r="BH9" s="269">
        <v>89</v>
      </c>
      <c r="BI9" s="249">
        <v>0</v>
      </c>
      <c r="BJ9" s="159">
        <f t="shared" si="44"/>
        <v>93</v>
      </c>
      <c r="BK9" s="269">
        <v>232065</v>
      </c>
      <c r="BL9" s="152">
        <f t="shared" si="15"/>
        <v>2.5827759290380743</v>
      </c>
      <c r="BM9" s="269">
        <v>44</v>
      </c>
      <c r="BN9" s="249">
        <v>15331</v>
      </c>
      <c r="BO9" s="152">
        <f t="shared" si="16"/>
        <v>0.17062692680103728</v>
      </c>
      <c r="BP9" s="249">
        <v>50474</v>
      </c>
      <c r="BQ9" s="249">
        <v>0</v>
      </c>
      <c r="BR9" s="276">
        <f t="shared" si="45"/>
        <v>125395</v>
      </c>
      <c r="BS9" s="276">
        <v>55592</v>
      </c>
      <c r="BT9" s="269">
        <v>180987</v>
      </c>
      <c r="BU9" s="152">
        <f t="shared" si="17"/>
        <v>2.0143014546304436</v>
      </c>
      <c r="BV9" s="151">
        <f t="shared" si="46"/>
        <v>6666.187845303868</v>
      </c>
      <c r="BW9" s="152">
        <f t="shared" si="19"/>
        <v>30.099284882754034</v>
      </c>
      <c r="BX9" s="152">
        <f t="shared" si="20"/>
        <v>1.6385141863875863</v>
      </c>
      <c r="BY9" s="152">
        <f t="shared" si="47"/>
        <v>0.77989787344063088</v>
      </c>
      <c r="BZ9" s="249">
        <v>847</v>
      </c>
      <c r="CA9" s="249">
        <v>0</v>
      </c>
      <c r="CB9" s="249">
        <v>36</v>
      </c>
      <c r="CC9" s="156">
        <f t="shared" si="48"/>
        <v>883</v>
      </c>
      <c r="CD9" s="249">
        <v>20896</v>
      </c>
      <c r="CE9" s="249">
        <v>0</v>
      </c>
      <c r="CF9" s="249">
        <v>413</v>
      </c>
      <c r="CG9" s="159">
        <f t="shared" si="49"/>
        <v>21309</v>
      </c>
      <c r="CH9" s="152">
        <f t="shared" si="23"/>
        <v>0.23715929705846345</v>
      </c>
      <c r="CI9" s="249">
        <v>110458</v>
      </c>
      <c r="CJ9" s="152">
        <f t="shared" si="24"/>
        <v>1.2293463623109371</v>
      </c>
      <c r="CK9" s="269">
        <v>59343</v>
      </c>
      <c r="CL9" s="252" t="s">
        <v>25</v>
      </c>
      <c r="CM9" s="252" t="s">
        <v>25</v>
      </c>
      <c r="CN9" s="252" t="s">
        <v>25</v>
      </c>
      <c r="CO9" s="253">
        <v>6.9</v>
      </c>
      <c r="CP9" s="253">
        <v>0</v>
      </c>
      <c r="CQ9" s="253">
        <v>0</v>
      </c>
      <c r="CR9" s="253">
        <v>20.25</v>
      </c>
      <c r="CS9" s="223">
        <f t="shared" si="50"/>
        <v>27.15</v>
      </c>
      <c r="CT9" s="151">
        <f t="shared" si="26"/>
        <v>3309.4290976058933</v>
      </c>
      <c r="CU9" s="249">
        <v>624</v>
      </c>
      <c r="CV9" s="251">
        <v>82000</v>
      </c>
      <c r="CW9" s="253">
        <v>40</v>
      </c>
      <c r="CX9" s="252" t="s">
        <v>25</v>
      </c>
      <c r="CY9" s="252" t="s">
        <v>25</v>
      </c>
      <c r="CZ9" s="249">
        <v>9612</v>
      </c>
      <c r="DA9" s="249">
        <v>4027</v>
      </c>
      <c r="DB9" s="249">
        <v>89</v>
      </c>
      <c r="DC9" s="249">
        <v>34692</v>
      </c>
      <c r="DD9" s="249">
        <v>63301</v>
      </c>
      <c r="DE9" s="249">
        <v>89072</v>
      </c>
      <c r="DF9" s="249">
        <v>7306</v>
      </c>
      <c r="DG9" s="249">
        <v>52</v>
      </c>
      <c r="DH9" s="253">
        <f t="shared" si="51"/>
        <v>8.1312394964997606E-2</v>
      </c>
      <c r="DI9" s="249">
        <v>48</v>
      </c>
      <c r="DJ9" s="249">
        <v>48</v>
      </c>
      <c r="DL9" s="151">
        <v>6013</v>
      </c>
      <c r="DM9" s="248"/>
      <c r="DN9" s="252" t="s">
        <v>3061</v>
      </c>
      <c r="DO9" s="252" t="s">
        <v>1950</v>
      </c>
      <c r="DP9" s="252"/>
      <c r="DQ9" s="250"/>
      <c r="DR9" s="261" t="s">
        <v>3150</v>
      </c>
      <c r="DS9" s="248" t="s">
        <v>2986</v>
      </c>
      <c r="DT9" s="275">
        <v>43282</v>
      </c>
      <c r="DU9" s="275">
        <v>43646</v>
      </c>
      <c r="DV9" s="261" t="s">
        <v>3150</v>
      </c>
      <c r="DW9" s="152">
        <f t="shared" si="27"/>
        <v>0.56175223425448795</v>
      </c>
      <c r="DX9" s="152">
        <f t="shared" si="28"/>
        <v>0</v>
      </c>
      <c r="DY9" s="152">
        <f t="shared" si="29"/>
        <v>1.3955882516610834</v>
      </c>
      <c r="DZ9" s="152">
        <f t="shared" si="30"/>
        <v>0.61871320296936039</v>
      </c>
      <c r="EA9" s="153">
        <f t="shared" si="53"/>
        <v>0.43398779773581475</v>
      </c>
      <c r="EB9" s="243">
        <f t="shared" si="52"/>
        <v>0.58976111670743991</v>
      </c>
    </row>
    <row r="10" spans="1:132" ht="15" thickBot="1" x14ac:dyDescent="0.35">
      <c r="A10" s="261" t="s">
        <v>2987</v>
      </c>
      <c r="B10" s="388" t="s">
        <v>3202</v>
      </c>
      <c r="C10" s="263">
        <v>136126</v>
      </c>
      <c r="D10" s="250">
        <v>5</v>
      </c>
      <c r="E10" s="250">
        <v>0</v>
      </c>
      <c r="F10" s="249">
        <v>33856</v>
      </c>
      <c r="H10" s="151">
        <f t="shared" si="0"/>
        <v>33856</v>
      </c>
      <c r="I10" s="152">
        <v>0.24870999999999999</v>
      </c>
      <c r="J10" s="251">
        <v>733339</v>
      </c>
      <c r="K10" s="251">
        <v>302215</v>
      </c>
      <c r="L10" s="158">
        <f t="shared" si="32"/>
        <v>1035554</v>
      </c>
      <c r="M10" s="153">
        <f t="shared" si="33"/>
        <v>7.6073196891115584</v>
      </c>
      <c r="N10" s="251">
        <v>120614</v>
      </c>
      <c r="O10" s="251">
        <v>5258</v>
      </c>
      <c r="P10" s="268">
        <v>227</v>
      </c>
      <c r="Q10" s="158">
        <v>126099</v>
      </c>
      <c r="R10" s="153">
        <f t="shared" si="34"/>
        <v>0.92634030236692477</v>
      </c>
      <c r="S10" s="268">
        <v>73776</v>
      </c>
      <c r="T10" s="251">
        <v>1235429</v>
      </c>
      <c r="U10" s="251">
        <v>0</v>
      </c>
      <c r="V10" s="251">
        <v>1235429</v>
      </c>
      <c r="W10" s="153">
        <f t="shared" si="35"/>
        <v>9.0756284618662129</v>
      </c>
      <c r="X10" s="154">
        <f t="shared" si="36"/>
        <v>0.83821409405154002</v>
      </c>
      <c r="Y10" s="154">
        <f t="shared" si="37"/>
        <v>0.10206899789465845</v>
      </c>
      <c r="Z10" s="154">
        <f t="shared" si="38"/>
        <v>5.9716908053801553E-2</v>
      </c>
      <c r="AA10" s="154">
        <f t="shared" si="39"/>
        <v>0</v>
      </c>
      <c r="AB10" s="251">
        <v>0</v>
      </c>
      <c r="AE10" s="251"/>
      <c r="AF10" s="251">
        <v>1235429</v>
      </c>
      <c r="AG10" s="251">
        <v>1252667</v>
      </c>
      <c r="AH10" s="251"/>
      <c r="AI10" s="158">
        <f t="shared" si="8"/>
        <v>2488096</v>
      </c>
      <c r="AJ10" s="153">
        <f t="shared" si="40"/>
        <v>18.27788960228024</v>
      </c>
      <c r="AK10" s="251">
        <v>148239</v>
      </c>
      <c r="AL10" s="251">
        <v>0</v>
      </c>
      <c r="AM10" s="251">
        <v>0</v>
      </c>
      <c r="AN10" s="251"/>
      <c r="AO10" s="158">
        <f t="shared" si="41"/>
        <v>0</v>
      </c>
      <c r="AP10" s="251">
        <v>1400906</v>
      </c>
      <c r="AQ10" s="155">
        <f t="shared" si="42"/>
        <v>10.291244876070699</v>
      </c>
      <c r="AR10" s="251"/>
      <c r="AS10" s="268">
        <v>0</v>
      </c>
      <c r="AT10" s="251">
        <v>0</v>
      </c>
      <c r="AU10" s="268">
        <v>0</v>
      </c>
      <c r="AV10" s="268">
        <v>0</v>
      </c>
      <c r="AW10" s="251"/>
      <c r="AX10" s="268">
        <v>0</v>
      </c>
      <c r="AY10" s="158">
        <f t="shared" si="43"/>
        <v>0</v>
      </c>
      <c r="AZ10" s="249">
        <v>135901</v>
      </c>
      <c r="BA10" s="152">
        <f t="shared" si="13"/>
        <v>0.9983471195803888</v>
      </c>
      <c r="BB10" s="269">
        <v>1807</v>
      </c>
      <c r="BC10" s="269">
        <v>1807</v>
      </c>
      <c r="BD10" s="269">
        <v>6443</v>
      </c>
      <c r="BE10" s="269">
        <v>1752</v>
      </c>
      <c r="BF10" s="269">
        <v>91385</v>
      </c>
      <c r="BG10" s="269">
        <v>2</v>
      </c>
      <c r="BH10" s="269">
        <v>89</v>
      </c>
      <c r="BI10" s="249">
        <v>0</v>
      </c>
      <c r="BJ10" s="159">
        <f t="shared" si="44"/>
        <v>91</v>
      </c>
      <c r="BK10" s="269">
        <v>255111</v>
      </c>
      <c r="BL10" s="152">
        <f t="shared" si="15"/>
        <v>1.8740798965664165</v>
      </c>
      <c r="BM10" s="269">
        <v>155</v>
      </c>
      <c r="BN10" s="249">
        <v>55277</v>
      </c>
      <c r="BO10" s="152">
        <f t="shared" si="16"/>
        <v>0.4060723153548918</v>
      </c>
      <c r="BP10" s="249">
        <v>47740</v>
      </c>
      <c r="BQ10" s="249">
        <v>0</v>
      </c>
      <c r="BR10" s="276">
        <f t="shared" si="45"/>
        <v>392912</v>
      </c>
      <c r="BS10" s="276">
        <v>52453</v>
      </c>
      <c r="BT10" s="269">
        <v>445365</v>
      </c>
      <c r="BU10" s="152">
        <f t="shared" si="17"/>
        <v>3.2717115025784933</v>
      </c>
      <c r="BV10" s="151">
        <f t="shared" si="46"/>
        <v>26197.941176470587</v>
      </c>
      <c r="BW10" s="152">
        <f t="shared" si="19"/>
        <v>52.199367088607595</v>
      </c>
      <c r="BX10" s="152">
        <f t="shared" si="20"/>
        <v>1.5847991089697284</v>
      </c>
      <c r="BY10" s="152">
        <f t="shared" si="47"/>
        <v>1.7457694885755612</v>
      </c>
      <c r="BZ10" s="249">
        <v>260</v>
      </c>
      <c r="CA10" s="249">
        <v>0</v>
      </c>
      <c r="CB10" s="249">
        <v>1189</v>
      </c>
      <c r="CC10" s="156">
        <f t="shared" si="48"/>
        <v>1449</v>
      </c>
      <c r="CD10" s="249">
        <v>4992</v>
      </c>
      <c r="CE10" s="249">
        <v>0</v>
      </c>
      <c r="CF10" s="249">
        <v>31819</v>
      </c>
      <c r="CG10" s="159">
        <f t="shared" si="49"/>
        <v>36811</v>
      </c>
      <c r="CH10" s="152">
        <f t="shared" si="23"/>
        <v>0.27041858278359754</v>
      </c>
      <c r="CI10" s="249">
        <v>281023</v>
      </c>
      <c r="CJ10" s="152">
        <f t="shared" si="24"/>
        <v>2.0644329518240454</v>
      </c>
      <c r="CK10" s="269">
        <v>58520</v>
      </c>
      <c r="CL10" s="252" t="s">
        <v>25</v>
      </c>
      <c r="CM10" s="252" t="s">
        <v>25</v>
      </c>
      <c r="CN10" s="252" t="s">
        <v>25</v>
      </c>
      <c r="CO10" s="253">
        <v>1</v>
      </c>
      <c r="CP10" s="151">
        <f>C10/CO10</f>
        <v>136126</v>
      </c>
      <c r="CQ10" s="253">
        <v>0</v>
      </c>
      <c r="CR10" s="253">
        <v>16</v>
      </c>
      <c r="CS10" s="223">
        <f t="shared" si="50"/>
        <v>17</v>
      </c>
      <c r="CT10" s="151">
        <f t="shared" si="26"/>
        <v>8007.411764705882</v>
      </c>
      <c r="CU10" s="249">
        <v>6961</v>
      </c>
      <c r="CV10" s="251">
        <v>111404</v>
      </c>
      <c r="CW10" s="253">
        <v>25</v>
      </c>
      <c r="CX10" s="252" t="s">
        <v>25</v>
      </c>
      <c r="CY10" s="252" t="s">
        <v>25</v>
      </c>
      <c r="CZ10" s="249">
        <v>324</v>
      </c>
      <c r="DA10" s="249">
        <v>27</v>
      </c>
      <c r="DB10" s="249">
        <v>70</v>
      </c>
      <c r="DC10" s="249">
        <v>43736</v>
      </c>
      <c r="DD10" s="249">
        <v>29233</v>
      </c>
      <c r="DE10" s="249" t="s">
        <v>3137</v>
      </c>
      <c r="DF10" s="249">
        <v>11854</v>
      </c>
      <c r="DG10" s="249">
        <v>51</v>
      </c>
      <c r="DH10" s="253">
        <f t="shared" si="51"/>
        <v>8.7081086640318522E-2</v>
      </c>
      <c r="DI10" s="249">
        <v>28</v>
      </c>
      <c r="DJ10" s="249">
        <v>28</v>
      </c>
      <c r="DL10" s="151">
        <v>8532</v>
      </c>
      <c r="DM10" s="248"/>
      <c r="DN10" s="252" t="s">
        <v>3062</v>
      </c>
      <c r="DO10" s="252" t="s">
        <v>1950</v>
      </c>
      <c r="DP10" s="252"/>
      <c r="DQ10" s="250"/>
      <c r="DR10" s="261" t="s">
        <v>2987</v>
      </c>
      <c r="DS10" s="248" t="s">
        <v>2987</v>
      </c>
      <c r="DT10" s="275">
        <v>43282</v>
      </c>
      <c r="DU10" s="275">
        <v>43646</v>
      </c>
      <c r="DV10" s="261" t="s">
        <v>2987</v>
      </c>
      <c r="DW10" s="152">
        <f t="shared" si="27"/>
        <v>0.35070449436551432</v>
      </c>
      <c r="DX10" s="152">
        <f t="shared" si="28"/>
        <v>0</v>
      </c>
      <c r="DY10" s="152">
        <f t="shared" si="29"/>
        <v>2.8863846730235223</v>
      </c>
      <c r="DZ10" s="152">
        <f t="shared" si="30"/>
        <v>0.38532682955497111</v>
      </c>
      <c r="EA10" s="153">
        <f t="shared" si="53"/>
        <v>0.27371712825540334</v>
      </c>
      <c r="EB10" s="243">
        <f t="shared" si="52"/>
        <v>0.10024212151831163</v>
      </c>
    </row>
    <row r="11" spans="1:132" ht="15" thickBot="1" x14ac:dyDescent="0.35">
      <c r="A11" s="261" t="s">
        <v>2988</v>
      </c>
      <c r="B11" s="388" t="s">
        <v>3203</v>
      </c>
      <c r="C11" s="263">
        <v>262483</v>
      </c>
      <c r="D11" s="250">
        <v>12</v>
      </c>
      <c r="E11" s="250">
        <v>0</v>
      </c>
      <c r="F11" s="249">
        <v>118803</v>
      </c>
      <c r="H11" s="151">
        <f t="shared" si="0"/>
        <v>118803</v>
      </c>
      <c r="I11" s="152">
        <v>0.46700999999999998</v>
      </c>
      <c r="J11" s="251">
        <v>2867904</v>
      </c>
      <c r="K11" s="251">
        <v>1615260</v>
      </c>
      <c r="L11" s="158">
        <f t="shared" si="32"/>
        <v>4483164</v>
      </c>
      <c r="M11" s="153">
        <f t="shared" si="33"/>
        <v>17.079826122072667</v>
      </c>
      <c r="N11" s="251">
        <v>536745</v>
      </c>
      <c r="O11" s="251">
        <v>214712</v>
      </c>
      <c r="P11" s="268">
        <v>20990</v>
      </c>
      <c r="Q11" s="158">
        <v>772447</v>
      </c>
      <c r="R11" s="153">
        <f t="shared" si="34"/>
        <v>2.9428458223961171</v>
      </c>
      <c r="S11" s="268">
        <v>833140</v>
      </c>
      <c r="T11" s="251">
        <v>6088751</v>
      </c>
      <c r="U11" s="251">
        <v>0</v>
      </c>
      <c r="V11" s="251">
        <v>6088751</v>
      </c>
      <c r="W11" s="153">
        <f t="shared" si="35"/>
        <v>23.196744170098636</v>
      </c>
      <c r="X11" s="154">
        <f t="shared" si="36"/>
        <v>0.73630273269509627</v>
      </c>
      <c r="Y11" s="154">
        <f t="shared" si="37"/>
        <v>0.12686460655067025</v>
      </c>
      <c r="Z11" s="154">
        <f t="shared" si="38"/>
        <v>0.1368326607542335</v>
      </c>
      <c r="AA11" s="154">
        <f t="shared" si="39"/>
        <v>0</v>
      </c>
      <c r="AB11" s="251">
        <v>423166</v>
      </c>
      <c r="AE11" s="251"/>
      <c r="AF11" s="251">
        <v>6088751</v>
      </c>
      <c r="AG11" s="251">
        <v>5649428</v>
      </c>
      <c r="AH11" s="251"/>
      <c r="AI11" s="158">
        <f t="shared" si="8"/>
        <v>11738179</v>
      </c>
      <c r="AJ11" s="153">
        <f t="shared" si="40"/>
        <v>44.719768518342143</v>
      </c>
      <c r="AK11" s="251">
        <v>227666</v>
      </c>
      <c r="AL11" s="251">
        <v>0</v>
      </c>
      <c r="AM11" s="251">
        <v>211657</v>
      </c>
      <c r="AN11" s="251"/>
      <c r="AO11" s="158">
        <f t="shared" si="41"/>
        <v>211657</v>
      </c>
      <c r="AP11" s="251">
        <v>6088751</v>
      </c>
      <c r="AQ11" s="155">
        <f t="shared" si="42"/>
        <v>23.196744170098636</v>
      </c>
      <c r="AR11" s="251"/>
      <c r="AS11" s="268">
        <v>2964885</v>
      </c>
      <c r="AT11" s="251">
        <v>0</v>
      </c>
      <c r="AU11" s="268">
        <v>0</v>
      </c>
      <c r="AV11" s="268">
        <v>0</v>
      </c>
      <c r="AW11" s="251"/>
      <c r="AX11" s="268">
        <v>0</v>
      </c>
      <c r="AY11" s="158">
        <f t="shared" si="43"/>
        <v>2964885</v>
      </c>
      <c r="AZ11" s="249">
        <v>473451</v>
      </c>
      <c r="BA11" s="152">
        <f t="shared" si="13"/>
        <v>1.80373967075963</v>
      </c>
      <c r="BB11" s="269">
        <v>41281</v>
      </c>
      <c r="BC11" s="269">
        <v>41281</v>
      </c>
      <c r="BD11" s="269">
        <v>22640</v>
      </c>
      <c r="BE11" s="269">
        <v>2183</v>
      </c>
      <c r="BF11" s="269">
        <v>156491</v>
      </c>
      <c r="BG11" s="269">
        <v>6</v>
      </c>
      <c r="BH11" s="269">
        <v>89</v>
      </c>
      <c r="BI11" s="249">
        <v>0</v>
      </c>
      <c r="BJ11" s="159">
        <f t="shared" si="44"/>
        <v>95</v>
      </c>
      <c r="BK11" s="269">
        <v>737253</v>
      </c>
      <c r="BL11" s="152">
        <f t="shared" si="15"/>
        <v>2.8087647580986199</v>
      </c>
      <c r="BM11" s="269">
        <v>0</v>
      </c>
      <c r="BN11" s="249">
        <v>89914</v>
      </c>
      <c r="BO11" s="152">
        <f t="shared" si="16"/>
        <v>0.34255170811062052</v>
      </c>
      <c r="BP11" s="249">
        <v>461071</v>
      </c>
      <c r="BQ11" s="249">
        <v>0</v>
      </c>
      <c r="BR11" s="276">
        <f t="shared" si="45"/>
        <v>1052545</v>
      </c>
      <c r="BS11" s="276">
        <v>558484</v>
      </c>
      <c r="BT11" s="269">
        <v>1611029</v>
      </c>
      <c r="BU11" s="152">
        <f t="shared" si="17"/>
        <v>6.1376508192911539</v>
      </c>
      <c r="BV11" s="151">
        <f t="shared" si="46"/>
        <v>24200.525762355417</v>
      </c>
      <c r="BW11" s="152">
        <f t="shared" si="19"/>
        <v>57.909022286125087</v>
      </c>
      <c r="BX11" s="152">
        <f t="shared" si="20"/>
        <v>2.27709853963013</v>
      </c>
      <c r="BY11" s="152">
        <f t="shared" si="47"/>
        <v>2.1851779511239697</v>
      </c>
      <c r="BZ11" s="249">
        <v>1597</v>
      </c>
      <c r="CA11" s="249">
        <v>118</v>
      </c>
      <c r="CB11" s="249">
        <v>435</v>
      </c>
      <c r="CC11" s="156">
        <f t="shared" si="48"/>
        <v>2150</v>
      </c>
      <c r="CD11" s="249">
        <v>21533</v>
      </c>
      <c r="CE11" s="249">
        <v>525</v>
      </c>
      <c r="CF11" s="249">
        <v>23713</v>
      </c>
      <c r="CG11" s="159">
        <f t="shared" si="49"/>
        <v>45771</v>
      </c>
      <c r="CH11" s="152">
        <f t="shared" si="23"/>
        <v>0.17437700727285196</v>
      </c>
      <c r="CI11" s="249">
        <v>707492</v>
      </c>
      <c r="CJ11" s="152">
        <f t="shared" si="24"/>
        <v>2.6953821771314712</v>
      </c>
      <c r="CK11" s="269">
        <v>127875</v>
      </c>
      <c r="CL11" s="252" t="s">
        <v>25</v>
      </c>
      <c r="CM11" s="252" t="s">
        <v>25</v>
      </c>
      <c r="CN11" s="252" t="s">
        <v>25</v>
      </c>
      <c r="CO11" s="253">
        <v>4</v>
      </c>
      <c r="CP11" s="151">
        <f>C11/CO11</f>
        <v>65620.75</v>
      </c>
      <c r="CQ11" s="253">
        <v>0</v>
      </c>
      <c r="CR11" s="253">
        <v>62.57</v>
      </c>
      <c r="CS11" s="223">
        <f t="shared" si="50"/>
        <v>66.569999999999993</v>
      </c>
      <c r="CT11" s="151">
        <f t="shared" si="26"/>
        <v>3942.9622953282264</v>
      </c>
      <c r="CU11" s="249">
        <v>3474</v>
      </c>
      <c r="CV11" s="251">
        <v>127620</v>
      </c>
      <c r="CW11" s="253">
        <v>40</v>
      </c>
      <c r="CX11" s="252" t="s">
        <v>25</v>
      </c>
      <c r="CY11" s="252" t="s">
        <v>25</v>
      </c>
      <c r="CZ11" s="249">
        <v>33430</v>
      </c>
      <c r="DA11" s="249">
        <v>50402</v>
      </c>
      <c r="DB11" s="249">
        <v>139</v>
      </c>
      <c r="DC11" s="249">
        <v>60513</v>
      </c>
      <c r="DD11" s="249">
        <v>245390</v>
      </c>
      <c r="DE11" s="249">
        <v>323472</v>
      </c>
      <c r="DF11" s="249">
        <v>32188</v>
      </c>
      <c r="DG11" s="249">
        <v>52</v>
      </c>
      <c r="DH11" s="253">
        <f t="shared" si="51"/>
        <v>0.12262889406171067</v>
      </c>
      <c r="DI11" s="249">
        <v>70</v>
      </c>
      <c r="DJ11" s="249">
        <v>70</v>
      </c>
      <c r="DK11" s="151">
        <v>13211</v>
      </c>
      <c r="DL11" s="151">
        <v>27820</v>
      </c>
      <c r="DM11" s="248"/>
      <c r="DN11" s="252" t="s">
        <v>3063</v>
      </c>
      <c r="DO11" s="252" t="s">
        <v>1950</v>
      </c>
      <c r="DP11" s="252"/>
      <c r="DQ11" s="250"/>
      <c r="DR11" s="261" t="s">
        <v>2988</v>
      </c>
      <c r="DS11" s="248" t="s">
        <v>2988</v>
      </c>
      <c r="DT11" s="275">
        <v>43282</v>
      </c>
      <c r="DU11" s="275">
        <v>43646</v>
      </c>
      <c r="DV11" s="261" t="s">
        <v>2988</v>
      </c>
      <c r="DW11" s="152">
        <f t="shared" si="27"/>
        <v>1.756574711505126</v>
      </c>
      <c r="DX11" s="152">
        <f t="shared" si="28"/>
        <v>0</v>
      </c>
      <c r="DY11" s="152">
        <f t="shared" si="29"/>
        <v>4.0099549304145414</v>
      </c>
      <c r="DZ11" s="152">
        <f t="shared" si="30"/>
        <v>2.1276958888766129</v>
      </c>
      <c r="EA11" s="153">
        <f t="shared" si="53"/>
        <v>0.35461107704992545</v>
      </c>
      <c r="EB11" s="243">
        <f t="shared" si="52"/>
        <v>0.38445506048517059</v>
      </c>
    </row>
    <row r="12" spans="1:132" ht="15" thickBot="1" x14ac:dyDescent="0.35">
      <c r="A12" s="261" t="s">
        <v>2989</v>
      </c>
      <c r="B12" s="388" t="s">
        <v>3204</v>
      </c>
      <c r="C12" s="263">
        <v>91479</v>
      </c>
      <c r="D12" s="250">
        <v>2</v>
      </c>
      <c r="E12" s="250">
        <v>0</v>
      </c>
      <c r="F12" s="249">
        <v>26200</v>
      </c>
      <c r="H12" s="151">
        <f t="shared" si="0"/>
        <v>26200</v>
      </c>
      <c r="I12" s="152">
        <v>0.28639999999999999</v>
      </c>
      <c r="J12" s="251">
        <v>861575</v>
      </c>
      <c r="K12" s="251">
        <v>361172</v>
      </c>
      <c r="L12" s="158">
        <f t="shared" si="32"/>
        <v>1222747</v>
      </c>
      <c r="M12" s="153">
        <f t="shared" si="33"/>
        <v>13.366422894872047</v>
      </c>
      <c r="N12" s="251">
        <v>94932</v>
      </c>
      <c r="O12" s="251">
        <v>24084</v>
      </c>
      <c r="P12" s="268">
        <v>3774</v>
      </c>
      <c r="Q12" s="158">
        <v>122790</v>
      </c>
      <c r="R12" s="153">
        <f t="shared" si="34"/>
        <v>1.3422752762929198</v>
      </c>
      <c r="S12" s="268">
        <v>180204</v>
      </c>
      <c r="T12" s="251">
        <v>1525741</v>
      </c>
      <c r="U12" s="251">
        <v>0</v>
      </c>
      <c r="V12" s="251">
        <v>1525741</v>
      </c>
      <c r="W12" s="153">
        <f t="shared" si="35"/>
        <v>16.678592901102984</v>
      </c>
      <c r="X12" s="154">
        <f t="shared" si="36"/>
        <v>0.80141190411740915</v>
      </c>
      <c r="Y12" s="154">
        <f t="shared" si="37"/>
        <v>8.0478927943864659E-2</v>
      </c>
      <c r="Z12" s="154">
        <f t="shared" si="38"/>
        <v>0.11810916793872617</v>
      </c>
      <c r="AA12" s="154">
        <f t="shared" si="39"/>
        <v>0</v>
      </c>
      <c r="AB12" s="251">
        <v>451037</v>
      </c>
      <c r="AE12" s="251"/>
      <c r="AF12" s="251">
        <v>1525741</v>
      </c>
      <c r="AG12" s="251">
        <v>1121735</v>
      </c>
      <c r="AH12" s="251"/>
      <c r="AI12" s="158">
        <f t="shared" si="8"/>
        <v>2647476</v>
      </c>
      <c r="AJ12" s="153">
        <f t="shared" si="40"/>
        <v>28.940806086642837</v>
      </c>
      <c r="AK12" s="251">
        <v>140788</v>
      </c>
      <c r="AL12" s="251">
        <v>2207</v>
      </c>
      <c r="AM12" s="251">
        <v>30584</v>
      </c>
      <c r="AN12" s="251"/>
      <c r="AO12" s="158">
        <f t="shared" si="41"/>
        <v>30584</v>
      </c>
      <c r="AP12" s="251">
        <v>1569314</v>
      </c>
      <c r="AQ12" s="155">
        <f t="shared" si="42"/>
        <v>17.154909870024813</v>
      </c>
      <c r="AR12" s="251"/>
      <c r="AS12" s="268">
        <v>354556</v>
      </c>
      <c r="AT12" s="251">
        <v>0</v>
      </c>
      <c r="AU12" s="268">
        <v>0</v>
      </c>
      <c r="AV12" s="268">
        <v>0</v>
      </c>
      <c r="AW12" s="251"/>
      <c r="AX12" s="268">
        <v>0</v>
      </c>
      <c r="AY12" s="158">
        <f t="shared" si="43"/>
        <v>354556</v>
      </c>
      <c r="AZ12" s="249">
        <v>125517</v>
      </c>
      <c r="BA12" s="152">
        <f t="shared" si="13"/>
        <v>1.372085396648411</v>
      </c>
      <c r="BB12" s="269">
        <v>3791</v>
      </c>
      <c r="BC12" s="269">
        <v>3791</v>
      </c>
      <c r="BD12" s="269">
        <v>2264</v>
      </c>
      <c r="BE12" s="269">
        <v>2067</v>
      </c>
      <c r="BF12" s="269">
        <v>107580</v>
      </c>
      <c r="BG12" s="269">
        <v>2</v>
      </c>
      <c r="BH12" s="269">
        <v>89</v>
      </c>
      <c r="BI12" s="249">
        <v>0</v>
      </c>
      <c r="BJ12" s="159">
        <f t="shared" si="44"/>
        <v>91</v>
      </c>
      <c r="BK12" s="269">
        <v>260460</v>
      </c>
      <c r="BL12" s="152">
        <f t="shared" si="15"/>
        <v>2.8472108352736694</v>
      </c>
      <c r="BM12" s="269">
        <v>92</v>
      </c>
      <c r="BN12" s="249">
        <v>18500</v>
      </c>
      <c r="BO12" s="152">
        <f t="shared" si="16"/>
        <v>0.20223220629871336</v>
      </c>
      <c r="BP12" s="249">
        <v>52382</v>
      </c>
      <c r="BQ12" s="249">
        <v>0</v>
      </c>
      <c r="BR12" s="276">
        <f t="shared" si="45"/>
        <v>124026</v>
      </c>
      <c r="BS12" s="276">
        <v>107108</v>
      </c>
      <c r="BT12" s="269">
        <v>231134</v>
      </c>
      <c r="BU12" s="152">
        <f t="shared" si="17"/>
        <v>2.5266345281430711</v>
      </c>
      <c r="BV12" s="151">
        <f t="shared" si="46"/>
        <v>9650.688935281838</v>
      </c>
      <c r="BW12" s="152">
        <f t="shared" si="19"/>
        <v>27.834055876685934</v>
      </c>
      <c r="BX12" s="152">
        <f t="shared" si="20"/>
        <v>2.887406463541081</v>
      </c>
      <c r="BY12" s="152">
        <f t="shared" si="47"/>
        <v>0.88740689549259</v>
      </c>
      <c r="BZ12" s="249">
        <v>737</v>
      </c>
      <c r="CA12" s="249">
        <v>103</v>
      </c>
      <c r="CB12" s="249">
        <v>165</v>
      </c>
      <c r="CC12" s="156">
        <f t="shared" si="48"/>
        <v>1005</v>
      </c>
      <c r="CD12" s="249">
        <v>19029</v>
      </c>
      <c r="CE12" s="249">
        <v>1858</v>
      </c>
      <c r="CF12" s="249">
        <v>3677</v>
      </c>
      <c r="CG12" s="159">
        <f t="shared" si="49"/>
        <v>24564</v>
      </c>
      <c r="CH12" s="152">
        <f t="shared" si="23"/>
        <v>0.26852064408224841</v>
      </c>
      <c r="CI12" s="249">
        <v>80049</v>
      </c>
      <c r="CJ12" s="152">
        <f t="shared" si="24"/>
        <v>0.87505329091922734</v>
      </c>
      <c r="CK12" s="269">
        <v>71240</v>
      </c>
      <c r="CL12" s="252" t="s">
        <v>25</v>
      </c>
      <c r="CM12" s="252" t="s">
        <v>25</v>
      </c>
      <c r="CN12" s="252" t="s">
        <v>25</v>
      </c>
      <c r="CO12" s="253">
        <v>4</v>
      </c>
      <c r="CP12" s="151">
        <f>C12/CO12</f>
        <v>22869.75</v>
      </c>
      <c r="CQ12" s="253">
        <v>2</v>
      </c>
      <c r="CR12" s="253">
        <v>17.95</v>
      </c>
      <c r="CS12" s="223">
        <f t="shared" si="50"/>
        <v>23.95</v>
      </c>
      <c r="CT12" s="151">
        <f t="shared" si="26"/>
        <v>3819.5824634655532</v>
      </c>
      <c r="CU12" s="249">
        <v>4137</v>
      </c>
      <c r="CV12" s="251">
        <v>73913</v>
      </c>
      <c r="CW12" s="253">
        <v>40</v>
      </c>
      <c r="CX12" s="252" t="s">
        <v>25</v>
      </c>
      <c r="CY12" s="252" t="s">
        <v>25</v>
      </c>
      <c r="CZ12" s="249">
        <v>191</v>
      </c>
      <c r="DA12" s="249">
        <v>139</v>
      </c>
      <c r="DB12" s="249">
        <v>37</v>
      </c>
      <c r="DC12" s="249">
        <v>25768</v>
      </c>
      <c r="DD12" s="249" t="s">
        <v>3137</v>
      </c>
      <c r="DE12" s="249">
        <v>258832</v>
      </c>
      <c r="DF12" s="249">
        <v>8996</v>
      </c>
      <c r="DG12" s="249">
        <v>52</v>
      </c>
      <c r="DH12" s="253">
        <f t="shared" si="51"/>
        <v>9.8339509614228396E-2</v>
      </c>
      <c r="DI12" s="249">
        <v>49</v>
      </c>
      <c r="DJ12" s="249">
        <v>49</v>
      </c>
      <c r="DK12" s="151">
        <v>7306</v>
      </c>
      <c r="DL12" s="151">
        <v>8304</v>
      </c>
      <c r="DM12" s="248"/>
      <c r="DN12" s="252" t="s">
        <v>3064</v>
      </c>
      <c r="DO12" s="252" t="s">
        <v>1950</v>
      </c>
      <c r="DP12" s="252"/>
      <c r="DQ12" s="250"/>
      <c r="DR12" s="261" t="s">
        <v>2989</v>
      </c>
      <c r="DS12" s="248" t="s">
        <v>2989</v>
      </c>
      <c r="DT12" s="275">
        <v>43282</v>
      </c>
      <c r="DU12" s="275">
        <v>43646</v>
      </c>
      <c r="DV12" s="261" t="s">
        <v>2989</v>
      </c>
      <c r="DW12" s="152">
        <f t="shared" si="27"/>
        <v>0.57261229353184884</v>
      </c>
      <c r="DX12" s="152">
        <f t="shared" si="28"/>
        <v>0</v>
      </c>
      <c r="DY12" s="152">
        <f t="shared" si="29"/>
        <v>1.3557865739677959</v>
      </c>
      <c r="DZ12" s="152">
        <f t="shared" si="30"/>
        <v>1.1708479541752752</v>
      </c>
      <c r="EA12" s="153">
        <f t="shared" si="53"/>
        <v>0.53813885991565014</v>
      </c>
      <c r="EB12" s="243">
        <f t="shared" si="52"/>
        <v>0.22485715352728086</v>
      </c>
    </row>
    <row r="13" spans="1:132" ht="15" thickBot="1" x14ac:dyDescent="0.35">
      <c r="A13" s="261" t="s">
        <v>2990</v>
      </c>
      <c r="B13" s="388" t="s">
        <v>3205</v>
      </c>
      <c r="C13" s="263">
        <v>209303</v>
      </c>
      <c r="D13" s="250">
        <v>4</v>
      </c>
      <c r="E13" s="250">
        <v>0</v>
      </c>
      <c r="F13" s="249">
        <v>55060</v>
      </c>
      <c r="H13" s="151">
        <f t="shared" si="0"/>
        <v>55060</v>
      </c>
      <c r="I13" s="152">
        <v>0.27588000000000001</v>
      </c>
      <c r="J13" s="251">
        <v>2077916</v>
      </c>
      <c r="K13" s="251">
        <v>799984</v>
      </c>
      <c r="L13" s="158">
        <f t="shared" si="32"/>
        <v>2877900</v>
      </c>
      <c r="M13" s="153">
        <f t="shared" si="33"/>
        <v>13.74992236136128</v>
      </c>
      <c r="N13" s="251">
        <v>273071</v>
      </c>
      <c r="O13" s="251">
        <v>101536</v>
      </c>
      <c r="P13" s="268">
        <v>93513</v>
      </c>
      <c r="Q13" s="158">
        <v>468120</v>
      </c>
      <c r="R13" s="153">
        <f t="shared" si="34"/>
        <v>2.2365661266202586</v>
      </c>
      <c r="S13" s="268">
        <v>74528</v>
      </c>
      <c r="T13" s="251">
        <v>3420548</v>
      </c>
      <c r="U13" s="251">
        <v>0</v>
      </c>
      <c r="V13" s="251">
        <v>3420548</v>
      </c>
      <c r="W13" s="153">
        <f t="shared" si="35"/>
        <v>16.342565562844296</v>
      </c>
      <c r="X13" s="154">
        <f t="shared" si="36"/>
        <v>0.84135641423537988</v>
      </c>
      <c r="Y13" s="154">
        <f t="shared" si="37"/>
        <v>0.13685526412726851</v>
      </c>
      <c r="Z13" s="154">
        <f t="shared" si="38"/>
        <v>2.1788321637351674E-2</v>
      </c>
      <c r="AA13" s="154">
        <f t="shared" si="39"/>
        <v>0</v>
      </c>
      <c r="AB13" s="251">
        <v>137957</v>
      </c>
      <c r="AE13" s="251"/>
      <c r="AF13" s="251">
        <v>3420548</v>
      </c>
      <c r="AG13" s="251">
        <v>3381252</v>
      </c>
      <c r="AH13" s="251"/>
      <c r="AI13" s="158">
        <f t="shared" si="8"/>
        <v>6801800</v>
      </c>
      <c r="AJ13" s="153">
        <f t="shared" si="40"/>
        <v>32.497384175095434</v>
      </c>
      <c r="AK13" s="251">
        <v>196389</v>
      </c>
      <c r="AL13" s="251">
        <v>18544</v>
      </c>
      <c r="AM13" s="251">
        <v>0</v>
      </c>
      <c r="AN13" s="251"/>
      <c r="AO13" s="158">
        <f t="shared" si="41"/>
        <v>0</v>
      </c>
      <c r="AP13" s="251">
        <v>3596185</v>
      </c>
      <c r="AQ13" s="155">
        <f t="shared" si="42"/>
        <v>17.18171741446611</v>
      </c>
      <c r="AR13" s="251"/>
      <c r="AS13" s="268">
        <v>0</v>
      </c>
      <c r="AT13" s="251">
        <v>0</v>
      </c>
      <c r="AU13" s="268">
        <v>0</v>
      </c>
      <c r="AV13" s="268">
        <v>0</v>
      </c>
      <c r="AW13" s="251"/>
      <c r="AX13" s="268">
        <v>0</v>
      </c>
      <c r="AY13" s="158">
        <f t="shared" si="43"/>
        <v>0</v>
      </c>
      <c r="AZ13" s="249">
        <v>276670</v>
      </c>
      <c r="BA13" s="152">
        <f t="shared" si="13"/>
        <v>1.321863518439774</v>
      </c>
      <c r="BB13" s="269">
        <v>8469</v>
      </c>
      <c r="BC13" s="269">
        <v>8469</v>
      </c>
      <c r="BD13" s="269">
        <v>12769</v>
      </c>
      <c r="BE13" s="269">
        <v>3450</v>
      </c>
      <c r="BF13" s="269">
        <v>85621</v>
      </c>
      <c r="BG13" s="269">
        <v>7</v>
      </c>
      <c r="BH13" s="269">
        <v>89</v>
      </c>
      <c r="BI13" s="249">
        <v>0</v>
      </c>
      <c r="BJ13" s="159">
        <f t="shared" si="44"/>
        <v>96</v>
      </c>
      <c r="BK13" s="269">
        <v>422151</v>
      </c>
      <c r="BL13" s="152">
        <f t="shared" si="15"/>
        <v>2.0169371676469043</v>
      </c>
      <c r="BM13" s="269">
        <v>129</v>
      </c>
      <c r="BN13" s="249">
        <v>48884</v>
      </c>
      <c r="BO13" s="152">
        <f t="shared" si="16"/>
        <v>0.23355613631911631</v>
      </c>
      <c r="BP13" s="249">
        <v>290763</v>
      </c>
      <c r="BQ13" s="249">
        <v>0</v>
      </c>
      <c r="BR13" s="276">
        <f t="shared" si="45"/>
        <v>501054</v>
      </c>
      <c r="BS13" s="276">
        <v>320574</v>
      </c>
      <c r="BT13" s="269">
        <v>821628</v>
      </c>
      <c r="BU13" s="152">
        <f t="shared" si="17"/>
        <v>3.9255433510269802</v>
      </c>
      <c r="BV13" s="151">
        <f t="shared" si="46"/>
        <v>15605.470085470086</v>
      </c>
      <c r="BW13" s="152">
        <f t="shared" si="19"/>
        <v>107.0804118337026</v>
      </c>
      <c r="BX13" s="152">
        <f t="shared" si="20"/>
        <v>3.3270622345142598</v>
      </c>
      <c r="BY13" s="152">
        <f t="shared" si="47"/>
        <v>1.9462893609158809</v>
      </c>
      <c r="BZ13" s="249">
        <v>1369</v>
      </c>
      <c r="CA13" s="249">
        <v>329</v>
      </c>
      <c r="CB13" s="249">
        <v>344</v>
      </c>
      <c r="CC13" s="156">
        <f t="shared" si="48"/>
        <v>2042</v>
      </c>
      <c r="CD13" s="249">
        <v>32124</v>
      </c>
      <c r="CE13" s="249">
        <v>6115</v>
      </c>
      <c r="CF13" s="249">
        <v>7918</v>
      </c>
      <c r="CG13" s="159">
        <f t="shared" si="49"/>
        <v>46157</v>
      </c>
      <c r="CH13" s="152">
        <f t="shared" si="23"/>
        <v>0.22052717830131435</v>
      </c>
      <c r="CI13" s="249">
        <v>246953</v>
      </c>
      <c r="CJ13" s="152">
        <f t="shared" si="24"/>
        <v>1.1798827537111269</v>
      </c>
      <c r="CK13" s="269">
        <v>111399</v>
      </c>
      <c r="CL13" s="252" t="s">
        <v>25</v>
      </c>
      <c r="CM13" s="252" t="s">
        <v>25</v>
      </c>
      <c r="CN13" s="252" t="s">
        <v>25</v>
      </c>
      <c r="CO13" s="253">
        <v>11</v>
      </c>
      <c r="CP13" s="151">
        <f>C13/CO13</f>
        <v>19027.545454545456</v>
      </c>
      <c r="CQ13" s="253">
        <v>0</v>
      </c>
      <c r="CR13" s="253">
        <v>41.65</v>
      </c>
      <c r="CS13" s="223">
        <f t="shared" si="50"/>
        <v>52.65</v>
      </c>
      <c r="CT13" s="151">
        <f t="shared" si="26"/>
        <v>3975.3656220322887</v>
      </c>
      <c r="CU13" s="249">
        <v>3153</v>
      </c>
      <c r="CV13" s="251">
        <v>88670</v>
      </c>
      <c r="CW13" s="253">
        <v>40</v>
      </c>
      <c r="CX13" s="252" t="s">
        <v>25</v>
      </c>
      <c r="CY13" s="252" t="s">
        <v>25</v>
      </c>
      <c r="CZ13" s="249">
        <v>164</v>
      </c>
      <c r="DA13" s="249">
        <v>267</v>
      </c>
      <c r="DB13" s="249">
        <v>64</v>
      </c>
      <c r="DC13" s="249">
        <v>29546</v>
      </c>
      <c r="DD13" s="249" t="s">
        <v>3137</v>
      </c>
      <c r="DE13" s="249" t="s">
        <v>3137</v>
      </c>
      <c r="DF13" s="249">
        <v>12716</v>
      </c>
      <c r="DG13" s="249">
        <v>52</v>
      </c>
      <c r="DH13" s="253">
        <f t="shared" si="51"/>
        <v>6.0754026459248073E-2</v>
      </c>
      <c r="DI13" s="249">
        <v>54</v>
      </c>
      <c r="DJ13" s="249">
        <v>45</v>
      </c>
      <c r="DL13" s="151">
        <v>7673</v>
      </c>
      <c r="DM13" s="248"/>
      <c r="DN13" s="252" t="s">
        <v>3065</v>
      </c>
      <c r="DO13" s="252" t="s">
        <v>1950</v>
      </c>
      <c r="DP13" s="252"/>
      <c r="DQ13" s="250"/>
      <c r="DR13" s="261" t="s">
        <v>2990</v>
      </c>
      <c r="DS13" s="248" t="s">
        <v>2990</v>
      </c>
      <c r="DT13" s="275">
        <v>43282</v>
      </c>
      <c r="DU13" s="275">
        <v>43646</v>
      </c>
      <c r="DV13" s="261" t="s">
        <v>2990</v>
      </c>
      <c r="DW13" s="152">
        <f t="shared" si="27"/>
        <v>1.3891965237000903</v>
      </c>
      <c r="DX13" s="152">
        <f t="shared" si="28"/>
        <v>0</v>
      </c>
      <c r="DY13" s="152">
        <f t="shared" si="29"/>
        <v>2.393916952934263</v>
      </c>
      <c r="DZ13" s="152">
        <f t="shared" si="30"/>
        <v>1.5316263980927172</v>
      </c>
      <c r="EA13" s="153">
        <f t="shared" si="53"/>
        <v>0.34486630117817629</v>
      </c>
      <c r="EB13" s="243">
        <f t="shared" si="52"/>
        <v>0.31673186222213906</v>
      </c>
    </row>
    <row r="14" spans="1:132" ht="15" thickBot="1" x14ac:dyDescent="0.35">
      <c r="A14" s="261" t="s">
        <v>2991</v>
      </c>
      <c r="B14" s="388" t="s">
        <v>3206</v>
      </c>
      <c r="C14" s="263">
        <v>83576</v>
      </c>
      <c r="D14" s="250">
        <v>2</v>
      </c>
      <c r="E14" s="250">
        <v>0</v>
      </c>
      <c r="F14" s="249">
        <v>34661</v>
      </c>
      <c r="H14" s="151">
        <f t="shared" si="0"/>
        <v>34661</v>
      </c>
      <c r="I14" s="152">
        <v>0.41471999999999998</v>
      </c>
      <c r="J14" s="251">
        <v>798924</v>
      </c>
      <c r="K14" s="251">
        <v>257927</v>
      </c>
      <c r="L14" s="158">
        <f t="shared" si="32"/>
        <v>1056851</v>
      </c>
      <c r="M14" s="153">
        <f t="shared" si="33"/>
        <v>12.645388628314349</v>
      </c>
      <c r="N14" s="251">
        <v>127500</v>
      </c>
      <c r="O14" s="251">
        <v>25754</v>
      </c>
      <c r="P14" s="268">
        <v>12500</v>
      </c>
      <c r="Q14" s="158">
        <v>165754</v>
      </c>
      <c r="R14" s="153">
        <f t="shared" si="34"/>
        <v>1.9832727098688618</v>
      </c>
      <c r="S14" s="268">
        <v>113000</v>
      </c>
      <c r="T14" s="251">
        <v>1335605</v>
      </c>
      <c r="U14" s="251">
        <v>0</v>
      </c>
      <c r="V14" s="251">
        <v>1335605</v>
      </c>
      <c r="W14" s="153">
        <f t="shared" si="35"/>
        <v>15.980724131329568</v>
      </c>
      <c r="X14" s="154">
        <f t="shared" si="36"/>
        <v>0.79129008950999735</v>
      </c>
      <c r="Y14" s="154">
        <f t="shared" si="37"/>
        <v>0.12410405771167374</v>
      </c>
      <c r="Z14" s="154">
        <f t="shared" si="38"/>
        <v>8.4605852778328924E-2</v>
      </c>
      <c r="AA14" s="154">
        <f t="shared" si="39"/>
        <v>0</v>
      </c>
      <c r="AB14" s="251">
        <v>0</v>
      </c>
      <c r="AE14" s="251"/>
      <c r="AF14" s="251">
        <v>1335605</v>
      </c>
      <c r="AG14" s="251">
        <v>1344150</v>
      </c>
      <c r="AH14" s="251"/>
      <c r="AI14" s="158">
        <f t="shared" si="8"/>
        <v>2679755</v>
      </c>
      <c r="AJ14" s="153">
        <f t="shared" si="40"/>
        <v>32.063690533167417</v>
      </c>
      <c r="AK14" s="251">
        <v>133759</v>
      </c>
      <c r="AL14" s="251">
        <v>4621</v>
      </c>
      <c r="AM14" s="251">
        <v>0</v>
      </c>
      <c r="AN14" s="251"/>
      <c r="AO14" s="158">
        <f t="shared" si="41"/>
        <v>0</v>
      </c>
      <c r="AP14" s="251">
        <v>1482530</v>
      </c>
      <c r="AQ14" s="155">
        <f t="shared" si="42"/>
        <v>17.73870489135637</v>
      </c>
      <c r="AR14" s="251"/>
      <c r="AS14" s="268">
        <v>250000</v>
      </c>
      <c r="AT14" s="251">
        <v>0</v>
      </c>
      <c r="AU14" s="268">
        <v>0</v>
      </c>
      <c r="AV14" s="268">
        <v>0</v>
      </c>
      <c r="AW14" s="251"/>
      <c r="AX14" s="268">
        <v>0</v>
      </c>
      <c r="AY14" s="158">
        <f t="shared" si="43"/>
        <v>250000</v>
      </c>
      <c r="AZ14" s="249">
        <v>103245</v>
      </c>
      <c r="BA14" s="152">
        <f t="shared" si="13"/>
        <v>1.2353426821096967</v>
      </c>
      <c r="BB14" s="269">
        <v>4991</v>
      </c>
      <c r="BC14" s="269">
        <v>4991</v>
      </c>
      <c r="BD14" s="269">
        <v>12944</v>
      </c>
      <c r="BE14" s="269">
        <v>2179</v>
      </c>
      <c r="BF14" s="269">
        <v>144058</v>
      </c>
      <c r="BG14" s="269">
        <v>3</v>
      </c>
      <c r="BH14" s="269">
        <v>89</v>
      </c>
      <c r="BI14" s="249">
        <v>0</v>
      </c>
      <c r="BJ14" s="159">
        <f t="shared" si="44"/>
        <v>92</v>
      </c>
      <c r="BK14" s="269">
        <v>302723</v>
      </c>
      <c r="BL14" s="152">
        <f t="shared" si="15"/>
        <v>3.6221283622092466</v>
      </c>
      <c r="BM14" s="269">
        <v>151</v>
      </c>
      <c r="BN14" s="249">
        <v>48409</v>
      </c>
      <c r="BO14" s="152">
        <f t="shared" si="16"/>
        <v>0.57922130755240742</v>
      </c>
      <c r="BP14" s="249">
        <v>57153</v>
      </c>
      <c r="BQ14" s="249">
        <v>0</v>
      </c>
      <c r="BR14" s="276">
        <f t="shared" si="45"/>
        <v>200063</v>
      </c>
      <c r="BS14" s="276">
        <v>42058</v>
      </c>
      <c r="BT14" s="269">
        <v>242121</v>
      </c>
      <c r="BU14" s="152">
        <f t="shared" si="17"/>
        <v>2.8970158897291087</v>
      </c>
      <c r="BV14" s="151">
        <f t="shared" si="46"/>
        <v>12743.21052631579</v>
      </c>
      <c r="BW14" s="152">
        <f t="shared" si="19"/>
        <v>44.247258771929822</v>
      </c>
      <c r="BX14" s="152">
        <f t="shared" si="20"/>
        <v>1.2150155062878247</v>
      </c>
      <c r="BY14" s="152">
        <f t="shared" si="47"/>
        <v>0.799810387714181</v>
      </c>
      <c r="BZ14" s="249">
        <v>422</v>
      </c>
      <c r="CA14" s="249">
        <v>28</v>
      </c>
      <c r="CB14" s="249">
        <v>165</v>
      </c>
      <c r="CC14" s="156">
        <f t="shared" si="48"/>
        <v>615</v>
      </c>
      <c r="CD14" s="249">
        <v>9984</v>
      </c>
      <c r="CE14" s="249">
        <v>292</v>
      </c>
      <c r="CF14" s="249">
        <v>1804</v>
      </c>
      <c r="CG14" s="159">
        <f t="shared" si="49"/>
        <v>12080</v>
      </c>
      <c r="CH14" s="152">
        <f t="shared" si="23"/>
        <v>0.1445391021345841</v>
      </c>
      <c r="CI14" s="249">
        <v>199274</v>
      </c>
      <c r="CJ14" s="152">
        <f t="shared" si="24"/>
        <v>2.3843447879774096</v>
      </c>
      <c r="CK14" s="269">
        <v>18300</v>
      </c>
      <c r="CL14" s="252" t="s">
        <v>25</v>
      </c>
      <c r="CM14" s="252" t="s">
        <v>25</v>
      </c>
      <c r="CN14" s="252" t="s">
        <v>25</v>
      </c>
      <c r="CO14" s="253">
        <v>1</v>
      </c>
      <c r="CP14" s="151">
        <f>C14/CO14</f>
        <v>83576</v>
      </c>
      <c r="CQ14" s="253">
        <v>3</v>
      </c>
      <c r="CR14" s="253">
        <v>15</v>
      </c>
      <c r="CS14" s="223">
        <f t="shared" si="50"/>
        <v>19</v>
      </c>
      <c r="CT14" s="151">
        <f t="shared" si="26"/>
        <v>4398.7368421052633</v>
      </c>
      <c r="CU14" s="249">
        <v>0</v>
      </c>
      <c r="CV14" s="251">
        <v>71392</v>
      </c>
      <c r="CW14" s="253">
        <v>40</v>
      </c>
      <c r="CX14" s="252" t="s">
        <v>25</v>
      </c>
      <c r="CY14" s="252" t="s">
        <v>25</v>
      </c>
      <c r="CZ14" s="249">
        <v>12050</v>
      </c>
      <c r="DA14" s="249">
        <v>8577</v>
      </c>
      <c r="DB14" s="249">
        <v>43</v>
      </c>
      <c r="DC14" s="249">
        <v>31270</v>
      </c>
      <c r="DD14" s="249" t="s">
        <v>3137</v>
      </c>
      <c r="DE14" s="249">
        <v>44272</v>
      </c>
      <c r="DF14" s="249">
        <v>7904</v>
      </c>
      <c r="DG14" s="249">
        <v>0</v>
      </c>
      <c r="DH14" s="253">
        <f t="shared" si="51"/>
        <v>9.4572604575476213E-2</v>
      </c>
      <c r="DI14" s="249">
        <v>0</v>
      </c>
      <c r="DJ14" s="249">
        <v>0</v>
      </c>
      <c r="DK14" s="151">
        <v>28160</v>
      </c>
      <c r="DL14" s="151">
        <v>5472</v>
      </c>
      <c r="DM14" s="248"/>
      <c r="DN14" s="252" t="s">
        <v>3066</v>
      </c>
      <c r="DO14" s="252" t="s">
        <v>1950</v>
      </c>
      <c r="DP14" s="252"/>
      <c r="DQ14" s="250"/>
      <c r="DR14" s="261" t="s">
        <v>2991</v>
      </c>
      <c r="DS14" s="248" t="s">
        <v>2991</v>
      </c>
      <c r="DT14" s="275">
        <v>43282</v>
      </c>
      <c r="DU14" s="275">
        <v>43646</v>
      </c>
      <c r="DV14" s="261" t="s">
        <v>2991</v>
      </c>
      <c r="DW14" s="152">
        <f t="shared" si="27"/>
        <v>0.68384464439552028</v>
      </c>
      <c r="DX14" s="152">
        <f t="shared" si="28"/>
        <v>0</v>
      </c>
      <c r="DY14" s="152">
        <f t="shared" si="29"/>
        <v>2.3937852972145115</v>
      </c>
      <c r="DZ14" s="152">
        <f t="shared" si="30"/>
        <v>0.50323059251459745</v>
      </c>
      <c r="EA14" s="153">
        <f t="shared" si="53"/>
        <v>0.49569233640209009</v>
      </c>
      <c r="EB14" s="243">
        <f t="shared" si="52"/>
        <v>0.61234485710209707</v>
      </c>
    </row>
    <row r="15" spans="1:132" ht="15" thickBot="1" x14ac:dyDescent="0.35">
      <c r="A15" s="261" t="s">
        <v>2992</v>
      </c>
      <c r="B15" s="388" t="s">
        <v>3207</v>
      </c>
      <c r="C15" s="263">
        <v>23309</v>
      </c>
      <c r="D15" s="250">
        <v>0</v>
      </c>
      <c r="E15" s="250">
        <v>0</v>
      </c>
      <c r="F15" s="249">
        <v>7584</v>
      </c>
      <c r="H15" s="151">
        <f t="shared" si="0"/>
        <v>7584</v>
      </c>
      <c r="I15" s="152">
        <v>0.32536999999999999</v>
      </c>
      <c r="J15" s="251">
        <v>194644</v>
      </c>
      <c r="K15" s="251">
        <v>72348</v>
      </c>
      <c r="L15" s="158">
        <f t="shared" si="32"/>
        <v>266992</v>
      </c>
      <c r="M15" s="153">
        <f t="shared" si="33"/>
        <v>11.45445965077867</v>
      </c>
      <c r="N15" s="251">
        <v>19622</v>
      </c>
      <c r="O15" s="251">
        <v>6445</v>
      </c>
      <c r="P15" s="268">
        <v>0</v>
      </c>
      <c r="Q15" s="158">
        <v>26067</v>
      </c>
      <c r="R15" s="153">
        <f t="shared" si="34"/>
        <v>1.1183233943970141</v>
      </c>
      <c r="S15" s="268">
        <v>55128</v>
      </c>
      <c r="T15" s="251">
        <v>348187</v>
      </c>
      <c r="U15" s="251">
        <v>2276</v>
      </c>
      <c r="V15" s="251">
        <v>348187</v>
      </c>
      <c r="W15" s="153">
        <f t="shared" si="35"/>
        <v>14.937878072847399</v>
      </c>
      <c r="X15" s="154">
        <f t="shared" si="36"/>
        <v>0.7668063425687921</v>
      </c>
      <c r="Y15" s="154">
        <f t="shared" si="37"/>
        <v>7.486494326324647E-2</v>
      </c>
      <c r="Z15" s="154">
        <f t="shared" si="38"/>
        <v>0.15832871416796146</v>
      </c>
      <c r="AA15" s="154">
        <f t="shared" si="39"/>
        <v>6.5367173386714607E-3</v>
      </c>
      <c r="AB15" s="251">
        <v>2682753</v>
      </c>
      <c r="AE15" s="251"/>
      <c r="AF15" s="251">
        <v>348187</v>
      </c>
      <c r="AG15" s="251">
        <v>256866</v>
      </c>
      <c r="AH15" s="251"/>
      <c r="AI15" s="158">
        <f t="shared" si="8"/>
        <v>605053</v>
      </c>
      <c r="AJ15" s="153">
        <f t="shared" si="40"/>
        <v>25.95791325239178</v>
      </c>
      <c r="AK15" s="251">
        <v>83271</v>
      </c>
      <c r="AL15" s="251">
        <v>1764</v>
      </c>
      <c r="AM15" s="251">
        <v>8219</v>
      </c>
      <c r="AN15" s="251"/>
      <c r="AO15" s="158">
        <f t="shared" si="41"/>
        <v>8219</v>
      </c>
      <c r="AP15" s="251">
        <v>350120</v>
      </c>
      <c r="AQ15" s="155">
        <f t="shared" si="42"/>
        <v>15.02080741344545</v>
      </c>
      <c r="AR15" s="251"/>
      <c r="AS15" s="268">
        <v>0</v>
      </c>
      <c r="AT15" s="251">
        <v>0</v>
      </c>
      <c r="AU15" s="268">
        <v>0</v>
      </c>
      <c r="AV15" s="268">
        <v>0</v>
      </c>
      <c r="AW15" s="251"/>
      <c r="AX15" s="268">
        <v>0</v>
      </c>
      <c r="AY15" s="158">
        <f t="shared" si="43"/>
        <v>0</v>
      </c>
      <c r="AZ15" s="249">
        <v>40696</v>
      </c>
      <c r="BA15" s="152">
        <f t="shared" si="13"/>
        <v>1.7459350465485435</v>
      </c>
      <c r="BB15" s="269">
        <v>982</v>
      </c>
      <c r="BC15" s="269">
        <v>982</v>
      </c>
      <c r="BD15" s="269">
        <v>2454</v>
      </c>
      <c r="BE15" s="269">
        <v>2066</v>
      </c>
      <c r="BF15" s="269">
        <v>107579</v>
      </c>
      <c r="BG15" s="269">
        <v>2</v>
      </c>
      <c r="BH15" s="269">
        <v>89</v>
      </c>
      <c r="BI15" s="249">
        <v>0</v>
      </c>
      <c r="BJ15" s="159">
        <f t="shared" si="44"/>
        <v>91</v>
      </c>
      <c r="BK15" s="269">
        <v>170869</v>
      </c>
      <c r="BL15" s="152">
        <f t="shared" si="15"/>
        <v>7.3306019134239992</v>
      </c>
      <c r="BM15" s="269">
        <v>42</v>
      </c>
      <c r="BN15" s="249">
        <v>4323</v>
      </c>
      <c r="BO15" s="152">
        <f t="shared" si="16"/>
        <v>0.18546484190655971</v>
      </c>
      <c r="BP15" s="249">
        <v>7081</v>
      </c>
      <c r="BQ15" s="249">
        <v>0</v>
      </c>
      <c r="BR15" s="276">
        <f t="shared" si="45"/>
        <v>20150</v>
      </c>
      <c r="BS15" s="276">
        <v>2589</v>
      </c>
      <c r="BT15" s="269">
        <v>22739</v>
      </c>
      <c r="BU15" s="152">
        <f t="shared" si="17"/>
        <v>0.97554592646617189</v>
      </c>
      <c r="BV15" s="151">
        <f t="shared" si="46"/>
        <v>3358.7887740029546</v>
      </c>
      <c r="BW15" s="152">
        <f t="shared" si="19"/>
        <v>10.503002309468823</v>
      </c>
      <c r="BX15" s="152">
        <f t="shared" si="20"/>
        <v>0.43673414512349712</v>
      </c>
      <c r="BY15" s="152">
        <f t="shared" si="47"/>
        <v>0.13307855725731407</v>
      </c>
      <c r="BZ15" s="249">
        <v>114</v>
      </c>
      <c r="CA15" s="249">
        <v>79</v>
      </c>
      <c r="CB15" s="249">
        <v>136</v>
      </c>
      <c r="CC15" s="156">
        <f t="shared" si="48"/>
        <v>329</v>
      </c>
      <c r="CD15" s="249">
        <v>4723</v>
      </c>
      <c r="CE15" s="249">
        <v>608</v>
      </c>
      <c r="CF15" s="249">
        <v>1078</v>
      </c>
      <c r="CG15" s="159">
        <f t="shared" si="49"/>
        <v>6409</v>
      </c>
      <c r="CH15" s="152">
        <f t="shared" si="23"/>
        <v>0.27495817066369216</v>
      </c>
      <c r="CI15" s="249">
        <v>52066</v>
      </c>
      <c r="CJ15" s="152">
        <f t="shared" si="24"/>
        <v>2.2337294607233256</v>
      </c>
      <c r="CK15" s="269">
        <v>4938</v>
      </c>
      <c r="CL15" s="252" t="s">
        <v>25</v>
      </c>
      <c r="CM15" s="252" t="s">
        <v>25</v>
      </c>
      <c r="CN15" s="252" t="s">
        <v>25</v>
      </c>
      <c r="CO15" s="253">
        <v>1</v>
      </c>
      <c r="CP15" s="253">
        <v>0</v>
      </c>
      <c r="CQ15" s="253">
        <v>0</v>
      </c>
      <c r="CR15" s="253">
        <v>5.77</v>
      </c>
      <c r="CS15" s="223">
        <f t="shared" si="50"/>
        <v>6.77</v>
      </c>
      <c r="CT15" s="151">
        <f t="shared" si="26"/>
        <v>3442.9837518463814</v>
      </c>
      <c r="CU15" s="249">
        <v>437</v>
      </c>
      <c r="CV15" s="251">
        <v>57660</v>
      </c>
      <c r="CW15" s="253">
        <v>29</v>
      </c>
      <c r="CX15" s="252" t="s">
        <v>25</v>
      </c>
      <c r="CY15" s="252" t="s">
        <v>25</v>
      </c>
      <c r="CZ15" s="249">
        <v>2376</v>
      </c>
      <c r="DA15" s="249">
        <v>933</v>
      </c>
      <c r="DB15" s="249">
        <v>21</v>
      </c>
      <c r="DC15" s="249">
        <v>4877</v>
      </c>
      <c r="DD15" s="249">
        <v>3380</v>
      </c>
      <c r="DE15" s="249">
        <v>3725</v>
      </c>
      <c r="DF15" s="249">
        <v>2340</v>
      </c>
      <c r="DG15" s="249">
        <v>52</v>
      </c>
      <c r="DH15" s="253">
        <f t="shared" si="51"/>
        <v>0.1003904071388734</v>
      </c>
      <c r="DI15" s="249">
        <v>29</v>
      </c>
      <c r="DJ15" s="249">
        <v>29</v>
      </c>
      <c r="DL15" s="151">
        <v>2165</v>
      </c>
      <c r="DM15" s="248"/>
      <c r="DN15" s="252" t="s">
        <v>3067</v>
      </c>
      <c r="DO15" s="252" t="s">
        <v>1950</v>
      </c>
      <c r="DP15" s="252"/>
      <c r="DQ15" s="250"/>
      <c r="DR15" s="261" t="s">
        <v>2992</v>
      </c>
      <c r="DS15" s="248" t="s">
        <v>2992</v>
      </c>
      <c r="DT15" s="275">
        <v>43282</v>
      </c>
      <c r="DU15" s="275">
        <v>43646</v>
      </c>
      <c r="DV15" s="261" t="s">
        <v>2992</v>
      </c>
      <c r="DW15" s="152">
        <f t="shared" si="27"/>
        <v>0.30378823630357371</v>
      </c>
      <c r="DX15" s="152">
        <f t="shared" si="28"/>
        <v>0</v>
      </c>
      <c r="DY15" s="152">
        <f t="shared" si="29"/>
        <v>0.86447295036252092</v>
      </c>
      <c r="DZ15" s="152">
        <f t="shared" si="30"/>
        <v>0.11107297610365095</v>
      </c>
      <c r="EA15" s="153">
        <f t="shared" si="53"/>
        <v>0.7205758143292571</v>
      </c>
      <c r="EB15" s="243">
        <v>0</v>
      </c>
    </row>
    <row r="16" spans="1:132" ht="15" thickBot="1" x14ac:dyDescent="0.35">
      <c r="A16" s="261" t="s">
        <v>2993</v>
      </c>
      <c r="B16" s="388" t="s">
        <v>3208</v>
      </c>
      <c r="C16" s="263">
        <v>117143</v>
      </c>
      <c r="D16" s="250">
        <v>6</v>
      </c>
      <c r="E16" s="250">
        <v>0</v>
      </c>
      <c r="F16" s="249">
        <v>65400</v>
      </c>
      <c r="H16" s="151">
        <f t="shared" si="0"/>
        <v>65400</v>
      </c>
      <c r="I16" s="152">
        <v>0.55830000000000002</v>
      </c>
      <c r="J16" s="251">
        <v>1630986</v>
      </c>
      <c r="K16" s="251">
        <v>531159</v>
      </c>
      <c r="L16" s="158">
        <f t="shared" si="32"/>
        <v>2162145</v>
      </c>
      <c r="M16" s="153">
        <f t="shared" si="33"/>
        <v>18.457312856935541</v>
      </c>
      <c r="N16" s="251">
        <v>214173</v>
      </c>
      <c r="O16" s="251">
        <v>51441</v>
      </c>
      <c r="P16" s="268">
        <v>56580</v>
      </c>
      <c r="Q16" s="158">
        <v>322194</v>
      </c>
      <c r="R16" s="153">
        <f t="shared" si="34"/>
        <v>2.7504332311789863</v>
      </c>
      <c r="S16" s="268">
        <v>401141</v>
      </c>
      <c r="T16" s="251">
        <v>2885480</v>
      </c>
      <c r="U16" s="251">
        <v>0</v>
      </c>
      <c r="V16" s="251">
        <v>2885480</v>
      </c>
      <c r="W16" s="153">
        <f t="shared" si="35"/>
        <v>24.632116302297192</v>
      </c>
      <c r="X16" s="154">
        <f t="shared" si="36"/>
        <v>0.7493190041171659</v>
      </c>
      <c r="Y16" s="154">
        <f t="shared" si="37"/>
        <v>0.11166045164062825</v>
      </c>
      <c r="Z16" s="154">
        <f t="shared" si="38"/>
        <v>0.13902054424220581</v>
      </c>
      <c r="AA16" s="154">
        <f t="shared" si="39"/>
        <v>0</v>
      </c>
      <c r="AB16" s="251">
        <v>26925</v>
      </c>
      <c r="AE16" s="251"/>
      <c r="AF16" s="251">
        <v>2885480</v>
      </c>
      <c r="AG16" s="251">
        <v>2589806</v>
      </c>
      <c r="AH16" s="251"/>
      <c r="AI16" s="158">
        <f t="shared" si="8"/>
        <v>5475286</v>
      </c>
      <c r="AJ16" s="153">
        <f t="shared" si="40"/>
        <v>46.740189341232508</v>
      </c>
      <c r="AK16" s="251">
        <v>146945</v>
      </c>
      <c r="AL16" s="251">
        <v>38512</v>
      </c>
      <c r="AM16" s="251">
        <v>45070</v>
      </c>
      <c r="AN16" s="251"/>
      <c r="AO16" s="158">
        <f t="shared" si="41"/>
        <v>45070</v>
      </c>
      <c r="AP16" s="251">
        <v>2885480</v>
      </c>
      <c r="AQ16" s="155">
        <f t="shared" si="42"/>
        <v>24.632116302297192</v>
      </c>
      <c r="AR16" s="251"/>
      <c r="AS16" s="268">
        <v>49948</v>
      </c>
      <c r="AT16" s="251">
        <v>0</v>
      </c>
      <c r="AU16" s="268">
        <v>0</v>
      </c>
      <c r="AV16" s="268">
        <v>0</v>
      </c>
      <c r="AW16" s="251"/>
      <c r="AX16" s="268">
        <v>0</v>
      </c>
      <c r="AY16" s="158">
        <f t="shared" si="43"/>
        <v>49948</v>
      </c>
      <c r="AZ16" s="249">
        <v>146715</v>
      </c>
      <c r="BA16" s="152">
        <f t="shared" si="13"/>
        <v>1.2524435945809822</v>
      </c>
      <c r="BB16" s="269">
        <v>7913</v>
      </c>
      <c r="BC16" s="269">
        <v>7913</v>
      </c>
      <c r="BD16" s="269">
        <v>23276</v>
      </c>
      <c r="BE16" s="269">
        <v>2179</v>
      </c>
      <c r="BF16" s="269">
        <v>144117</v>
      </c>
      <c r="BG16" s="269">
        <v>8</v>
      </c>
      <c r="BH16" s="269">
        <v>89</v>
      </c>
      <c r="BI16" s="249">
        <v>0</v>
      </c>
      <c r="BJ16" s="159">
        <f t="shared" si="44"/>
        <v>97</v>
      </c>
      <c r="BK16" s="269">
        <v>368407</v>
      </c>
      <c r="BL16" s="152">
        <f t="shared" si="15"/>
        <v>3.1449339695927199</v>
      </c>
      <c r="BM16" s="269">
        <v>220</v>
      </c>
      <c r="BN16" s="249">
        <v>49246</v>
      </c>
      <c r="BO16" s="152">
        <f t="shared" si="16"/>
        <v>0.42039217025345094</v>
      </c>
      <c r="BP16" s="249">
        <v>157045</v>
      </c>
      <c r="BQ16" s="249">
        <v>0</v>
      </c>
      <c r="BR16" s="276">
        <f t="shared" si="45"/>
        <v>353779</v>
      </c>
      <c r="BS16" s="276">
        <v>139394</v>
      </c>
      <c r="BT16" s="269">
        <v>493173</v>
      </c>
      <c r="BU16" s="152">
        <f t="shared" si="17"/>
        <v>4.210008280477707</v>
      </c>
      <c r="BV16" s="151">
        <f t="shared" si="46"/>
        <v>13775.78212290503</v>
      </c>
      <c r="BW16" s="152">
        <f t="shared" si="19"/>
        <v>33.613208833151582</v>
      </c>
      <c r="BX16" s="152">
        <f t="shared" si="20"/>
        <v>1.8756674729587879</v>
      </c>
      <c r="BY16" s="152">
        <f t="shared" si="47"/>
        <v>1.3386634890216527</v>
      </c>
      <c r="BZ16" s="249">
        <v>740</v>
      </c>
      <c r="CA16" s="249">
        <v>49</v>
      </c>
      <c r="CB16" s="249">
        <v>483</v>
      </c>
      <c r="CC16" s="156">
        <f t="shared" si="48"/>
        <v>1272</v>
      </c>
      <c r="CD16" s="249">
        <v>11874</v>
      </c>
      <c r="CE16" s="249">
        <v>558</v>
      </c>
      <c r="CF16" s="249">
        <v>4717</v>
      </c>
      <c r="CG16" s="159">
        <f t="shared" si="49"/>
        <v>17149</v>
      </c>
      <c r="CH16" s="152">
        <f t="shared" si="23"/>
        <v>0.14639372391009278</v>
      </c>
      <c r="CI16" s="249">
        <v>262932</v>
      </c>
      <c r="CJ16" s="152">
        <f t="shared" si="24"/>
        <v>2.2445387261722853</v>
      </c>
      <c r="CK16" s="269">
        <v>96853</v>
      </c>
      <c r="CL16" s="252" t="s">
        <v>25</v>
      </c>
      <c r="CM16" s="252" t="s">
        <v>25</v>
      </c>
      <c r="CN16" s="252" t="s">
        <v>25</v>
      </c>
      <c r="CO16" s="253">
        <v>14</v>
      </c>
      <c r="CP16" s="253">
        <v>0</v>
      </c>
      <c r="CQ16" s="253">
        <v>0</v>
      </c>
      <c r="CR16" s="253">
        <v>21.8</v>
      </c>
      <c r="CS16" s="223">
        <f t="shared" si="50"/>
        <v>35.799999999999997</v>
      </c>
      <c r="CT16" s="151">
        <f t="shared" si="26"/>
        <v>3272.1508379888269</v>
      </c>
      <c r="CU16" s="249">
        <v>2772</v>
      </c>
      <c r="CV16" s="251">
        <v>93636</v>
      </c>
      <c r="CW16" s="253">
        <v>40</v>
      </c>
      <c r="CX16" s="252" t="s">
        <v>25</v>
      </c>
      <c r="CY16" s="252" t="s">
        <v>25</v>
      </c>
      <c r="CZ16" s="249">
        <v>283</v>
      </c>
      <c r="DA16" s="249">
        <v>0</v>
      </c>
      <c r="DB16" s="249">
        <v>176</v>
      </c>
      <c r="DC16" s="249">
        <v>39831</v>
      </c>
      <c r="DD16" s="249" t="s">
        <v>3137</v>
      </c>
      <c r="DE16" s="249">
        <v>68046</v>
      </c>
      <c r="DF16" s="249">
        <v>16796</v>
      </c>
      <c r="DG16" s="249">
        <v>46</v>
      </c>
      <c r="DH16" s="253">
        <f t="shared" si="51"/>
        <v>0.14338031295083786</v>
      </c>
      <c r="DI16" s="249">
        <v>51</v>
      </c>
      <c r="DJ16" s="249">
        <v>51</v>
      </c>
      <c r="DL16" s="151">
        <v>14672</v>
      </c>
      <c r="DM16" s="248"/>
      <c r="DN16" s="252" t="s">
        <v>3068</v>
      </c>
      <c r="DO16" s="252" t="s">
        <v>1950</v>
      </c>
      <c r="DP16" s="252"/>
      <c r="DQ16" s="250"/>
      <c r="DR16" s="261" t="s">
        <v>2993</v>
      </c>
      <c r="DS16" s="248" t="s">
        <v>2993</v>
      </c>
      <c r="DT16" s="275">
        <v>43282</v>
      </c>
      <c r="DU16" s="275">
        <v>43646</v>
      </c>
      <c r="DV16" s="261" t="s">
        <v>2993</v>
      </c>
      <c r="DW16" s="152">
        <f t="shared" si="27"/>
        <v>1.3406264138702271</v>
      </c>
      <c r="DX16" s="152">
        <f t="shared" si="28"/>
        <v>0</v>
      </c>
      <c r="DY16" s="152">
        <f t="shared" si="29"/>
        <v>3.0200609511451817</v>
      </c>
      <c r="DZ16" s="152">
        <f t="shared" si="30"/>
        <v>1.1899473293325251</v>
      </c>
      <c r="EA16" s="153">
        <f t="shared" si="53"/>
        <v>0.41926965060373045</v>
      </c>
      <c r="EB16" s="243">
        <f t="shared" si="52"/>
        <v>0.36903310042039111</v>
      </c>
    </row>
    <row r="17" spans="1:132" ht="15" thickBot="1" x14ac:dyDescent="0.35">
      <c r="A17" s="261" t="s">
        <v>3151</v>
      </c>
      <c r="B17" s="388" t="s">
        <v>3209</v>
      </c>
      <c r="C17" s="263">
        <v>63178</v>
      </c>
      <c r="D17" s="250">
        <v>0</v>
      </c>
      <c r="E17" s="250">
        <v>0</v>
      </c>
      <c r="F17" s="249">
        <v>63305</v>
      </c>
      <c r="H17" s="151">
        <f t="shared" si="0"/>
        <v>63305</v>
      </c>
      <c r="I17" s="152">
        <v>1.0020100000000001</v>
      </c>
      <c r="J17" s="251">
        <v>1766008</v>
      </c>
      <c r="K17" s="251">
        <v>668859</v>
      </c>
      <c r="L17" s="158">
        <f t="shared" si="32"/>
        <v>2434867</v>
      </c>
      <c r="M17" s="153">
        <f t="shared" si="33"/>
        <v>38.53979233277407</v>
      </c>
      <c r="N17" s="251">
        <v>145700</v>
      </c>
      <c r="O17" s="251">
        <v>46367</v>
      </c>
      <c r="P17" s="268">
        <v>52416</v>
      </c>
      <c r="Q17" s="158">
        <v>244483</v>
      </c>
      <c r="R17" s="153">
        <f t="shared" si="34"/>
        <v>3.8697489632466997</v>
      </c>
      <c r="S17" s="268">
        <v>583599</v>
      </c>
      <c r="T17" s="251">
        <v>3262949</v>
      </c>
      <c r="U17" s="251">
        <v>0</v>
      </c>
      <c r="V17" s="251">
        <v>3262949</v>
      </c>
      <c r="W17" s="153">
        <f t="shared" si="35"/>
        <v>51.646918231029787</v>
      </c>
      <c r="X17" s="154">
        <f t="shared" si="36"/>
        <v>0.74621668925870432</v>
      </c>
      <c r="Y17" s="154">
        <f t="shared" si="37"/>
        <v>7.4927006214317166E-2</v>
      </c>
      <c r="Z17" s="154">
        <f t="shared" si="38"/>
        <v>0.17885630452697851</v>
      </c>
      <c r="AA17" s="154">
        <f t="shared" si="39"/>
        <v>0</v>
      </c>
      <c r="AB17" s="251">
        <v>0</v>
      </c>
      <c r="AE17" s="251"/>
      <c r="AF17" s="251">
        <v>3262949</v>
      </c>
      <c r="AG17" s="251">
        <v>568139</v>
      </c>
      <c r="AH17" s="251"/>
      <c r="AI17" s="158">
        <f t="shared" si="8"/>
        <v>3831088</v>
      </c>
      <c r="AJ17" s="153">
        <f t="shared" si="40"/>
        <v>60.639589730602424</v>
      </c>
      <c r="AK17" s="251">
        <v>28713</v>
      </c>
      <c r="AL17" s="251">
        <v>47082</v>
      </c>
      <c r="AM17" s="251">
        <v>149968</v>
      </c>
      <c r="AN17" s="251"/>
      <c r="AO17" s="158">
        <f t="shared" si="41"/>
        <v>149968</v>
      </c>
      <c r="AP17" s="251">
        <v>3153211</v>
      </c>
      <c r="AQ17" s="155">
        <f t="shared" si="42"/>
        <v>49.909952831681913</v>
      </c>
      <c r="AR17" s="251"/>
      <c r="AS17" s="268">
        <v>0</v>
      </c>
      <c r="AT17" s="251">
        <v>0</v>
      </c>
      <c r="AU17" s="268">
        <v>0</v>
      </c>
      <c r="AV17" s="268">
        <v>0</v>
      </c>
      <c r="AW17" s="251"/>
      <c r="AX17" s="268">
        <v>0</v>
      </c>
      <c r="AY17" s="158">
        <f t="shared" si="43"/>
        <v>0</v>
      </c>
      <c r="AZ17" s="249">
        <v>182810</v>
      </c>
      <c r="BA17" s="152">
        <f t="shared" si="13"/>
        <v>2.8935705467092974</v>
      </c>
      <c r="BB17" s="269">
        <v>12321</v>
      </c>
      <c r="BC17" s="269">
        <v>12321</v>
      </c>
      <c r="BD17" s="269">
        <v>12118</v>
      </c>
      <c r="BE17" s="269">
        <v>2179</v>
      </c>
      <c r="BF17" s="269">
        <v>145309</v>
      </c>
      <c r="BG17" s="269">
        <v>2</v>
      </c>
      <c r="BH17" s="269">
        <v>89</v>
      </c>
      <c r="BI17" s="249">
        <v>0</v>
      </c>
      <c r="BJ17" s="159">
        <f t="shared" si="44"/>
        <v>91</v>
      </c>
      <c r="BK17" s="269">
        <v>390171</v>
      </c>
      <c r="BL17" s="152">
        <f t="shared" si="15"/>
        <v>6.175741555604799</v>
      </c>
      <c r="BM17" s="269">
        <v>155</v>
      </c>
      <c r="BN17" s="249">
        <v>-1</v>
      </c>
      <c r="BO17" s="152">
        <f t="shared" si="16"/>
        <v>-1.5828294659533381E-5</v>
      </c>
      <c r="BP17" s="249">
        <v>667826</v>
      </c>
      <c r="BQ17" s="249">
        <v>0</v>
      </c>
      <c r="BR17" s="276">
        <f t="shared" si="45"/>
        <v>1092619</v>
      </c>
      <c r="BS17" s="276">
        <v>274771</v>
      </c>
      <c r="BT17" s="269">
        <v>1367390</v>
      </c>
      <c r="BU17" s="152">
        <f t="shared" si="17"/>
        <v>21.643451834499352</v>
      </c>
      <c r="BV17" s="151">
        <f t="shared" si="46"/>
        <v>38409.831460674155</v>
      </c>
      <c r="BW17" s="152">
        <f t="shared" si="19"/>
        <v>554.94724025974028</v>
      </c>
      <c r="BX17" s="152">
        <f t="shared" si="20"/>
        <v>3.4861676605487046</v>
      </c>
      <c r="BY17" s="152">
        <f t="shared" si="47"/>
        <v>3.5045915765138873</v>
      </c>
      <c r="BZ17" s="249">
        <v>526</v>
      </c>
      <c r="CA17" s="249">
        <v>58</v>
      </c>
      <c r="CB17" s="249">
        <v>93</v>
      </c>
      <c r="CC17" s="156">
        <f t="shared" si="48"/>
        <v>677</v>
      </c>
      <c r="CD17" s="249">
        <v>20289</v>
      </c>
      <c r="CE17" s="249">
        <v>1305</v>
      </c>
      <c r="CF17" s="249">
        <v>3791</v>
      </c>
      <c r="CG17" s="159">
        <f t="shared" si="49"/>
        <v>25385</v>
      </c>
      <c r="CH17" s="152">
        <f t="shared" si="23"/>
        <v>0.40180125993225491</v>
      </c>
      <c r="CI17" s="249">
        <v>392233</v>
      </c>
      <c r="CJ17" s="152">
        <f t="shared" si="24"/>
        <v>6.2083794991927572</v>
      </c>
      <c r="CK17" s="269">
        <v>63029</v>
      </c>
      <c r="CL17" s="252" t="s">
        <v>25</v>
      </c>
      <c r="CM17" s="252" t="s">
        <v>25</v>
      </c>
      <c r="CN17" s="252" t="s">
        <v>25</v>
      </c>
      <c r="CO17" s="253">
        <v>8</v>
      </c>
      <c r="CP17" s="253">
        <v>0</v>
      </c>
      <c r="CQ17" s="253">
        <v>0</v>
      </c>
      <c r="CR17" s="253">
        <v>27.6</v>
      </c>
      <c r="CS17" s="223">
        <f t="shared" si="50"/>
        <v>35.6</v>
      </c>
      <c r="CT17" s="151">
        <f t="shared" si="26"/>
        <v>1774.6629213483145</v>
      </c>
      <c r="CU17" s="249">
        <v>2493</v>
      </c>
      <c r="CV17" s="251">
        <v>131341</v>
      </c>
      <c r="CW17" s="253">
        <v>40</v>
      </c>
      <c r="CX17" s="252" t="s">
        <v>25</v>
      </c>
      <c r="CY17" s="252" t="s">
        <v>25</v>
      </c>
      <c r="CZ17" s="249">
        <v>0</v>
      </c>
      <c r="DA17" s="249">
        <v>0</v>
      </c>
      <c r="DB17" s="249">
        <v>60</v>
      </c>
      <c r="DC17" s="249">
        <v>92543</v>
      </c>
      <c r="DD17" s="249" t="s">
        <v>3137</v>
      </c>
      <c r="DE17" s="249">
        <v>725582</v>
      </c>
      <c r="DF17" s="249">
        <v>3484</v>
      </c>
      <c r="DG17" s="249">
        <v>52</v>
      </c>
      <c r="DH17" s="253">
        <f t="shared" si="51"/>
        <v>5.5145778593814303E-2</v>
      </c>
      <c r="DI17" s="249">
        <v>38</v>
      </c>
      <c r="DJ17" s="249">
        <v>38</v>
      </c>
      <c r="DL17" s="151">
        <v>2464</v>
      </c>
      <c r="DM17" s="248"/>
      <c r="DN17" s="252" t="s">
        <v>3069</v>
      </c>
      <c r="DO17" s="252" t="s">
        <v>3053</v>
      </c>
      <c r="DP17" s="252"/>
      <c r="DQ17" s="250"/>
      <c r="DR17" s="261" t="s">
        <v>3151</v>
      </c>
      <c r="DS17" s="248" t="s">
        <v>2994</v>
      </c>
      <c r="DT17" s="275">
        <v>43282</v>
      </c>
      <c r="DU17" s="275">
        <v>43646</v>
      </c>
      <c r="DV17" s="261" t="s">
        <v>3151</v>
      </c>
      <c r="DW17" s="152">
        <f t="shared" si="27"/>
        <v>10.57054670929754</v>
      </c>
      <c r="DX17" s="152">
        <f t="shared" si="28"/>
        <v>0</v>
      </c>
      <c r="DY17" s="152">
        <f t="shared" si="29"/>
        <v>17.294295482604703</v>
      </c>
      <c r="DZ17" s="152">
        <f t="shared" si="30"/>
        <v>4.3491563518946466</v>
      </c>
      <c r="EA17" s="153">
        <f t="shared" si="53"/>
        <v>8.2763164995214272E-2</v>
      </c>
      <c r="EB17" s="243">
        <v>0</v>
      </c>
    </row>
    <row r="18" spans="1:132" ht="29.4" thickBot="1" x14ac:dyDescent="0.35">
      <c r="A18" s="261" t="s">
        <v>3152</v>
      </c>
      <c r="B18" s="388" t="s">
        <v>3210</v>
      </c>
      <c r="C18" s="263">
        <v>1093708</v>
      </c>
      <c r="D18" s="250">
        <v>19</v>
      </c>
      <c r="E18" s="250">
        <v>0</v>
      </c>
      <c r="F18" s="249">
        <v>526427</v>
      </c>
      <c r="H18" s="151">
        <f t="shared" si="0"/>
        <v>526427</v>
      </c>
      <c r="I18" s="152">
        <v>0.49358000000000002</v>
      </c>
      <c r="J18" s="251">
        <v>19824467</v>
      </c>
      <c r="K18" s="251">
        <v>9083217</v>
      </c>
      <c r="L18" s="158">
        <f t="shared" si="32"/>
        <v>28907684</v>
      </c>
      <c r="M18" s="153">
        <f t="shared" si="33"/>
        <v>26.430897460748206</v>
      </c>
      <c r="N18" s="251">
        <v>2200407</v>
      </c>
      <c r="O18" s="251">
        <v>2863624</v>
      </c>
      <c r="P18" s="268">
        <v>282971</v>
      </c>
      <c r="Q18" s="158">
        <v>5347002</v>
      </c>
      <c r="R18" s="153">
        <f t="shared" si="34"/>
        <v>4.8888752756677283</v>
      </c>
      <c r="S18" s="268">
        <v>10466735</v>
      </c>
      <c r="T18" s="251">
        <v>44721421</v>
      </c>
      <c r="U18" s="251">
        <v>0</v>
      </c>
      <c r="V18" s="251">
        <v>44721421</v>
      </c>
      <c r="W18" s="153">
        <f t="shared" si="35"/>
        <v>40.889726508355061</v>
      </c>
      <c r="X18" s="154">
        <f t="shared" si="36"/>
        <v>0.64639457677339907</v>
      </c>
      <c r="Y18" s="154">
        <f t="shared" si="37"/>
        <v>0.11956243519185135</v>
      </c>
      <c r="Z18" s="154">
        <f t="shared" si="38"/>
        <v>0.2340429880347496</v>
      </c>
      <c r="AA18" s="154">
        <f t="shared" si="39"/>
        <v>0</v>
      </c>
      <c r="AB18" s="251">
        <v>10292212</v>
      </c>
      <c r="AE18" s="251"/>
      <c r="AF18" s="251">
        <v>44721421</v>
      </c>
      <c r="AG18" s="251">
        <v>40807879</v>
      </c>
      <c r="AH18" s="251"/>
      <c r="AI18" s="158">
        <f t="shared" si="8"/>
        <v>85529300</v>
      </c>
      <c r="AJ18" s="153">
        <f t="shared" si="40"/>
        <v>78.201220069707816</v>
      </c>
      <c r="AK18" s="251">
        <v>631286</v>
      </c>
      <c r="AL18" s="251">
        <v>140654</v>
      </c>
      <c r="AM18" s="251">
        <v>9059741</v>
      </c>
      <c r="AN18" s="251"/>
      <c r="AO18" s="158">
        <f t="shared" si="41"/>
        <v>9059741</v>
      </c>
      <c r="AP18" s="251">
        <v>50642060</v>
      </c>
      <c r="AQ18" s="155">
        <f t="shared" si="42"/>
        <v>46.303090038657487</v>
      </c>
      <c r="AR18" s="251"/>
      <c r="AS18" s="268">
        <v>11006794</v>
      </c>
      <c r="AT18" s="251">
        <v>0</v>
      </c>
      <c r="AU18" s="268">
        <v>0</v>
      </c>
      <c r="AV18" s="268">
        <v>0</v>
      </c>
      <c r="AW18" s="251"/>
      <c r="AX18" s="268">
        <v>0</v>
      </c>
      <c r="AY18" s="158">
        <f t="shared" si="43"/>
        <v>11006794</v>
      </c>
      <c r="AZ18" s="249">
        <v>786338</v>
      </c>
      <c r="BA18" s="152">
        <f t="shared" si="13"/>
        <v>0.71896520826399735</v>
      </c>
      <c r="BB18" s="269">
        <v>48236</v>
      </c>
      <c r="BC18" s="269">
        <v>48236</v>
      </c>
      <c r="BD18" s="269">
        <v>29310</v>
      </c>
      <c r="BE18" s="269">
        <v>2404</v>
      </c>
      <c r="BF18" s="269">
        <v>154200</v>
      </c>
      <c r="BG18" s="269">
        <v>32</v>
      </c>
      <c r="BH18" s="269">
        <v>89</v>
      </c>
      <c r="BI18" s="249">
        <v>0</v>
      </c>
      <c r="BJ18" s="159">
        <f t="shared" si="44"/>
        <v>121</v>
      </c>
      <c r="BK18" s="269">
        <v>1159963</v>
      </c>
      <c r="BL18" s="152">
        <f t="shared" si="15"/>
        <v>1.0605783262077264</v>
      </c>
      <c r="BM18" s="269">
        <v>1553</v>
      </c>
      <c r="BN18" s="249">
        <v>1546311</v>
      </c>
      <c r="BO18" s="152">
        <f t="shared" si="16"/>
        <v>1.4138243479978203</v>
      </c>
      <c r="BP18" s="249">
        <v>2350895</v>
      </c>
      <c r="BQ18" s="249">
        <v>0</v>
      </c>
      <c r="BR18" s="276">
        <f t="shared" si="45"/>
        <v>3383184</v>
      </c>
      <c r="BS18" s="276">
        <v>10995332</v>
      </c>
      <c r="BT18" s="269">
        <v>14378516</v>
      </c>
      <c r="BU18" s="152">
        <f t="shared" si="17"/>
        <v>13.146576599970011</v>
      </c>
      <c r="BV18" s="151">
        <f t="shared" si="46"/>
        <v>35458.732429099873</v>
      </c>
      <c r="BW18" s="152">
        <f t="shared" si="19"/>
        <v>310.80619082616403</v>
      </c>
      <c r="BX18" s="152">
        <f t="shared" si="20"/>
        <v>5.6040424984604833</v>
      </c>
      <c r="BY18" s="152">
        <f t="shared" si="47"/>
        <v>12.395667792852013</v>
      </c>
      <c r="BZ18" s="249">
        <v>12065</v>
      </c>
      <c r="CA18" s="249">
        <v>2722</v>
      </c>
      <c r="CB18" s="249">
        <v>3796</v>
      </c>
      <c r="CC18" s="156">
        <f t="shared" si="48"/>
        <v>18583</v>
      </c>
      <c r="CD18" s="249">
        <v>374047</v>
      </c>
      <c r="CE18" s="249">
        <v>27660</v>
      </c>
      <c r="CF18" s="249">
        <v>38244</v>
      </c>
      <c r="CG18" s="159">
        <f t="shared" si="49"/>
        <v>439951</v>
      </c>
      <c r="CH18" s="152">
        <f t="shared" si="23"/>
        <v>0.40225636092997402</v>
      </c>
      <c r="CI18" s="249">
        <v>2565740</v>
      </c>
      <c r="CJ18" s="152">
        <f t="shared" si="24"/>
        <v>2.3459095114966702</v>
      </c>
      <c r="CK18" s="269">
        <v>1117402</v>
      </c>
      <c r="CL18" s="252" t="s">
        <v>25</v>
      </c>
      <c r="CM18" s="252" t="s">
        <v>25</v>
      </c>
      <c r="CN18" s="252" t="s">
        <v>25</v>
      </c>
      <c r="CO18" s="253">
        <v>73.599999999999994</v>
      </c>
      <c r="CP18" s="151">
        <f>C18/CO18</f>
        <v>14860.163043478262</v>
      </c>
      <c r="CQ18" s="253">
        <v>0</v>
      </c>
      <c r="CR18" s="253">
        <v>331.9</v>
      </c>
      <c r="CS18" s="223">
        <f t="shared" si="50"/>
        <v>405.5</v>
      </c>
      <c r="CT18" s="151">
        <f t="shared" si="26"/>
        <v>2697.1837237977807</v>
      </c>
      <c r="CU18" s="249">
        <v>37512</v>
      </c>
      <c r="CV18" s="251">
        <v>177843</v>
      </c>
      <c r="CW18" s="253">
        <v>40</v>
      </c>
      <c r="CX18" s="252" t="s">
        <v>25</v>
      </c>
      <c r="CY18" s="252" t="s">
        <v>25</v>
      </c>
      <c r="CZ18" s="249">
        <v>1491</v>
      </c>
      <c r="DA18" s="249">
        <v>2063</v>
      </c>
      <c r="DB18" s="249">
        <v>764</v>
      </c>
      <c r="DC18" s="249">
        <v>424399</v>
      </c>
      <c r="DD18" s="249">
        <v>1220400</v>
      </c>
      <c r="DE18" s="249">
        <v>20278794</v>
      </c>
      <c r="DF18" s="249">
        <v>57846</v>
      </c>
      <c r="DG18" s="249">
        <v>52</v>
      </c>
      <c r="DH18" s="253">
        <f t="shared" si="51"/>
        <v>5.2889802396983474E-2</v>
      </c>
      <c r="DI18" s="249">
        <v>72</v>
      </c>
      <c r="DJ18" s="249">
        <v>72</v>
      </c>
      <c r="DK18" s="151">
        <v>16370</v>
      </c>
      <c r="DL18" s="151">
        <v>46262</v>
      </c>
      <c r="DM18" s="248"/>
      <c r="DN18" s="252" t="s">
        <v>3070</v>
      </c>
      <c r="DO18" s="252" t="s">
        <v>1950</v>
      </c>
      <c r="DP18" s="252"/>
      <c r="DQ18" s="250"/>
      <c r="DR18" s="261" t="s">
        <v>3152</v>
      </c>
      <c r="DS18" s="248" t="s">
        <v>2995</v>
      </c>
      <c r="DT18" s="275">
        <v>43282</v>
      </c>
      <c r="DU18" s="275">
        <v>43646</v>
      </c>
      <c r="DV18" s="261" t="s">
        <v>3152</v>
      </c>
      <c r="DW18" s="152">
        <f t="shared" si="27"/>
        <v>2.1494722540202686</v>
      </c>
      <c r="DX18" s="152">
        <f t="shared" si="28"/>
        <v>0</v>
      </c>
      <c r="DY18" s="152">
        <f t="shared" si="29"/>
        <v>3.0933155833183994</v>
      </c>
      <c r="DZ18" s="152">
        <f t="shared" si="30"/>
        <v>10.053261016651611</v>
      </c>
      <c r="EA18" s="153">
        <f t="shared" si="53"/>
        <v>0.38374200983279094</v>
      </c>
      <c r="EB18" s="243">
        <f t="shared" si="52"/>
        <v>0.26043997580063977</v>
      </c>
    </row>
    <row r="19" spans="1:132" ht="15" thickBot="1" x14ac:dyDescent="0.35">
      <c r="A19" s="261" t="s">
        <v>2996</v>
      </c>
      <c r="B19" s="388" t="s">
        <v>3211</v>
      </c>
      <c r="C19" s="263">
        <v>74491</v>
      </c>
      <c r="D19" s="250">
        <v>2</v>
      </c>
      <c r="E19" s="250">
        <v>0</v>
      </c>
      <c r="F19" s="249">
        <v>35000</v>
      </c>
      <c r="H19" s="151">
        <f t="shared" si="0"/>
        <v>35000</v>
      </c>
      <c r="I19" s="152">
        <v>0.46986</v>
      </c>
      <c r="J19" s="251">
        <v>766642</v>
      </c>
      <c r="K19" s="251">
        <v>326177</v>
      </c>
      <c r="L19" s="158">
        <f t="shared" si="32"/>
        <v>1092819</v>
      </c>
      <c r="M19" s="153">
        <f t="shared" si="33"/>
        <v>14.670483682592527</v>
      </c>
      <c r="N19" s="251">
        <v>168867</v>
      </c>
      <c r="O19" s="251">
        <v>27220</v>
      </c>
      <c r="P19" s="268">
        <v>47376</v>
      </c>
      <c r="Q19" s="158">
        <v>243463</v>
      </c>
      <c r="R19" s="153">
        <f t="shared" si="34"/>
        <v>3.2683545663234486</v>
      </c>
      <c r="S19" s="268">
        <v>837845</v>
      </c>
      <c r="T19" s="251">
        <v>2174127</v>
      </c>
      <c r="U19" s="251">
        <v>8781</v>
      </c>
      <c r="V19" s="251">
        <v>2174127</v>
      </c>
      <c r="W19" s="153">
        <f t="shared" si="35"/>
        <v>29.186438630170088</v>
      </c>
      <c r="X19" s="154">
        <f t="shared" si="36"/>
        <v>0.50264726945574012</v>
      </c>
      <c r="Y19" s="154">
        <f t="shared" si="37"/>
        <v>0.11198195873562124</v>
      </c>
      <c r="Z19" s="154">
        <f t="shared" si="38"/>
        <v>0.3853707718086386</v>
      </c>
      <c r="AA19" s="154">
        <f t="shared" si="39"/>
        <v>4.0388624951532273E-3</v>
      </c>
      <c r="AB19" s="251">
        <v>0</v>
      </c>
      <c r="AE19" s="251"/>
      <c r="AF19" s="251">
        <v>2174127</v>
      </c>
      <c r="AG19" s="251">
        <v>1948915</v>
      </c>
      <c r="AH19" s="251"/>
      <c r="AI19" s="158">
        <f t="shared" si="8"/>
        <v>4123042</v>
      </c>
      <c r="AJ19" s="153">
        <f t="shared" si="40"/>
        <v>55.349532158247307</v>
      </c>
      <c r="AK19" s="251">
        <v>91742</v>
      </c>
      <c r="AL19" s="251">
        <v>2000</v>
      </c>
      <c r="AM19" s="251">
        <v>249612</v>
      </c>
      <c r="AN19" s="251"/>
      <c r="AO19" s="158">
        <f t="shared" si="41"/>
        <v>249612</v>
      </c>
      <c r="AP19" s="251">
        <v>2292269</v>
      </c>
      <c r="AQ19" s="155">
        <f t="shared" si="42"/>
        <v>30.772428884026258</v>
      </c>
      <c r="AR19" s="251"/>
      <c r="AS19" s="268">
        <v>0</v>
      </c>
      <c r="AT19" s="251">
        <v>0</v>
      </c>
      <c r="AU19" s="268">
        <v>0</v>
      </c>
      <c r="AV19" s="268">
        <v>0</v>
      </c>
      <c r="AW19" s="251"/>
      <c r="AX19" s="268">
        <v>0</v>
      </c>
      <c r="AY19" s="158">
        <f t="shared" si="43"/>
        <v>0</v>
      </c>
      <c r="AZ19" s="249">
        <v>91273</v>
      </c>
      <c r="BA19" s="152">
        <f t="shared" si="13"/>
        <v>1.2252889610825468</v>
      </c>
      <c r="BB19" s="269">
        <v>3395</v>
      </c>
      <c r="BC19" s="269">
        <v>3395</v>
      </c>
      <c r="BD19" s="269">
        <v>8042</v>
      </c>
      <c r="BE19" s="269">
        <v>2067</v>
      </c>
      <c r="BF19" s="269">
        <v>107580</v>
      </c>
      <c r="BG19" s="269">
        <v>8</v>
      </c>
      <c r="BH19" s="269">
        <v>89</v>
      </c>
      <c r="BI19" s="249">
        <v>0</v>
      </c>
      <c r="BJ19" s="159">
        <f t="shared" si="44"/>
        <v>97</v>
      </c>
      <c r="BK19" s="269">
        <v>230484</v>
      </c>
      <c r="BL19" s="152">
        <f t="shared" si="15"/>
        <v>3.0941187526009855</v>
      </c>
      <c r="BM19" s="269">
        <v>1141</v>
      </c>
      <c r="BN19" s="249">
        <v>22606</v>
      </c>
      <c r="BO19" s="152">
        <f t="shared" si="16"/>
        <v>0.30347290276677719</v>
      </c>
      <c r="BP19" s="249">
        <v>65659</v>
      </c>
      <c r="BQ19" s="249">
        <v>0</v>
      </c>
      <c r="BR19" s="276">
        <f t="shared" si="45"/>
        <v>162382</v>
      </c>
      <c r="BS19" s="276">
        <v>89892</v>
      </c>
      <c r="BT19" s="269">
        <v>252274</v>
      </c>
      <c r="BU19" s="152">
        <f t="shared" si="17"/>
        <v>3.386637311890027</v>
      </c>
      <c r="BV19" s="151">
        <f t="shared" si="46"/>
        <v>14415.657142857142</v>
      </c>
      <c r="BW19" s="152">
        <f t="shared" si="19"/>
        <v>47.375399061032866</v>
      </c>
      <c r="BX19" s="152">
        <f t="shared" si="20"/>
        <v>2.1219110101774752</v>
      </c>
      <c r="BY19" s="152">
        <f t="shared" si="47"/>
        <v>1.0945401850019958</v>
      </c>
      <c r="BZ19" s="249">
        <v>546</v>
      </c>
      <c r="CA19" s="249">
        <v>76</v>
      </c>
      <c r="CB19" s="249">
        <v>150</v>
      </c>
      <c r="CC19" s="156">
        <f t="shared" si="48"/>
        <v>772</v>
      </c>
      <c r="CD19" s="249">
        <v>11830</v>
      </c>
      <c r="CE19" s="249">
        <v>581</v>
      </c>
      <c r="CF19" s="249">
        <v>2960</v>
      </c>
      <c r="CG19" s="159">
        <f t="shared" si="49"/>
        <v>15371</v>
      </c>
      <c r="CH19" s="152">
        <f t="shared" si="23"/>
        <v>0.20634707548562914</v>
      </c>
      <c r="CI19" s="249">
        <v>118890</v>
      </c>
      <c r="CJ19" s="152">
        <f t="shared" si="24"/>
        <v>1.596031735377428</v>
      </c>
      <c r="CK19" s="269">
        <v>37017</v>
      </c>
      <c r="CL19" s="252" t="s">
        <v>25</v>
      </c>
      <c r="CM19" s="252" t="s">
        <v>25</v>
      </c>
      <c r="CN19" s="252" t="s">
        <v>25</v>
      </c>
      <c r="CO19" s="253">
        <v>4</v>
      </c>
      <c r="CP19" s="253">
        <v>0</v>
      </c>
      <c r="CQ19" s="253">
        <v>0</v>
      </c>
      <c r="CR19" s="253">
        <v>13.5</v>
      </c>
      <c r="CS19" s="223">
        <f t="shared" si="50"/>
        <v>17.5</v>
      </c>
      <c r="CT19" s="151">
        <f t="shared" si="26"/>
        <v>4256.6285714285714</v>
      </c>
      <c r="CU19" s="249">
        <v>0</v>
      </c>
      <c r="CV19" s="251">
        <v>83462</v>
      </c>
      <c r="CW19" s="253">
        <v>24</v>
      </c>
      <c r="CX19" s="252" t="s">
        <v>25</v>
      </c>
      <c r="CY19" s="252" t="s">
        <v>25</v>
      </c>
      <c r="CZ19" s="249">
        <v>161</v>
      </c>
      <c r="DA19" s="249">
        <v>0</v>
      </c>
      <c r="DB19" s="249">
        <v>58</v>
      </c>
      <c r="DC19" s="249">
        <v>17515</v>
      </c>
      <c r="DD19" s="249" t="s">
        <v>3137</v>
      </c>
      <c r="DE19" s="249" t="s">
        <v>3137</v>
      </c>
      <c r="DF19" s="249">
        <v>7100</v>
      </c>
      <c r="DG19" s="249">
        <v>52</v>
      </c>
      <c r="DH19" s="253">
        <f t="shared" si="51"/>
        <v>9.5313527808728565E-2</v>
      </c>
      <c r="DI19" s="249">
        <v>24</v>
      </c>
      <c r="DJ19" s="249">
        <v>24</v>
      </c>
      <c r="DL19" s="151">
        <v>5325</v>
      </c>
      <c r="DM19" s="248"/>
      <c r="DN19" s="252" t="s">
        <v>3071</v>
      </c>
      <c r="DO19" s="252" t="s">
        <v>1950</v>
      </c>
      <c r="DP19" s="252"/>
      <c r="DQ19" s="250"/>
      <c r="DR19" s="261" t="s">
        <v>2996</v>
      </c>
      <c r="DS19" s="248" t="s">
        <v>2996</v>
      </c>
      <c r="DT19" s="275">
        <v>43282</v>
      </c>
      <c r="DU19" s="275">
        <v>43646</v>
      </c>
      <c r="DV19" s="261" t="s">
        <v>2996</v>
      </c>
      <c r="DW19" s="152">
        <f t="shared" si="27"/>
        <v>0.88143534118215627</v>
      </c>
      <c r="DX19" s="152">
        <f t="shared" si="28"/>
        <v>0</v>
      </c>
      <c r="DY19" s="152">
        <f t="shared" si="29"/>
        <v>2.1798875031883047</v>
      </c>
      <c r="DZ19" s="152">
        <f t="shared" si="30"/>
        <v>1.2067498087017223</v>
      </c>
      <c r="EA19" s="153">
        <f t="shared" si="53"/>
        <v>0.74051157467297546</v>
      </c>
      <c r="EB19" s="243">
        <f t="shared" si="52"/>
        <v>0.30280781382102967</v>
      </c>
    </row>
    <row r="20" spans="1:132" ht="13.95" customHeight="1" thickBot="1" x14ac:dyDescent="0.35">
      <c r="A20" s="261" t="s">
        <v>2997</v>
      </c>
      <c r="B20" s="388" t="s">
        <v>3212</v>
      </c>
      <c r="C20" s="263">
        <v>88972</v>
      </c>
      <c r="D20" s="250">
        <v>1</v>
      </c>
      <c r="E20" s="250">
        <v>0</v>
      </c>
      <c r="F20" s="249">
        <v>29000</v>
      </c>
      <c r="H20" s="151">
        <f t="shared" si="0"/>
        <v>29000</v>
      </c>
      <c r="I20" s="152">
        <v>0.32595000000000002</v>
      </c>
      <c r="J20" s="251">
        <v>614012</v>
      </c>
      <c r="K20" s="251">
        <v>272728</v>
      </c>
      <c r="L20" s="158">
        <f t="shared" si="32"/>
        <v>886740</v>
      </c>
      <c r="M20" s="153">
        <f t="shared" si="33"/>
        <v>9.9665063165939838</v>
      </c>
      <c r="N20" s="251">
        <v>58932</v>
      </c>
      <c r="O20" s="251">
        <v>9624</v>
      </c>
      <c r="P20" s="268">
        <v>6088</v>
      </c>
      <c r="Q20" s="158">
        <v>74644</v>
      </c>
      <c r="R20" s="153">
        <f t="shared" si="34"/>
        <v>0.83896057186530593</v>
      </c>
      <c r="S20" s="268">
        <v>171734</v>
      </c>
      <c r="T20" s="251">
        <v>1133118</v>
      </c>
      <c r="U20" s="251">
        <v>0</v>
      </c>
      <c r="V20" s="251">
        <v>1133118</v>
      </c>
      <c r="W20" s="153">
        <f t="shared" si="35"/>
        <v>12.735669648878298</v>
      </c>
      <c r="X20" s="154">
        <f t="shared" si="36"/>
        <v>0.78256633466240944</v>
      </c>
      <c r="Y20" s="154">
        <f t="shared" si="37"/>
        <v>6.5874869166318073E-2</v>
      </c>
      <c r="Z20" s="154">
        <f t="shared" si="38"/>
        <v>0.15155879617127255</v>
      </c>
      <c r="AA20" s="154">
        <f t="shared" si="39"/>
        <v>0</v>
      </c>
      <c r="AB20" s="251">
        <v>12500</v>
      </c>
      <c r="AE20" s="251"/>
      <c r="AF20" s="251">
        <v>1133118</v>
      </c>
      <c r="AG20" s="251">
        <v>931562</v>
      </c>
      <c r="AH20" s="251"/>
      <c r="AI20" s="158">
        <f t="shared" si="8"/>
        <v>2064680</v>
      </c>
      <c r="AJ20" s="153">
        <f t="shared" si="40"/>
        <v>23.205952434473765</v>
      </c>
      <c r="AK20" s="251">
        <v>139435</v>
      </c>
      <c r="AL20" s="251">
        <v>1264</v>
      </c>
      <c r="AM20" s="251">
        <v>64979</v>
      </c>
      <c r="AN20" s="251"/>
      <c r="AO20" s="158">
        <f t="shared" si="41"/>
        <v>64979</v>
      </c>
      <c r="AP20" s="251">
        <v>1137240</v>
      </c>
      <c r="AQ20" s="155">
        <f t="shared" si="42"/>
        <v>12.781998831092928</v>
      </c>
      <c r="AR20" s="251"/>
      <c r="AS20" s="268">
        <v>22139</v>
      </c>
      <c r="AT20" s="251">
        <v>0</v>
      </c>
      <c r="AU20" s="268">
        <v>0</v>
      </c>
      <c r="AV20" s="268">
        <v>0</v>
      </c>
      <c r="AW20" s="251"/>
      <c r="AX20" s="268">
        <v>0</v>
      </c>
      <c r="AY20" s="158">
        <f t="shared" si="43"/>
        <v>22139</v>
      </c>
      <c r="AZ20" s="249">
        <v>89661</v>
      </c>
      <c r="BA20" s="152">
        <f t="shared" si="13"/>
        <v>1.0077440093512566</v>
      </c>
      <c r="BB20" s="269">
        <v>1931</v>
      </c>
      <c r="BC20" s="269">
        <v>1931</v>
      </c>
      <c r="BD20" s="269">
        <v>3865</v>
      </c>
      <c r="BE20" s="269">
        <v>2067</v>
      </c>
      <c r="BF20" s="269">
        <v>107580</v>
      </c>
      <c r="BG20" s="269">
        <v>4</v>
      </c>
      <c r="BH20" s="269">
        <v>89</v>
      </c>
      <c r="BI20" s="249">
        <v>0</v>
      </c>
      <c r="BJ20" s="159">
        <f t="shared" si="44"/>
        <v>93</v>
      </c>
      <c r="BK20" s="269">
        <v>228204</v>
      </c>
      <c r="BL20" s="152">
        <f t="shared" si="15"/>
        <v>2.5648968214719239</v>
      </c>
      <c r="BM20" s="269">
        <v>0</v>
      </c>
      <c r="BN20" s="249">
        <v>38302</v>
      </c>
      <c r="BO20" s="152">
        <f t="shared" si="16"/>
        <v>0.43049498718698015</v>
      </c>
      <c r="BP20" s="249">
        <v>42976</v>
      </c>
      <c r="BQ20" s="249">
        <v>0</v>
      </c>
      <c r="BR20" s="276">
        <f t="shared" si="45"/>
        <v>135611</v>
      </c>
      <c r="BS20" s="276">
        <v>39048</v>
      </c>
      <c r="BT20" s="269">
        <v>174659</v>
      </c>
      <c r="BU20" s="152">
        <f t="shared" si="17"/>
        <v>1.9630782718158521</v>
      </c>
      <c r="BV20" s="151">
        <f t="shared" si="46"/>
        <v>9570.3561643835619</v>
      </c>
      <c r="BW20" s="152">
        <f t="shared" si="19"/>
        <v>53.642199017199019</v>
      </c>
      <c r="BX20" s="152">
        <f t="shared" si="20"/>
        <v>1.8566523513904243</v>
      </c>
      <c r="BY20" s="152">
        <f t="shared" si="47"/>
        <v>0.76536344674063561</v>
      </c>
      <c r="BZ20" s="249">
        <v>210</v>
      </c>
      <c r="CA20" s="249">
        <v>4</v>
      </c>
      <c r="CB20" s="249">
        <v>27</v>
      </c>
      <c r="CC20" s="156">
        <f t="shared" si="48"/>
        <v>241</v>
      </c>
      <c r="CD20" s="249">
        <v>3906</v>
      </c>
      <c r="CE20" s="249">
        <v>60</v>
      </c>
      <c r="CF20" s="249">
        <v>874</v>
      </c>
      <c r="CG20" s="159">
        <f t="shared" si="49"/>
        <v>4840</v>
      </c>
      <c r="CH20" s="152">
        <f t="shared" si="23"/>
        <v>5.4399136807085378E-2</v>
      </c>
      <c r="CI20" s="249">
        <v>94072</v>
      </c>
      <c r="CJ20" s="152">
        <f t="shared" si="24"/>
        <v>1.0573214044868049</v>
      </c>
      <c r="CK20" s="269">
        <v>36720</v>
      </c>
      <c r="CL20" s="252" t="s">
        <v>25</v>
      </c>
      <c r="CM20" s="252" t="s">
        <v>25</v>
      </c>
      <c r="CN20" s="252" t="s">
        <v>25</v>
      </c>
      <c r="CO20" s="253">
        <v>3</v>
      </c>
      <c r="CP20" s="151">
        <f t="shared" ref="CP20:CP27" si="54">C20/CO20</f>
        <v>29657.333333333332</v>
      </c>
      <c r="CQ20" s="253">
        <v>1</v>
      </c>
      <c r="CR20" s="253">
        <v>14.25</v>
      </c>
      <c r="CS20" s="223">
        <f t="shared" si="50"/>
        <v>18.25</v>
      </c>
      <c r="CT20" s="151">
        <f t="shared" si="26"/>
        <v>4875.178082191781</v>
      </c>
      <c r="CU20" s="249">
        <v>1040</v>
      </c>
      <c r="CV20" s="251">
        <v>81102</v>
      </c>
      <c r="CW20" s="253">
        <v>40</v>
      </c>
      <c r="CX20" s="252" t="s">
        <v>25</v>
      </c>
      <c r="CY20" s="252" t="s">
        <v>25</v>
      </c>
      <c r="CZ20" s="249">
        <v>6975</v>
      </c>
      <c r="DA20" s="249">
        <v>4254</v>
      </c>
      <c r="DB20" s="249">
        <v>35</v>
      </c>
      <c r="DC20" s="249">
        <v>15709</v>
      </c>
      <c r="DD20" s="249" t="s">
        <v>3137</v>
      </c>
      <c r="DE20" s="249">
        <v>57256</v>
      </c>
      <c r="DF20" s="249">
        <v>3572</v>
      </c>
      <c r="DG20" s="249">
        <v>52</v>
      </c>
      <c r="DH20" s="253">
        <f t="shared" si="51"/>
        <v>4.0147462122915076E-2</v>
      </c>
      <c r="DI20" s="249">
        <v>48</v>
      </c>
      <c r="DJ20" s="249">
        <v>48</v>
      </c>
      <c r="DL20" s="151">
        <v>3256</v>
      </c>
      <c r="DM20" s="248"/>
      <c r="DN20" s="252" t="s">
        <v>3072</v>
      </c>
      <c r="DO20" s="252" t="s">
        <v>1950</v>
      </c>
      <c r="DP20" s="252"/>
      <c r="DQ20" s="250"/>
      <c r="DR20" s="261" t="s">
        <v>2997</v>
      </c>
      <c r="DS20" s="248" t="s">
        <v>2997</v>
      </c>
      <c r="DT20" s="275">
        <v>43282</v>
      </c>
      <c r="DU20" s="275">
        <v>43646</v>
      </c>
      <c r="DV20" s="261" t="s">
        <v>2997</v>
      </c>
      <c r="DW20" s="152">
        <f t="shared" si="27"/>
        <v>0.48302836847547542</v>
      </c>
      <c r="DX20" s="152">
        <f t="shared" si="28"/>
        <v>0</v>
      </c>
      <c r="DY20" s="152">
        <f t="shared" si="29"/>
        <v>1.5241986242862924</v>
      </c>
      <c r="DZ20" s="152">
        <f t="shared" si="30"/>
        <v>0.43887964752955988</v>
      </c>
      <c r="EA20" s="153">
        <f t="shared" si="53"/>
        <v>0.32999042483495439</v>
      </c>
      <c r="EB20" s="243">
        <f t="shared" si="52"/>
        <v>0.2464658881376767</v>
      </c>
    </row>
    <row r="21" spans="1:132" ht="15" thickBot="1" x14ac:dyDescent="0.35">
      <c r="A21" s="261" t="s">
        <v>2998</v>
      </c>
      <c r="B21" s="388" t="s">
        <v>3213</v>
      </c>
      <c r="C21" s="263">
        <v>56505</v>
      </c>
      <c r="D21" s="250">
        <v>5</v>
      </c>
      <c r="E21" s="250">
        <v>1</v>
      </c>
      <c r="F21" s="249">
        <v>24606</v>
      </c>
      <c r="H21" s="151">
        <f t="shared" si="0"/>
        <v>24606</v>
      </c>
      <c r="I21" s="152">
        <v>0.43547000000000002</v>
      </c>
      <c r="J21" s="251">
        <v>859046</v>
      </c>
      <c r="K21" s="251">
        <v>386115</v>
      </c>
      <c r="L21" s="158">
        <f t="shared" si="32"/>
        <v>1245161</v>
      </c>
      <c r="M21" s="153">
        <f t="shared" si="33"/>
        <v>22.036297672772321</v>
      </c>
      <c r="N21" s="251">
        <v>88000</v>
      </c>
      <c r="O21" s="251">
        <v>8000</v>
      </c>
      <c r="P21" s="268">
        <v>5500</v>
      </c>
      <c r="Q21" s="158">
        <v>101500</v>
      </c>
      <c r="R21" s="153">
        <f t="shared" si="34"/>
        <v>1.7963012122820989</v>
      </c>
      <c r="S21" s="268">
        <v>166255</v>
      </c>
      <c r="T21" s="251">
        <v>1512916</v>
      </c>
      <c r="U21" s="251">
        <v>0</v>
      </c>
      <c r="V21" s="251">
        <v>1512916</v>
      </c>
      <c r="W21" s="153">
        <f t="shared" si="35"/>
        <v>26.774904875674718</v>
      </c>
      <c r="X21" s="154">
        <f t="shared" si="36"/>
        <v>0.82302057748083834</v>
      </c>
      <c r="Y21" s="154">
        <f t="shared" si="37"/>
        <v>6.7088985773169171E-2</v>
      </c>
      <c r="Z21" s="154">
        <f t="shared" si="38"/>
        <v>0.10989043674599251</v>
      </c>
      <c r="AA21" s="154">
        <f t="shared" si="39"/>
        <v>0</v>
      </c>
      <c r="AB21" s="251">
        <v>0</v>
      </c>
      <c r="AE21" s="251"/>
      <c r="AF21" s="251">
        <v>1512916</v>
      </c>
      <c r="AG21" s="251">
        <v>1401648</v>
      </c>
      <c r="AH21" s="251"/>
      <c r="AI21" s="158">
        <f t="shared" si="8"/>
        <v>2914564</v>
      </c>
      <c r="AJ21" s="153">
        <f t="shared" si="40"/>
        <v>51.580638881514908</v>
      </c>
      <c r="AK21" s="251">
        <v>111268</v>
      </c>
      <c r="AL21" s="251">
        <v>0</v>
      </c>
      <c r="AM21" s="251">
        <v>0</v>
      </c>
      <c r="AN21" s="251"/>
      <c r="AO21" s="158">
        <f t="shared" si="41"/>
        <v>0</v>
      </c>
      <c r="AP21" s="251">
        <v>1512916</v>
      </c>
      <c r="AQ21" s="155">
        <f t="shared" si="42"/>
        <v>26.774904875674718</v>
      </c>
      <c r="AR21" s="251"/>
      <c r="AS21" s="268">
        <v>0</v>
      </c>
      <c r="AT21" s="251">
        <v>0</v>
      </c>
      <c r="AU21" s="268">
        <v>0</v>
      </c>
      <c r="AV21" s="268">
        <v>0</v>
      </c>
      <c r="AW21" s="251"/>
      <c r="AX21" s="268">
        <v>0</v>
      </c>
      <c r="AY21" s="158">
        <f t="shared" si="43"/>
        <v>0</v>
      </c>
      <c r="AZ21" s="249">
        <v>136043</v>
      </c>
      <c r="BA21" s="152">
        <f t="shared" si="13"/>
        <v>2.4076276435713653</v>
      </c>
      <c r="BB21" s="269">
        <v>2139</v>
      </c>
      <c r="BC21" s="269">
        <v>2139</v>
      </c>
      <c r="BD21" s="269">
        <v>6351</v>
      </c>
      <c r="BE21" s="269">
        <v>2067</v>
      </c>
      <c r="BF21" s="269">
        <v>107831</v>
      </c>
      <c r="BG21" s="269">
        <v>0</v>
      </c>
      <c r="BH21" s="269">
        <v>89</v>
      </c>
      <c r="BI21" s="249">
        <v>0</v>
      </c>
      <c r="BJ21" s="159">
        <f t="shared" si="44"/>
        <v>89</v>
      </c>
      <c r="BK21" s="269">
        <v>272054</v>
      </c>
      <c r="BL21" s="152">
        <f t="shared" si="15"/>
        <v>4.8146889655782674</v>
      </c>
      <c r="BM21" s="269">
        <v>296</v>
      </c>
      <c r="BN21" s="249">
        <v>24166</v>
      </c>
      <c r="BO21" s="152">
        <f t="shared" si="16"/>
        <v>0.42767896646314485</v>
      </c>
      <c r="BP21" s="249">
        <v>24338</v>
      </c>
      <c r="BQ21" s="249">
        <v>0</v>
      </c>
      <c r="BR21" s="276">
        <f t="shared" si="45"/>
        <v>73998</v>
      </c>
      <c r="BS21" s="276">
        <v>11721</v>
      </c>
      <c r="BT21" s="269">
        <v>85719</v>
      </c>
      <c r="BU21" s="152">
        <f t="shared" si="17"/>
        <v>1.5170161932572339</v>
      </c>
      <c r="BV21" s="151">
        <f t="shared" si="46"/>
        <v>3586.5690376569041</v>
      </c>
      <c r="BW21" s="152">
        <f t="shared" si="19"/>
        <v>8.6445139169019765</v>
      </c>
      <c r="BX21" s="152">
        <f t="shared" si="20"/>
        <v>1.5374226526768899</v>
      </c>
      <c r="BY21" s="152">
        <f t="shared" si="47"/>
        <v>0.31508082954119404</v>
      </c>
      <c r="BZ21" s="249">
        <v>276</v>
      </c>
      <c r="CA21" s="249">
        <v>46</v>
      </c>
      <c r="CB21" s="249">
        <v>32</v>
      </c>
      <c r="CC21" s="156">
        <f t="shared" si="48"/>
        <v>354</v>
      </c>
      <c r="CD21" s="249">
        <v>1429</v>
      </c>
      <c r="CE21" s="249">
        <v>319</v>
      </c>
      <c r="CF21" s="249">
        <v>410</v>
      </c>
      <c r="CG21" s="159">
        <f t="shared" si="49"/>
        <v>2158</v>
      </c>
      <c r="CH21" s="152">
        <f t="shared" si="23"/>
        <v>3.8191310503495265E-2</v>
      </c>
      <c r="CI21" s="249">
        <v>55755</v>
      </c>
      <c r="CJ21" s="152">
        <f t="shared" si="24"/>
        <v>0.98672683833289088</v>
      </c>
      <c r="CK21" s="269">
        <v>44871</v>
      </c>
      <c r="CL21" s="252" t="s">
        <v>25</v>
      </c>
      <c r="CM21" s="252" t="s">
        <v>25</v>
      </c>
      <c r="CN21" s="252" t="s">
        <v>25</v>
      </c>
      <c r="CO21" s="253">
        <v>1.9</v>
      </c>
      <c r="CP21" s="151">
        <f t="shared" si="54"/>
        <v>29739.473684210527</v>
      </c>
      <c r="CQ21" s="253">
        <v>0</v>
      </c>
      <c r="CR21" s="253">
        <v>22</v>
      </c>
      <c r="CS21" s="223">
        <f t="shared" si="50"/>
        <v>23.9</v>
      </c>
      <c r="CT21" s="151">
        <f t="shared" si="26"/>
        <v>2364.2259414225941</v>
      </c>
      <c r="CU21" s="249">
        <v>60</v>
      </c>
      <c r="CV21" s="251">
        <v>64341</v>
      </c>
      <c r="CW21" s="253">
        <v>40</v>
      </c>
      <c r="CX21" s="252" t="s">
        <v>25</v>
      </c>
      <c r="CY21" s="252" t="s">
        <v>25</v>
      </c>
      <c r="CZ21" s="249">
        <v>14</v>
      </c>
      <c r="DA21" s="249">
        <v>55</v>
      </c>
      <c r="DB21" s="249">
        <v>92</v>
      </c>
      <c r="DC21" s="249">
        <v>20865</v>
      </c>
      <c r="DD21" s="249">
        <v>15229</v>
      </c>
      <c r="DE21" s="249" t="s">
        <v>3137</v>
      </c>
      <c r="DF21" s="249">
        <v>13244</v>
      </c>
      <c r="DG21" s="249">
        <v>51</v>
      </c>
      <c r="DH21" s="253">
        <f t="shared" si="51"/>
        <v>0.23438633749225732</v>
      </c>
      <c r="DI21" s="249">
        <v>46</v>
      </c>
      <c r="DJ21" s="249">
        <v>46</v>
      </c>
      <c r="DL21" s="151">
        <v>9916</v>
      </c>
      <c r="DM21" s="248"/>
      <c r="DN21" s="252" t="s">
        <v>3073</v>
      </c>
      <c r="DO21" s="252" t="s">
        <v>1950</v>
      </c>
      <c r="DP21" s="252"/>
      <c r="DQ21" s="250"/>
      <c r="DR21" s="261" t="s">
        <v>2998</v>
      </c>
      <c r="DS21" s="248" t="s">
        <v>2998</v>
      </c>
      <c r="DT21" s="275">
        <v>43282</v>
      </c>
      <c r="DU21" s="275">
        <v>43646</v>
      </c>
      <c r="DV21" s="261" t="s">
        <v>2998</v>
      </c>
      <c r="DW21" s="152">
        <f t="shared" si="27"/>
        <v>0.43072294487213519</v>
      </c>
      <c r="DX21" s="152">
        <f t="shared" si="28"/>
        <v>0</v>
      </c>
      <c r="DY21" s="152">
        <f t="shared" si="29"/>
        <v>1.3095832227236528</v>
      </c>
      <c r="DZ21" s="152">
        <f t="shared" si="30"/>
        <v>0.20743297053358109</v>
      </c>
      <c r="EA21" s="153">
        <f t="shared" si="53"/>
        <v>0.89489098600715911</v>
      </c>
      <c r="EB21" s="243">
        <f t="shared" si="52"/>
        <v>0.68253561982765976</v>
      </c>
    </row>
    <row r="22" spans="1:132" ht="15" thickBot="1" x14ac:dyDescent="0.35">
      <c r="A22" s="261" t="s">
        <v>3153</v>
      </c>
      <c r="B22" s="388" t="s">
        <v>3214</v>
      </c>
      <c r="C22" s="263">
        <v>187461</v>
      </c>
      <c r="D22" s="250">
        <v>10</v>
      </c>
      <c r="E22" s="250">
        <v>0</v>
      </c>
      <c r="F22" s="249">
        <v>79691</v>
      </c>
      <c r="H22" s="151">
        <f t="shared" si="0"/>
        <v>79691</v>
      </c>
      <c r="I22" s="152">
        <v>0.42510999999999999</v>
      </c>
      <c r="J22" s="251">
        <v>1906865</v>
      </c>
      <c r="K22" s="251">
        <v>753836</v>
      </c>
      <c r="L22" s="158">
        <f t="shared" si="32"/>
        <v>2660701</v>
      </c>
      <c r="M22" s="153">
        <f t="shared" si="33"/>
        <v>14.193357551704088</v>
      </c>
      <c r="N22" s="251">
        <v>202668</v>
      </c>
      <c r="O22" s="251">
        <v>39954</v>
      </c>
      <c r="P22" s="268">
        <v>45769</v>
      </c>
      <c r="Q22" s="158">
        <v>288391</v>
      </c>
      <c r="R22" s="153">
        <f t="shared" si="34"/>
        <v>1.5384053216402345</v>
      </c>
      <c r="S22" s="268">
        <v>693692</v>
      </c>
      <c r="T22" s="251">
        <v>3642784</v>
      </c>
      <c r="U22" s="251">
        <v>0</v>
      </c>
      <c r="V22" s="251">
        <v>3642784</v>
      </c>
      <c r="W22" s="153">
        <f t="shared" si="35"/>
        <v>19.432223235766372</v>
      </c>
      <c r="X22" s="154">
        <f t="shared" si="36"/>
        <v>0.73040317515394815</v>
      </c>
      <c r="Y22" s="154">
        <f t="shared" si="37"/>
        <v>7.9167746426908644E-2</v>
      </c>
      <c r="Z22" s="154">
        <f t="shared" si="38"/>
        <v>0.19042907841914317</v>
      </c>
      <c r="AA22" s="154">
        <f t="shared" si="39"/>
        <v>0</v>
      </c>
      <c r="AB22" s="251">
        <v>0</v>
      </c>
      <c r="AE22" s="251"/>
      <c r="AF22" s="251">
        <v>3642784</v>
      </c>
      <c r="AG22" s="251">
        <v>2600177</v>
      </c>
      <c r="AH22" s="251"/>
      <c r="AI22" s="158">
        <f t="shared" si="8"/>
        <v>6242961</v>
      </c>
      <c r="AJ22" s="153">
        <f t="shared" si="40"/>
        <v>33.302718965544834</v>
      </c>
      <c r="AK22" s="251">
        <v>414304</v>
      </c>
      <c r="AL22" s="251">
        <v>0</v>
      </c>
      <c r="AM22" s="251">
        <v>149745</v>
      </c>
      <c r="AN22" s="251"/>
      <c r="AO22" s="158">
        <f t="shared" si="41"/>
        <v>149745</v>
      </c>
      <c r="AP22" s="251">
        <v>3330691</v>
      </c>
      <c r="AQ22" s="155">
        <f t="shared" si="42"/>
        <v>17.767380948570636</v>
      </c>
      <c r="AR22" s="251"/>
      <c r="AS22" s="268">
        <v>0</v>
      </c>
      <c r="AT22" s="251">
        <v>0</v>
      </c>
      <c r="AU22" s="268">
        <v>0</v>
      </c>
      <c r="AV22" s="268">
        <v>0</v>
      </c>
      <c r="AW22" s="251"/>
      <c r="AX22" s="268">
        <v>0</v>
      </c>
      <c r="AY22" s="158">
        <f t="shared" si="43"/>
        <v>0</v>
      </c>
      <c r="AZ22" s="249">
        <v>311274</v>
      </c>
      <c r="BA22" s="152">
        <f t="shared" si="13"/>
        <v>1.6604733784627201</v>
      </c>
      <c r="BB22" s="269">
        <v>12057</v>
      </c>
      <c r="BC22" s="269">
        <v>12057</v>
      </c>
      <c r="BD22" s="269">
        <v>15829</v>
      </c>
      <c r="BE22" s="269">
        <v>1752</v>
      </c>
      <c r="BF22" s="269">
        <v>78616</v>
      </c>
      <c r="BG22" s="269">
        <v>6</v>
      </c>
      <c r="BH22" s="269">
        <v>89</v>
      </c>
      <c r="BI22" s="249">
        <v>0</v>
      </c>
      <c r="BJ22" s="159">
        <f t="shared" si="44"/>
        <v>95</v>
      </c>
      <c r="BK22" s="269">
        <v>452545</v>
      </c>
      <c r="BL22" s="152">
        <f t="shared" si="15"/>
        <v>2.4140754610292272</v>
      </c>
      <c r="BM22" s="269">
        <v>158</v>
      </c>
      <c r="BN22" s="249">
        <v>74229</v>
      </c>
      <c r="BO22" s="152">
        <f t="shared" si="16"/>
        <v>0.39597036183526174</v>
      </c>
      <c r="BP22" s="249">
        <v>120171</v>
      </c>
      <c r="BQ22" s="249">
        <v>0</v>
      </c>
      <c r="BR22" s="276">
        <f t="shared" si="45"/>
        <v>318477</v>
      </c>
      <c r="BS22" s="276">
        <v>132333</v>
      </c>
      <c r="BT22" s="269">
        <v>450810</v>
      </c>
      <c r="BU22" s="152">
        <f t="shared" si="17"/>
        <v>2.4048202026021412</v>
      </c>
      <c r="BV22" s="151">
        <f t="shared" si="46"/>
        <v>7029.6273195072517</v>
      </c>
      <c r="BW22" s="152">
        <f t="shared" si="19"/>
        <v>24.745306839389613</v>
      </c>
      <c r="BX22" s="152">
        <f t="shared" si="20"/>
        <v>1.2114640438568203</v>
      </c>
      <c r="BY22" s="152">
        <f t="shared" si="47"/>
        <v>0.99616612712547925</v>
      </c>
      <c r="BZ22" s="249">
        <v>1219</v>
      </c>
      <c r="CA22" s="249">
        <v>164</v>
      </c>
      <c r="CB22" s="249">
        <v>498</v>
      </c>
      <c r="CC22" s="156">
        <f t="shared" si="48"/>
        <v>1881</v>
      </c>
      <c r="CD22" s="249">
        <v>30231</v>
      </c>
      <c r="CE22" s="249">
        <v>1126</v>
      </c>
      <c r="CF22" s="249">
        <v>7320</v>
      </c>
      <c r="CG22" s="159">
        <f t="shared" si="49"/>
        <v>38677</v>
      </c>
      <c r="CH22" s="152">
        <f t="shared" si="23"/>
        <v>0.20632024794490586</v>
      </c>
      <c r="CI22" s="249">
        <v>372120</v>
      </c>
      <c r="CJ22" s="152">
        <f t="shared" si="24"/>
        <v>1.9850528910013283</v>
      </c>
      <c r="CK22" s="269">
        <v>77335</v>
      </c>
      <c r="CL22" s="252" t="s">
        <v>25</v>
      </c>
      <c r="CM22" s="252" t="s">
        <v>25</v>
      </c>
      <c r="CN22" s="252" t="s">
        <v>25</v>
      </c>
      <c r="CO22" s="253">
        <v>2.9</v>
      </c>
      <c r="CP22" s="151">
        <f t="shared" si="54"/>
        <v>64641.724137931036</v>
      </c>
      <c r="CQ22" s="253">
        <v>4.45</v>
      </c>
      <c r="CR22" s="253">
        <v>56.78</v>
      </c>
      <c r="CS22" s="223">
        <f t="shared" si="50"/>
        <v>64.13</v>
      </c>
      <c r="CT22" s="151">
        <f t="shared" si="26"/>
        <v>2923.140495867769</v>
      </c>
      <c r="CU22" s="249">
        <v>1926</v>
      </c>
      <c r="CV22" s="251">
        <v>88546</v>
      </c>
      <c r="CW22" s="253">
        <v>40</v>
      </c>
      <c r="CX22" s="252" t="s">
        <v>25</v>
      </c>
      <c r="CY22" s="252" t="s">
        <v>25</v>
      </c>
      <c r="CZ22" s="249">
        <v>91</v>
      </c>
      <c r="DA22" s="249">
        <v>92</v>
      </c>
      <c r="DB22" s="249">
        <v>130</v>
      </c>
      <c r="DC22" s="249">
        <v>47898</v>
      </c>
      <c r="DD22" s="249">
        <v>47020</v>
      </c>
      <c r="DE22" s="249">
        <v>151274</v>
      </c>
      <c r="DF22" s="249">
        <v>26484</v>
      </c>
      <c r="DG22" s="249">
        <v>52</v>
      </c>
      <c r="DH22" s="253">
        <f t="shared" si="51"/>
        <v>0.14127738569622481</v>
      </c>
      <c r="DI22" s="249">
        <v>32</v>
      </c>
      <c r="DJ22" s="249">
        <v>32</v>
      </c>
      <c r="DL22" s="151">
        <v>18218</v>
      </c>
      <c r="DM22" s="248"/>
      <c r="DN22" s="252" t="s">
        <v>3074</v>
      </c>
      <c r="DO22" s="252" t="s">
        <v>3052</v>
      </c>
      <c r="DP22" s="252"/>
      <c r="DQ22" s="250"/>
      <c r="DR22" s="261" t="s">
        <v>3153</v>
      </c>
      <c r="DS22" s="248" t="s">
        <v>2999</v>
      </c>
      <c r="DT22" s="275">
        <v>43282</v>
      </c>
      <c r="DU22" s="275">
        <v>43646</v>
      </c>
      <c r="DV22" s="261" t="s">
        <v>3153</v>
      </c>
      <c r="DW22" s="152">
        <f t="shared" si="27"/>
        <v>0.64104533743018544</v>
      </c>
      <c r="DX22" s="152">
        <f t="shared" si="28"/>
        <v>0</v>
      </c>
      <c r="DY22" s="152">
        <f t="shared" si="29"/>
        <v>1.6988973706530959</v>
      </c>
      <c r="DZ22" s="152">
        <f t="shared" si="30"/>
        <v>0.70592283194904537</v>
      </c>
      <c r="EA22" s="153">
        <f t="shared" si="53"/>
        <v>0.46202877934015429</v>
      </c>
      <c r="EB22" s="243">
        <f t="shared" si="52"/>
        <v>0.30192015597016619</v>
      </c>
    </row>
    <row r="23" spans="1:132" ht="15" thickBot="1" x14ac:dyDescent="0.35">
      <c r="A23" s="261" t="s">
        <v>3000</v>
      </c>
      <c r="B23" s="388" t="s">
        <v>3215</v>
      </c>
      <c r="C23" s="263">
        <v>329079</v>
      </c>
      <c r="D23" s="250">
        <v>7</v>
      </c>
      <c r="E23" s="250">
        <v>0</v>
      </c>
      <c r="F23" s="249">
        <v>192169</v>
      </c>
      <c r="H23" s="151">
        <f t="shared" si="0"/>
        <v>192169</v>
      </c>
      <c r="I23" s="152">
        <v>0.57809999999999995</v>
      </c>
      <c r="J23" s="251">
        <v>5462765</v>
      </c>
      <c r="K23" s="251">
        <v>2387828</v>
      </c>
      <c r="L23" s="158">
        <f t="shared" si="32"/>
        <v>7850593</v>
      </c>
      <c r="M23" s="153">
        <f t="shared" si="33"/>
        <v>23.856256400438799</v>
      </c>
      <c r="N23" s="251">
        <v>740624</v>
      </c>
      <c r="O23" s="251">
        <v>319245</v>
      </c>
      <c r="P23" s="268">
        <v>32436</v>
      </c>
      <c r="Q23" s="158">
        <v>1092305</v>
      </c>
      <c r="R23" s="153">
        <f t="shared" si="34"/>
        <v>3.3192789573324339</v>
      </c>
      <c r="S23" s="268">
        <v>1120684</v>
      </c>
      <c r="T23" s="251">
        <v>10063582</v>
      </c>
      <c r="U23" s="251">
        <v>0</v>
      </c>
      <c r="V23" s="251">
        <v>10063582</v>
      </c>
      <c r="W23" s="153">
        <f t="shared" si="35"/>
        <v>30.581051966245187</v>
      </c>
      <c r="X23" s="154">
        <f t="shared" si="36"/>
        <v>0.78009927280365976</v>
      </c>
      <c r="Y23" s="154">
        <f t="shared" si="37"/>
        <v>0.10854037856500796</v>
      </c>
      <c r="Z23" s="154">
        <f t="shared" si="38"/>
        <v>0.11136034863133226</v>
      </c>
      <c r="AA23" s="154">
        <f t="shared" si="39"/>
        <v>0</v>
      </c>
      <c r="AB23" s="251">
        <v>0</v>
      </c>
      <c r="AE23" s="251"/>
      <c r="AF23" s="251">
        <v>10063582</v>
      </c>
      <c r="AG23" s="251">
        <v>10144732</v>
      </c>
      <c r="AH23" s="251"/>
      <c r="AI23" s="158">
        <f t="shared" si="8"/>
        <v>20208314</v>
      </c>
      <c r="AJ23" s="153">
        <f t="shared" si="40"/>
        <v>61.408701254106155</v>
      </c>
      <c r="AK23" s="251">
        <v>346180</v>
      </c>
      <c r="AL23" s="251">
        <v>61987</v>
      </c>
      <c r="AM23" s="251">
        <v>182759</v>
      </c>
      <c r="AN23" s="251"/>
      <c r="AO23" s="158">
        <f t="shared" si="41"/>
        <v>182759</v>
      </c>
      <c r="AP23" s="251">
        <v>10735658</v>
      </c>
      <c r="AQ23" s="155">
        <f t="shared" si="42"/>
        <v>32.623345761959897</v>
      </c>
      <c r="AR23" s="251"/>
      <c r="AS23" s="268">
        <v>54965</v>
      </c>
      <c r="AT23" s="251">
        <v>0</v>
      </c>
      <c r="AU23" s="268">
        <v>0</v>
      </c>
      <c r="AV23" s="268">
        <v>44136</v>
      </c>
      <c r="AW23" s="251"/>
      <c r="AX23" s="268">
        <v>0</v>
      </c>
      <c r="AY23" s="158">
        <f t="shared" si="43"/>
        <v>99101</v>
      </c>
      <c r="AZ23" s="249">
        <v>424897</v>
      </c>
      <c r="BA23" s="152">
        <f t="shared" si="13"/>
        <v>1.2911702053306349</v>
      </c>
      <c r="BB23" s="269">
        <v>24978</v>
      </c>
      <c r="BC23" s="269">
        <v>24978</v>
      </c>
      <c r="BD23" s="269">
        <v>36969</v>
      </c>
      <c r="BE23" s="269">
        <v>2179</v>
      </c>
      <c r="BF23" s="269">
        <v>150255</v>
      </c>
      <c r="BG23" s="269">
        <v>15</v>
      </c>
      <c r="BH23" s="269">
        <v>89</v>
      </c>
      <c r="BI23" s="249">
        <v>0</v>
      </c>
      <c r="BJ23" s="159">
        <f t="shared" si="44"/>
        <v>104</v>
      </c>
      <c r="BK23" s="269">
        <v>695946</v>
      </c>
      <c r="BL23" s="152">
        <f t="shared" si="15"/>
        <v>2.1148295697993489</v>
      </c>
      <c r="BM23" s="269">
        <v>456</v>
      </c>
      <c r="BN23" s="249">
        <v>129668</v>
      </c>
      <c r="BO23" s="152">
        <f t="shared" si="16"/>
        <v>0.39403304373721809</v>
      </c>
      <c r="BP23" s="249">
        <v>423357</v>
      </c>
      <c r="BQ23" s="249">
        <v>0</v>
      </c>
      <c r="BR23" s="276">
        <f t="shared" si="45"/>
        <v>925290</v>
      </c>
      <c r="BS23" s="276">
        <v>439115</v>
      </c>
      <c r="BT23" s="269">
        <v>1364405</v>
      </c>
      <c r="BU23" s="152">
        <f t="shared" si="17"/>
        <v>4.1461320837853526</v>
      </c>
      <c r="BV23" s="151">
        <f t="shared" si="46"/>
        <v>8856.8971113274911</v>
      </c>
      <c r="BW23" s="152">
        <f t="shared" si="19"/>
        <v>78.126717819514425</v>
      </c>
      <c r="BX23" s="152">
        <f t="shared" si="20"/>
        <v>2.0018618831870039</v>
      </c>
      <c r="BY23" s="152">
        <f t="shared" si="47"/>
        <v>1.9605041195724955</v>
      </c>
      <c r="BZ23" s="249">
        <v>1418</v>
      </c>
      <c r="CA23" s="249">
        <v>408</v>
      </c>
      <c r="CB23" s="249">
        <v>449</v>
      </c>
      <c r="CC23" s="156">
        <f t="shared" si="48"/>
        <v>2275</v>
      </c>
      <c r="CD23" s="249">
        <v>41582</v>
      </c>
      <c r="CE23" s="249">
        <v>10900</v>
      </c>
      <c r="CF23" s="249">
        <v>5788</v>
      </c>
      <c r="CG23" s="159">
        <f t="shared" si="49"/>
        <v>58270</v>
      </c>
      <c r="CH23" s="152">
        <f t="shared" si="23"/>
        <v>0.17706994369133247</v>
      </c>
      <c r="CI23" s="249">
        <v>681568</v>
      </c>
      <c r="CJ23" s="152">
        <f t="shared" si="24"/>
        <v>2.071137933444553</v>
      </c>
      <c r="CK23" s="269">
        <v>110486</v>
      </c>
      <c r="CL23" s="252" t="s">
        <v>25</v>
      </c>
      <c r="CM23" s="252" t="s">
        <v>25</v>
      </c>
      <c r="CN23" s="252" t="s">
        <v>25</v>
      </c>
      <c r="CO23" s="253">
        <v>45</v>
      </c>
      <c r="CP23" s="151">
        <f t="shared" si="54"/>
        <v>7312.8666666666668</v>
      </c>
      <c r="CQ23" s="253">
        <v>0</v>
      </c>
      <c r="CR23" s="253">
        <v>109.05</v>
      </c>
      <c r="CS23" s="223">
        <f t="shared" si="50"/>
        <v>154.05000000000001</v>
      </c>
      <c r="CT23" s="151">
        <f t="shared" si="26"/>
        <v>2136.1830574488799</v>
      </c>
      <c r="CU23" s="249">
        <v>3389</v>
      </c>
      <c r="CV23" s="251">
        <v>110648</v>
      </c>
      <c r="CW23" s="253">
        <v>40</v>
      </c>
      <c r="CX23" s="252" t="s">
        <v>25</v>
      </c>
      <c r="CY23" s="252" t="s">
        <v>25</v>
      </c>
      <c r="CZ23" s="249">
        <v>34574</v>
      </c>
      <c r="DA23" s="249">
        <v>30236</v>
      </c>
      <c r="DB23" s="249">
        <v>381</v>
      </c>
      <c r="DC23" s="249">
        <v>154886</v>
      </c>
      <c r="DD23" s="249">
        <v>300546</v>
      </c>
      <c r="DE23" s="249">
        <v>335556</v>
      </c>
      <c r="DF23" s="249">
        <v>24544</v>
      </c>
      <c r="DG23" s="249">
        <v>52</v>
      </c>
      <c r="DH23" s="253">
        <f t="shared" si="51"/>
        <v>7.4583914500773368E-2</v>
      </c>
      <c r="DI23" s="249">
        <v>66</v>
      </c>
      <c r="DJ23" s="249">
        <v>66</v>
      </c>
      <c r="DK23" s="151">
        <v>61412</v>
      </c>
      <c r="DL23" s="151">
        <v>17464</v>
      </c>
      <c r="DM23" s="248"/>
      <c r="DN23" s="252" t="s">
        <v>3075</v>
      </c>
      <c r="DO23" s="252" t="s">
        <v>1950</v>
      </c>
      <c r="DP23" s="252"/>
      <c r="DQ23" s="250"/>
      <c r="DR23" s="261" t="s">
        <v>3000</v>
      </c>
      <c r="DS23" s="248" t="s">
        <v>3000</v>
      </c>
      <c r="DT23" s="275">
        <v>43282</v>
      </c>
      <c r="DU23" s="275">
        <v>43646</v>
      </c>
      <c r="DV23" s="261" t="s">
        <v>3000</v>
      </c>
      <c r="DW23" s="152">
        <f t="shared" si="27"/>
        <v>1.2864904779703354</v>
      </c>
      <c r="DX23" s="152">
        <f t="shared" si="28"/>
        <v>0</v>
      </c>
      <c r="DY23" s="152">
        <f t="shared" si="29"/>
        <v>2.8117564475399526</v>
      </c>
      <c r="DZ23" s="152">
        <f t="shared" si="30"/>
        <v>1.3343756362454</v>
      </c>
      <c r="EA23" s="153">
        <f t="shared" si="53"/>
        <v>0.54916075147907495</v>
      </c>
      <c r="EB23" s="243">
        <f t="shared" si="52"/>
        <v>0.72701911799870189</v>
      </c>
    </row>
    <row r="24" spans="1:132" ht="15" thickBot="1" x14ac:dyDescent="0.35">
      <c r="A24" s="261" t="s">
        <v>3001</v>
      </c>
      <c r="B24" s="388" t="s">
        <v>3216</v>
      </c>
      <c r="C24" s="263">
        <v>161453</v>
      </c>
      <c r="D24" s="250">
        <v>4</v>
      </c>
      <c r="E24" s="250">
        <v>1</v>
      </c>
      <c r="F24" s="249">
        <v>69486</v>
      </c>
      <c r="H24" s="151">
        <f t="shared" si="0"/>
        <v>69486</v>
      </c>
      <c r="I24" s="152">
        <v>0.42026999999999998</v>
      </c>
      <c r="J24" s="251">
        <v>1781884</v>
      </c>
      <c r="K24" s="251">
        <v>716657</v>
      </c>
      <c r="L24" s="158">
        <f t="shared" si="32"/>
        <v>2498541</v>
      </c>
      <c r="M24" s="153">
        <f t="shared" si="33"/>
        <v>15.475345766260149</v>
      </c>
      <c r="N24" s="251">
        <v>218140</v>
      </c>
      <c r="O24" s="251">
        <v>83836</v>
      </c>
      <c r="P24" s="268">
        <v>12273</v>
      </c>
      <c r="Q24" s="158">
        <v>314249</v>
      </c>
      <c r="R24" s="153">
        <f t="shared" si="34"/>
        <v>1.9463806804457024</v>
      </c>
      <c r="S24" s="268">
        <v>1051332</v>
      </c>
      <c r="T24" s="251">
        <v>3864122</v>
      </c>
      <c r="U24" s="251">
        <v>0</v>
      </c>
      <c r="V24" s="251">
        <v>3864122</v>
      </c>
      <c r="W24" s="153">
        <f t="shared" si="35"/>
        <v>23.933417155457008</v>
      </c>
      <c r="X24" s="154">
        <f t="shared" si="36"/>
        <v>0.6465999261928066</v>
      </c>
      <c r="Y24" s="154">
        <f t="shared" si="37"/>
        <v>8.1324813243474195E-2</v>
      </c>
      <c r="Z24" s="154">
        <f t="shared" si="38"/>
        <v>0.27207526056371928</v>
      </c>
      <c r="AA24" s="154">
        <f t="shared" si="39"/>
        <v>0</v>
      </c>
      <c r="AB24" s="251">
        <v>208666</v>
      </c>
      <c r="AE24" s="251"/>
      <c r="AF24" s="251">
        <v>3864122</v>
      </c>
      <c r="AG24" s="251">
        <v>3668931</v>
      </c>
      <c r="AH24" s="251"/>
      <c r="AI24" s="158">
        <f t="shared" si="8"/>
        <v>7533053</v>
      </c>
      <c r="AJ24" s="153">
        <f t="shared" si="40"/>
        <v>46.657869472849683</v>
      </c>
      <c r="AK24" s="251">
        <v>186778</v>
      </c>
      <c r="AL24" s="251">
        <v>82328</v>
      </c>
      <c r="AM24" s="251">
        <v>57054</v>
      </c>
      <c r="AN24" s="251"/>
      <c r="AO24" s="158">
        <f t="shared" si="41"/>
        <v>57054</v>
      </c>
      <c r="AP24" s="251">
        <v>3995091</v>
      </c>
      <c r="AQ24" s="155">
        <f t="shared" si="42"/>
        <v>24.744606789592016</v>
      </c>
      <c r="AR24" s="251"/>
      <c r="AS24" s="268">
        <v>130968</v>
      </c>
      <c r="AT24" s="251">
        <v>0</v>
      </c>
      <c r="AU24" s="268">
        <v>0</v>
      </c>
      <c r="AV24" s="268">
        <v>0</v>
      </c>
      <c r="AW24" s="251"/>
      <c r="AX24" s="268">
        <v>0</v>
      </c>
      <c r="AY24" s="158">
        <f t="shared" si="43"/>
        <v>130968</v>
      </c>
      <c r="AZ24" s="249">
        <v>219904</v>
      </c>
      <c r="BA24" s="152">
        <f t="shared" si="13"/>
        <v>1.3620310554774455</v>
      </c>
      <c r="BB24" s="269">
        <v>10829</v>
      </c>
      <c r="BC24" s="269">
        <v>10829</v>
      </c>
      <c r="BD24" s="269">
        <v>15351</v>
      </c>
      <c r="BE24" s="269">
        <v>2584</v>
      </c>
      <c r="BF24" s="269">
        <v>188435</v>
      </c>
      <c r="BG24" s="269">
        <v>22</v>
      </c>
      <c r="BH24" s="269">
        <v>89</v>
      </c>
      <c r="BI24" s="249">
        <v>0</v>
      </c>
      <c r="BJ24" s="159">
        <f t="shared" si="44"/>
        <v>111</v>
      </c>
      <c r="BK24" s="269">
        <v>573608</v>
      </c>
      <c r="BL24" s="152">
        <f t="shared" si="15"/>
        <v>3.5527862597783875</v>
      </c>
      <c r="BM24" s="269">
        <v>101</v>
      </c>
      <c r="BN24" s="249">
        <v>152390</v>
      </c>
      <c r="BO24" s="152">
        <f t="shared" si="16"/>
        <v>0.94386601673552051</v>
      </c>
      <c r="BP24" s="249">
        <v>103026</v>
      </c>
      <c r="BQ24" s="249">
        <v>0</v>
      </c>
      <c r="BR24" s="276">
        <f t="shared" si="45"/>
        <v>296313</v>
      </c>
      <c r="BS24" s="276">
        <v>265249</v>
      </c>
      <c r="BT24" s="269">
        <v>561562</v>
      </c>
      <c r="BU24" s="152">
        <f t="shared" si="17"/>
        <v>3.4781763113723501</v>
      </c>
      <c r="BV24" s="151">
        <f t="shared" si="46"/>
        <v>9469.8482293423276</v>
      </c>
      <c r="BW24" s="152">
        <f t="shared" si="19"/>
        <v>43.270303590691938</v>
      </c>
      <c r="BX24" s="152">
        <f t="shared" si="20"/>
        <v>1.7542836971156699</v>
      </c>
      <c r="BY24" s="152">
        <f t="shared" si="47"/>
        <v>0.97899959554260052</v>
      </c>
      <c r="BZ24" s="249">
        <v>1390</v>
      </c>
      <c r="CA24" s="249">
        <v>198</v>
      </c>
      <c r="CB24" s="249">
        <v>583</v>
      </c>
      <c r="CC24" s="156">
        <f t="shared" si="48"/>
        <v>2171</v>
      </c>
      <c r="CD24" s="249">
        <v>40576</v>
      </c>
      <c r="CE24" s="249">
        <v>6335</v>
      </c>
      <c r="CF24" s="249">
        <v>8719</v>
      </c>
      <c r="CG24" s="159">
        <f t="shared" si="49"/>
        <v>55630</v>
      </c>
      <c r="CH24" s="152">
        <f t="shared" si="23"/>
        <v>0.34455847831876768</v>
      </c>
      <c r="CI24" s="249">
        <v>320109</v>
      </c>
      <c r="CJ24" s="152">
        <f t="shared" si="24"/>
        <v>1.9826760729128601</v>
      </c>
      <c r="CK24" s="269">
        <v>99370</v>
      </c>
      <c r="CL24" s="252" t="s">
        <v>25</v>
      </c>
      <c r="CM24" s="252" t="s">
        <v>25</v>
      </c>
      <c r="CN24" s="252" t="s">
        <v>25</v>
      </c>
      <c r="CO24" s="253">
        <v>7.5</v>
      </c>
      <c r="CP24" s="151">
        <f t="shared" si="54"/>
        <v>21527.066666666666</v>
      </c>
      <c r="CQ24" s="253">
        <v>0</v>
      </c>
      <c r="CR24" s="253">
        <v>51.8</v>
      </c>
      <c r="CS24" s="223">
        <f t="shared" si="50"/>
        <v>59.3</v>
      </c>
      <c r="CT24" s="151">
        <f t="shared" si="26"/>
        <v>2722.6475548060707</v>
      </c>
      <c r="CU24" s="249">
        <v>1566</v>
      </c>
      <c r="CV24" s="251">
        <v>62368</v>
      </c>
      <c r="CW24" s="253">
        <v>40</v>
      </c>
      <c r="CX24" s="252" t="s">
        <v>25</v>
      </c>
      <c r="CY24" s="252" t="s">
        <v>25</v>
      </c>
      <c r="CZ24" s="249">
        <v>22175</v>
      </c>
      <c r="DA24" s="249">
        <v>11324</v>
      </c>
      <c r="DB24" s="249">
        <v>123</v>
      </c>
      <c r="DC24" s="249">
        <v>44277</v>
      </c>
      <c r="DD24" s="249" t="s">
        <v>3137</v>
      </c>
      <c r="DE24" s="249">
        <v>64778</v>
      </c>
      <c r="DF24" s="249">
        <v>16172</v>
      </c>
      <c r="DG24" s="249">
        <v>52</v>
      </c>
      <c r="DH24" s="253">
        <f t="shared" si="51"/>
        <v>0.10016537320458585</v>
      </c>
      <c r="DI24" s="249">
        <v>51</v>
      </c>
      <c r="DJ24" s="249">
        <v>51</v>
      </c>
      <c r="DK24" s="151">
        <v>1080</v>
      </c>
      <c r="DL24" s="151">
        <v>12978</v>
      </c>
      <c r="DM24" s="248"/>
      <c r="DN24" s="252" t="s">
        <v>3076</v>
      </c>
      <c r="DO24" s="254" t="s">
        <v>1950</v>
      </c>
      <c r="DP24" s="252"/>
      <c r="DQ24" s="250"/>
      <c r="DR24" s="261" t="s">
        <v>3001</v>
      </c>
      <c r="DS24" s="248" t="s">
        <v>3001</v>
      </c>
      <c r="DT24" s="275">
        <v>43282</v>
      </c>
      <c r="DU24" s="275">
        <v>43646</v>
      </c>
      <c r="DV24" s="261" t="s">
        <v>3001</v>
      </c>
      <c r="DW24" s="152">
        <f t="shared" si="27"/>
        <v>0.63811759459409245</v>
      </c>
      <c r="DX24" s="152">
        <f t="shared" si="28"/>
        <v>0</v>
      </c>
      <c r="DY24" s="152">
        <f t="shared" si="29"/>
        <v>1.8352895269830849</v>
      </c>
      <c r="DZ24" s="152">
        <f t="shared" si="30"/>
        <v>1.6428867843892649</v>
      </c>
      <c r="EA24" s="153">
        <f t="shared" si="53"/>
        <v>0.54625268255792703</v>
      </c>
      <c r="EB24" s="243">
        <f t="shared" si="52"/>
        <v>0.31606528205572876</v>
      </c>
    </row>
    <row r="25" spans="1:132" ht="15" thickBot="1" x14ac:dyDescent="0.35">
      <c r="A25" s="261" t="s">
        <v>3002</v>
      </c>
      <c r="B25" s="388" t="s">
        <v>3217</v>
      </c>
      <c r="C25" s="263">
        <v>43193</v>
      </c>
      <c r="D25" s="250">
        <v>1</v>
      </c>
      <c r="E25" s="250">
        <v>0</v>
      </c>
      <c r="F25" s="249">
        <v>18120</v>
      </c>
      <c r="H25" s="151">
        <f t="shared" si="0"/>
        <v>18120</v>
      </c>
      <c r="I25" s="152">
        <v>0.41950999999999999</v>
      </c>
      <c r="J25" s="251">
        <v>354798</v>
      </c>
      <c r="K25" s="251">
        <v>109561</v>
      </c>
      <c r="L25" s="158">
        <f t="shared" si="32"/>
        <v>464359</v>
      </c>
      <c r="M25" s="153">
        <f t="shared" si="33"/>
        <v>10.750792952561758</v>
      </c>
      <c r="N25" s="251">
        <v>46976</v>
      </c>
      <c r="O25" s="251">
        <v>19457</v>
      </c>
      <c r="P25" s="268">
        <v>2615</v>
      </c>
      <c r="Q25" s="158">
        <v>69048</v>
      </c>
      <c r="R25" s="153">
        <f t="shared" si="34"/>
        <v>1.5985923645035076</v>
      </c>
      <c r="S25" s="268">
        <v>82604</v>
      </c>
      <c r="T25" s="251">
        <v>616011</v>
      </c>
      <c r="U25" s="251">
        <v>0</v>
      </c>
      <c r="V25" s="251">
        <v>616011</v>
      </c>
      <c r="W25" s="153">
        <f t="shared" si="35"/>
        <v>14.261824832727525</v>
      </c>
      <c r="X25" s="154">
        <f t="shared" si="36"/>
        <v>0.75381608445303738</v>
      </c>
      <c r="Y25" s="154">
        <f t="shared" si="37"/>
        <v>0.1120889075032751</v>
      </c>
      <c r="Z25" s="154">
        <f t="shared" si="38"/>
        <v>0.13409500804368754</v>
      </c>
      <c r="AA25" s="154">
        <f t="shared" si="39"/>
        <v>0</v>
      </c>
      <c r="AB25" s="251">
        <v>0</v>
      </c>
      <c r="AE25" s="251"/>
      <c r="AF25" s="251">
        <v>616011</v>
      </c>
      <c r="AG25" s="251">
        <v>411672</v>
      </c>
      <c r="AH25" s="251"/>
      <c r="AI25" s="158">
        <f t="shared" si="8"/>
        <v>1027683</v>
      </c>
      <c r="AJ25" s="153">
        <f t="shared" si="40"/>
        <v>23.792813650360014</v>
      </c>
      <c r="AK25" s="251">
        <v>90734</v>
      </c>
      <c r="AL25" s="251">
        <v>2613</v>
      </c>
      <c r="AM25" s="251">
        <v>57981</v>
      </c>
      <c r="AN25" s="251"/>
      <c r="AO25" s="158">
        <f t="shared" si="41"/>
        <v>57981</v>
      </c>
      <c r="AP25" s="251">
        <v>603130</v>
      </c>
      <c r="AQ25" s="155">
        <f t="shared" si="42"/>
        <v>13.963605213807792</v>
      </c>
      <c r="AR25" s="251"/>
      <c r="AS25" s="268">
        <v>0</v>
      </c>
      <c r="AT25" s="251">
        <v>0</v>
      </c>
      <c r="AU25" s="268">
        <v>0</v>
      </c>
      <c r="AV25" s="268">
        <v>0</v>
      </c>
      <c r="AW25" s="251"/>
      <c r="AX25" s="268">
        <v>0</v>
      </c>
      <c r="AY25" s="158">
        <f t="shared" si="43"/>
        <v>0</v>
      </c>
      <c r="AZ25" s="249">
        <v>61391</v>
      </c>
      <c r="BA25" s="152">
        <f t="shared" si="13"/>
        <v>1.421318269163985</v>
      </c>
      <c r="BB25" s="269">
        <v>3279</v>
      </c>
      <c r="BC25" s="269">
        <v>3279</v>
      </c>
      <c r="BD25" s="269">
        <v>2623</v>
      </c>
      <c r="BE25" s="269">
        <v>2081</v>
      </c>
      <c r="BF25" s="269">
        <v>108590</v>
      </c>
      <c r="BG25" s="269">
        <v>5</v>
      </c>
      <c r="BH25" s="269">
        <v>89</v>
      </c>
      <c r="BI25" s="249">
        <v>0</v>
      </c>
      <c r="BJ25" s="159">
        <f t="shared" si="44"/>
        <v>94</v>
      </c>
      <c r="BK25" s="269">
        <v>195842</v>
      </c>
      <c r="BL25" s="152">
        <f t="shared" si="15"/>
        <v>4.5341143240802904</v>
      </c>
      <c r="BM25" s="269">
        <v>1</v>
      </c>
      <c r="BN25" s="249">
        <v>2232</v>
      </c>
      <c r="BO25" s="152">
        <f t="shared" si="16"/>
        <v>5.167503993702683E-2</v>
      </c>
      <c r="BP25" s="249">
        <v>27947</v>
      </c>
      <c r="BQ25" s="249">
        <v>0</v>
      </c>
      <c r="BR25" s="276">
        <f t="shared" si="45"/>
        <v>57130</v>
      </c>
      <c r="BS25" s="276">
        <v>72526</v>
      </c>
      <c r="BT25" s="269">
        <v>129656</v>
      </c>
      <c r="BU25" s="152">
        <f t="shared" si="17"/>
        <v>3.001782696270229</v>
      </c>
      <c r="BV25" s="151">
        <f t="shared" si="46"/>
        <v>9611.2676056338023</v>
      </c>
      <c r="BW25" s="152">
        <f t="shared" si="19"/>
        <v>40.290863890615292</v>
      </c>
      <c r="BX25" s="152">
        <f t="shared" si="20"/>
        <v>2.3332433551080638</v>
      </c>
      <c r="BY25" s="152">
        <f t="shared" si="47"/>
        <v>0.66204389252560736</v>
      </c>
      <c r="BZ25" s="249">
        <v>588</v>
      </c>
      <c r="CA25" s="249">
        <v>4</v>
      </c>
      <c r="CB25" s="249">
        <v>130</v>
      </c>
      <c r="CC25" s="156">
        <f t="shared" si="48"/>
        <v>722</v>
      </c>
      <c r="CD25" s="249">
        <v>8763</v>
      </c>
      <c r="CE25" s="249">
        <v>172</v>
      </c>
      <c r="CF25" s="249">
        <v>508</v>
      </c>
      <c r="CG25" s="159">
        <f t="shared" si="49"/>
        <v>9443</v>
      </c>
      <c r="CH25" s="152">
        <f t="shared" si="23"/>
        <v>0.21862338804898943</v>
      </c>
      <c r="CI25" s="249">
        <v>55569</v>
      </c>
      <c r="CJ25" s="152">
        <f t="shared" si="24"/>
        <v>1.286527909614984</v>
      </c>
      <c r="CK25" s="269">
        <v>17647</v>
      </c>
      <c r="CL25" s="252" t="s">
        <v>25</v>
      </c>
      <c r="CM25" s="252" t="s">
        <v>25</v>
      </c>
      <c r="CN25" s="252" t="s">
        <v>25</v>
      </c>
      <c r="CO25" s="253">
        <v>2.81</v>
      </c>
      <c r="CP25" s="151">
        <f t="shared" si="54"/>
        <v>15371.174377224199</v>
      </c>
      <c r="CQ25" s="253">
        <v>2.81</v>
      </c>
      <c r="CR25" s="253">
        <v>7.87</v>
      </c>
      <c r="CS25" s="223">
        <f t="shared" si="50"/>
        <v>13.49</v>
      </c>
      <c r="CT25" s="151">
        <f t="shared" si="26"/>
        <v>3201.853224610823</v>
      </c>
      <c r="CU25" s="249">
        <v>482</v>
      </c>
      <c r="CV25" s="251">
        <v>64160</v>
      </c>
      <c r="CW25" s="253">
        <v>40</v>
      </c>
      <c r="CX25" s="252" t="s">
        <v>25</v>
      </c>
      <c r="CY25" s="252" t="s">
        <v>25</v>
      </c>
      <c r="CZ25" s="249">
        <v>4697</v>
      </c>
      <c r="DA25" s="249">
        <v>2892</v>
      </c>
      <c r="DB25" s="249">
        <v>49</v>
      </c>
      <c r="DC25" s="249">
        <v>7506</v>
      </c>
      <c r="DD25" s="249">
        <v>5779</v>
      </c>
      <c r="DE25" s="249">
        <v>5301</v>
      </c>
      <c r="DF25" s="249">
        <v>4544</v>
      </c>
      <c r="DG25" s="249">
        <v>52</v>
      </c>
      <c r="DH25" s="253">
        <f t="shared" si="51"/>
        <v>0.10520223184312273</v>
      </c>
      <c r="DI25" s="249">
        <v>61</v>
      </c>
      <c r="DJ25" s="249">
        <v>61</v>
      </c>
      <c r="DL25" s="151">
        <v>3218</v>
      </c>
      <c r="DM25" s="248"/>
      <c r="DN25" s="252" t="s">
        <v>3077</v>
      </c>
      <c r="DO25" s="254" t="s">
        <v>1950</v>
      </c>
      <c r="DP25" s="252"/>
      <c r="DQ25" s="250"/>
      <c r="DR25" s="261" t="s">
        <v>3002</v>
      </c>
      <c r="DS25" s="248" t="s">
        <v>3002</v>
      </c>
      <c r="DT25" s="275">
        <v>43282</v>
      </c>
      <c r="DU25" s="275">
        <v>43646</v>
      </c>
      <c r="DV25" s="261" t="s">
        <v>3002</v>
      </c>
      <c r="DW25" s="152">
        <f t="shared" si="27"/>
        <v>0.64702613849466351</v>
      </c>
      <c r="DX25" s="152">
        <f t="shared" si="28"/>
        <v>0</v>
      </c>
      <c r="DY25" s="152">
        <f t="shared" si="29"/>
        <v>1.322668024911444</v>
      </c>
      <c r="DZ25" s="152">
        <f t="shared" si="30"/>
        <v>1.679114671358785</v>
      </c>
      <c r="EA25" s="153">
        <f t="shared" si="53"/>
        <v>0.55215863276796318</v>
      </c>
      <c r="EB25" s="243">
        <f t="shared" si="52"/>
        <v>0.26827620439566502</v>
      </c>
    </row>
    <row r="26" spans="1:132" ht="15" thickBot="1" x14ac:dyDescent="0.35">
      <c r="A26" s="261" t="s">
        <v>3003</v>
      </c>
      <c r="B26" s="388" t="s">
        <v>3218</v>
      </c>
      <c r="C26" s="263">
        <v>59629</v>
      </c>
      <c r="D26" s="250">
        <v>5</v>
      </c>
      <c r="E26" s="250">
        <v>0</v>
      </c>
      <c r="F26" s="249">
        <v>14634</v>
      </c>
      <c r="H26" s="151">
        <f t="shared" si="0"/>
        <v>14634</v>
      </c>
      <c r="I26" s="152">
        <v>0.24542</v>
      </c>
      <c r="J26" s="251">
        <v>259432</v>
      </c>
      <c r="K26" s="251">
        <v>111607</v>
      </c>
      <c r="L26" s="158">
        <f t="shared" si="32"/>
        <v>371039</v>
      </c>
      <c r="M26" s="153">
        <f t="shared" si="33"/>
        <v>6.2224588706837274</v>
      </c>
      <c r="N26" s="251">
        <v>114135</v>
      </c>
      <c r="O26" s="251">
        <v>15000</v>
      </c>
      <c r="P26" s="268">
        <v>34500</v>
      </c>
      <c r="Q26" s="158">
        <v>163635</v>
      </c>
      <c r="R26" s="153">
        <f t="shared" si="34"/>
        <v>2.744218417213101</v>
      </c>
      <c r="S26" s="268">
        <v>94087</v>
      </c>
      <c r="T26" s="251">
        <v>628761</v>
      </c>
      <c r="U26" s="251">
        <v>0</v>
      </c>
      <c r="V26" s="251">
        <v>628761</v>
      </c>
      <c r="W26" s="153">
        <f t="shared" si="35"/>
        <v>10.544550470408694</v>
      </c>
      <c r="X26" s="154">
        <f t="shared" si="36"/>
        <v>0.59011134596452386</v>
      </c>
      <c r="Y26" s="154">
        <f t="shared" si="37"/>
        <v>0.26024992008092107</v>
      </c>
      <c r="Z26" s="154">
        <f t="shared" si="38"/>
        <v>0.14963873395455507</v>
      </c>
      <c r="AA26" s="154">
        <f t="shared" si="39"/>
        <v>0</v>
      </c>
      <c r="AB26" s="251">
        <v>23300</v>
      </c>
      <c r="AE26" s="251"/>
      <c r="AF26" s="251">
        <v>628761</v>
      </c>
      <c r="AG26" s="251">
        <v>486170</v>
      </c>
      <c r="AH26" s="251"/>
      <c r="AI26" s="158">
        <f t="shared" si="8"/>
        <v>1114931</v>
      </c>
      <c r="AJ26" s="153">
        <f t="shared" si="40"/>
        <v>18.697798051283772</v>
      </c>
      <c r="AK26" s="251">
        <v>122973</v>
      </c>
      <c r="AL26" s="251">
        <v>0</v>
      </c>
      <c r="AM26" s="251">
        <v>0</v>
      </c>
      <c r="AN26" s="251"/>
      <c r="AO26" s="158">
        <f t="shared" si="41"/>
        <v>0</v>
      </c>
      <c r="AP26" s="251">
        <v>655913</v>
      </c>
      <c r="AQ26" s="155">
        <f t="shared" si="42"/>
        <v>10.999899377819517</v>
      </c>
      <c r="AR26" s="251"/>
      <c r="AS26" s="268">
        <v>0</v>
      </c>
      <c r="AT26" s="251">
        <v>0</v>
      </c>
      <c r="AU26" s="268">
        <v>0</v>
      </c>
      <c r="AV26" s="268">
        <v>0</v>
      </c>
      <c r="AW26" s="251"/>
      <c r="AX26" s="268">
        <v>0</v>
      </c>
      <c r="AY26" s="158">
        <f t="shared" si="43"/>
        <v>0</v>
      </c>
      <c r="AZ26" s="249">
        <v>80494</v>
      </c>
      <c r="BA26" s="152">
        <f t="shared" si="13"/>
        <v>1.3499136326284191</v>
      </c>
      <c r="BB26" s="269">
        <v>2125</v>
      </c>
      <c r="BC26" s="269">
        <v>2125</v>
      </c>
      <c r="BD26" s="269">
        <v>5055</v>
      </c>
      <c r="BE26" s="269">
        <v>2067</v>
      </c>
      <c r="BF26" s="269">
        <v>127502</v>
      </c>
      <c r="BG26" s="269">
        <v>0</v>
      </c>
      <c r="BH26" s="269">
        <v>89</v>
      </c>
      <c r="BI26" s="249">
        <v>0</v>
      </c>
      <c r="BJ26" s="159">
        <f t="shared" si="44"/>
        <v>89</v>
      </c>
      <c r="BK26" s="269">
        <v>236565</v>
      </c>
      <c r="BL26" s="152">
        <f t="shared" si="15"/>
        <v>3.9672810209797245</v>
      </c>
      <c r="BM26" s="269">
        <v>46</v>
      </c>
      <c r="BN26" s="249">
        <v>3521</v>
      </c>
      <c r="BO26" s="152">
        <f t="shared" si="16"/>
        <v>5.90484495799024E-2</v>
      </c>
      <c r="BP26" s="249">
        <v>7419</v>
      </c>
      <c r="BQ26" s="249">
        <v>0</v>
      </c>
      <c r="BR26" s="276">
        <f t="shared" si="45"/>
        <v>26910</v>
      </c>
      <c r="BS26" s="276">
        <v>11339</v>
      </c>
      <c r="BT26" s="269">
        <v>38249</v>
      </c>
      <c r="BU26" s="152">
        <f t="shared" si="17"/>
        <v>0.64144963021348678</v>
      </c>
      <c r="BV26" s="151">
        <f t="shared" si="46"/>
        <v>4249.8888888888887</v>
      </c>
      <c r="BW26" s="152">
        <f t="shared" si="19"/>
        <v>7.170791151106112</v>
      </c>
      <c r="BX26" s="152">
        <f t="shared" si="20"/>
        <v>2.4518589743589745</v>
      </c>
      <c r="BY26" s="152">
        <f t="shared" si="47"/>
        <v>0.1616849491683047</v>
      </c>
      <c r="BZ26" s="249">
        <v>90</v>
      </c>
      <c r="CA26" s="249">
        <v>12</v>
      </c>
      <c r="CB26" s="249">
        <v>0</v>
      </c>
      <c r="CC26" s="156">
        <f t="shared" si="48"/>
        <v>102</v>
      </c>
      <c r="CD26" s="249">
        <v>4400</v>
      </c>
      <c r="CE26" s="249">
        <v>60</v>
      </c>
      <c r="CF26" s="249">
        <v>0</v>
      </c>
      <c r="CG26" s="159">
        <f t="shared" si="49"/>
        <v>4460</v>
      </c>
      <c r="CH26" s="152">
        <f t="shared" si="23"/>
        <v>7.4795820825437287E-2</v>
      </c>
      <c r="CI26" s="249">
        <v>15600</v>
      </c>
      <c r="CJ26" s="152">
        <f t="shared" si="24"/>
        <v>0.26161766925489277</v>
      </c>
      <c r="CK26" s="269">
        <v>2978</v>
      </c>
      <c r="CL26" s="252" t="s">
        <v>25</v>
      </c>
      <c r="CM26" s="252" t="s">
        <v>25</v>
      </c>
      <c r="CN26" s="252" t="s">
        <v>25</v>
      </c>
      <c r="CO26" s="253">
        <v>1</v>
      </c>
      <c r="CP26" s="151">
        <f t="shared" si="54"/>
        <v>59629</v>
      </c>
      <c r="CQ26" s="253">
        <v>0</v>
      </c>
      <c r="CR26" s="253">
        <v>8</v>
      </c>
      <c r="CS26" s="223">
        <f t="shared" si="50"/>
        <v>9</v>
      </c>
      <c r="CT26" s="151">
        <f t="shared" si="26"/>
        <v>6625.4444444444443</v>
      </c>
      <c r="CU26" s="249">
        <v>100</v>
      </c>
      <c r="CV26" s="251">
        <v>60952</v>
      </c>
      <c r="CW26" s="253">
        <v>40</v>
      </c>
      <c r="CX26" s="252" t="s">
        <v>25</v>
      </c>
      <c r="CY26" s="252" t="s">
        <v>25</v>
      </c>
      <c r="CZ26" s="249">
        <v>176</v>
      </c>
      <c r="DA26" s="249">
        <v>5</v>
      </c>
      <c r="DB26" s="249">
        <v>42</v>
      </c>
      <c r="DC26" s="249">
        <v>3448</v>
      </c>
      <c r="DD26" s="249" t="s">
        <v>3137</v>
      </c>
      <c r="DE26" s="249" t="s">
        <v>3137</v>
      </c>
      <c r="DF26" s="249">
        <v>7728</v>
      </c>
      <c r="DG26" s="249">
        <v>52</v>
      </c>
      <c r="DH26" s="253">
        <f t="shared" si="51"/>
        <v>0.12960136846165457</v>
      </c>
      <c r="DI26" s="249">
        <v>54</v>
      </c>
      <c r="DJ26" s="249">
        <v>54</v>
      </c>
      <c r="DK26" s="151">
        <v>2700</v>
      </c>
      <c r="DL26" s="151">
        <v>5334</v>
      </c>
      <c r="DM26" s="248"/>
      <c r="DN26" s="252" t="s">
        <v>3078</v>
      </c>
      <c r="DO26" s="254" t="s">
        <v>1950</v>
      </c>
      <c r="DP26" s="252"/>
      <c r="DQ26" s="250"/>
      <c r="DR26" s="261" t="s">
        <v>3003</v>
      </c>
      <c r="DS26" s="248" t="s">
        <v>3003</v>
      </c>
      <c r="DT26" s="275">
        <v>43282</v>
      </c>
      <c r="DU26" s="275">
        <v>43646</v>
      </c>
      <c r="DV26" s="261" t="s">
        <v>3003</v>
      </c>
      <c r="DW26" s="152">
        <f t="shared" si="27"/>
        <v>0.12441932616679803</v>
      </c>
      <c r="DX26" s="152">
        <f t="shared" si="28"/>
        <v>0</v>
      </c>
      <c r="DY26" s="152">
        <f t="shared" si="29"/>
        <v>0.45129047946468998</v>
      </c>
      <c r="DZ26" s="152">
        <f t="shared" si="30"/>
        <v>0.19015915074879672</v>
      </c>
      <c r="EA26" s="153">
        <f t="shared" si="53"/>
        <v>3.3247400157301406</v>
      </c>
      <c r="EB26" s="243">
        <f t="shared" si="52"/>
        <v>1.3228679777758179</v>
      </c>
    </row>
    <row r="27" spans="1:132" ht="15" thickBot="1" x14ac:dyDescent="0.35">
      <c r="A27" s="261" t="s">
        <v>3004</v>
      </c>
      <c r="B27" s="388" t="s">
        <v>3219</v>
      </c>
      <c r="C27" s="263">
        <v>308345</v>
      </c>
      <c r="D27" s="250">
        <v>6</v>
      </c>
      <c r="E27" s="250">
        <v>1</v>
      </c>
      <c r="F27" s="249">
        <v>182554</v>
      </c>
      <c r="H27" s="151">
        <f t="shared" si="0"/>
        <v>182554</v>
      </c>
      <c r="I27" s="152">
        <v>0.68476999999999999</v>
      </c>
      <c r="J27" s="251">
        <v>6457159</v>
      </c>
      <c r="K27" s="251">
        <v>2102033</v>
      </c>
      <c r="L27" s="158">
        <f t="shared" si="32"/>
        <v>8559192</v>
      </c>
      <c r="M27" s="153">
        <f t="shared" si="33"/>
        <v>27.758491300329176</v>
      </c>
      <c r="N27" s="251">
        <v>710797</v>
      </c>
      <c r="O27" s="251">
        <v>746153</v>
      </c>
      <c r="P27" s="268">
        <v>105837</v>
      </c>
      <c r="Q27" s="158">
        <v>1562787</v>
      </c>
      <c r="R27" s="153">
        <f t="shared" si="34"/>
        <v>5.0683066046149605</v>
      </c>
      <c r="S27" s="268">
        <v>949428</v>
      </c>
      <c r="T27" s="251">
        <v>11071407</v>
      </c>
      <c r="U27" s="251">
        <v>0</v>
      </c>
      <c r="V27" s="251">
        <v>11071407</v>
      </c>
      <c r="W27" s="153">
        <f t="shared" si="35"/>
        <v>35.90590734404644</v>
      </c>
      <c r="X27" s="154">
        <f t="shared" si="36"/>
        <v>0.77308981595564141</v>
      </c>
      <c r="Y27" s="154">
        <f t="shared" si="37"/>
        <v>0.14115522986373819</v>
      </c>
      <c r="Z27" s="154">
        <f t="shared" si="38"/>
        <v>8.5754954180620402E-2</v>
      </c>
      <c r="AA27" s="154">
        <f t="shared" si="39"/>
        <v>0</v>
      </c>
      <c r="AB27" s="251">
        <v>22669432</v>
      </c>
      <c r="AE27" s="251"/>
      <c r="AF27" s="251">
        <v>11071407</v>
      </c>
      <c r="AG27" s="251">
        <v>11791542</v>
      </c>
      <c r="AH27" s="251"/>
      <c r="AI27" s="158">
        <f t="shared" si="8"/>
        <v>22862949</v>
      </c>
      <c r="AJ27" s="153">
        <f t="shared" si="40"/>
        <v>74.147299291378161</v>
      </c>
      <c r="AK27" s="251">
        <v>235641</v>
      </c>
      <c r="AL27" s="251">
        <v>149615</v>
      </c>
      <c r="AM27" s="251">
        <v>125369</v>
      </c>
      <c r="AN27" s="251"/>
      <c r="AO27" s="158">
        <f t="shared" si="41"/>
        <v>125369</v>
      </c>
      <c r="AP27" s="251">
        <v>12302167</v>
      </c>
      <c r="AQ27" s="155">
        <f t="shared" si="42"/>
        <v>39.897410368256338</v>
      </c>
      <c r="AR27" s="251"/>
      <c r="AS27" s="268">
        <v>500000</v>
      </c>
      <c r="AT27" s="251">
        <v>0</v>
      </c>
      <c r="AU27" s="268">
        <v>0</v>
      </c>
      <c r="AV27" s="268">
        <v>0</v>
      </c>
      <c r="AW27" s="251"/>
      <c r="AX27" s="268">
        <v>449758</v>
      </c>
      <c r="AY27" s="158">
        <f t="shared" si="43"/>
        <v>949758</v>
      </c>
      <c r="AZ27" s="249">
        <v>552968</v>
      </c>
      <c r="BA27" s="152">
        <f t="shared" si="13"/>
        <v>1.7933418735507305</v>
      </c>
      <c r="BB27" s="269">
        <v>41309</v>
      </c>
      <c r="BC27" s="269">
        <v>41309</v>
      </c>
      <c r="BD27" s="269">
        <v>53098</v>
      </c>
      <c r="BE27" s="269">
        <v>1752</v>
      </c>
      <c r="BF27" s="269">
        <v>103356</v>
      </c>
      <c r="BG27" s="269">
        <v>21</v>
      </c>
      <c r="BH27" s="269">
        <v>89</v>
      </c>
      <c r="BI27" s="249">
        <v>0</v>
      </c>
      <c r="BJ27" s="159">
        <f t="shared" si="44"/>
        <v>110</v>
      </c>
      <c r="BK27" s="269">
        <v>774003</v>
      </c>
      <c r="BL27" s="152">
        <f t="shared" si="15"/>
        <v>2.5101850200262694</v>
      </c>
      <c r="BM27" s="269">
        <v>216</v>
      </c>
      <c r="BN27" s="249">
        <v>112188</v>
      </c>
      <c r="BO27" s="152">
        <f t="shared" si="16"/>
        <v>0.36383920608409409</v>
      </c>
      <c r="BP27" s="249">
        <v>819335</v>
      </c>
      <c r="BQ27" s="249">
        <v>0</v>
      </c>
      <c r="BR27" s="276">
        <f t="shared" si="45"/>
        <v>1470435</v>
      </c>
      <c r="BS27" s="276">
        <v>4429836</v>
      </c>
      <c r="BT27" s="269">
        <v>5900271</v>
      </c>
      <c r="BU27" s="152">
        <f t="shared" si="17"/>
        <v>19.135290016053446</v>
      </c>
      <c r="BV27" s="151">
        <f t="shared" si="46"/>
        <v>43615.249852158486</v>
      </c>
      <c r="BW27" s="152">
        <f t="shared" si="19"/>
        <v>506.0049740577162</v>
      </c>
      <c r="BX27" s="152">
        <f t="shared" si="20"/>
        <v>6.5054897195931938</v>
      </c>
      <c r="BY27" s="152">
        <f t="shared" si="47"/>
        <v>7.6230596005441837</v>
      </c>
      <c r="BZ27" s="249">
        <v>2369</v>
      </c>
      <c r="CA27" s="249">
        <v>472</v>
      </c>
      <c r="CB27" s="249">
        <v>1462</v>
      </c>
      <c r="CC27" s="156">
        <f t="shared" si="48"/>
        <v>4303</v>
      </c>
      <c r="CD27" s="249">
        <v>63366</v>
      </c>
      <c r="CE27" s="249">
        <v>7742</v>
      </c>
      <c r="CF27" s="249">
        <v>19080</v>
      </c>
      <c r="CG27" s="159">
        <f t="shared" si="49"/>
        <v>90188</v>
      </c>
      <c r="CH27" s="152">
        <f t="shared" si="23"/>
        <v>0.29249055441145472</v>
      </c>
      <c r="CI27" s="249">
        <v>906968</v>
      </c>
      <c r="CJ27" s="152">
        <f t="shared" si="24"/>
        <v>2.9414065413741102</v>
      </c>
      <c r="CK27" s="269">
        <v>203914</v>
      </c>
      <c r="CL27" s="252" t="s">
        <v>25</v>
      </c>
      <c r="CM27" s="252" t="s">
        <v>25</v>
      </c>
      <c r="CN27" s="252" t="s">
        <v>25</v>
      </c>
      <c r="CO27" s="253">
        <v>50.82</v>
      </c>
      <c r="CP27" s="151">
        <f t="shared" si="54"/>
        <v>6067.3947264856351</v>
      </c>
      <c r="CQ27" s="253">
        <v>0.94</v>
      </c>
      <c r="CR27" s="253">
        <v>83.52</v>
      </c>
      <c r="CS27" s="223">
        <f t="shared" si="50"/>
        <v>135.28</v>
      </c>
      <c r="CT27" s="151">
        <f t="shared" si="26"/>
        <v>2279.3095801301006</v>
      </c>
      <c r="CU27" s="249">
        <v>1616</v>
      </c>
      <c r="CV27" s="251">
        <v>129372</v>
      </c>
      <c r="CW27" s="253">
        <v>40</v>
      </c>
      <c r="CX27" s="252" t="s">
        <v>25</v>
      </c>
      <c r="CY27" s="252" t="s">
        <v>25</v>
      </c>
      <c r="CZ27" s="249">
        <v>1690</v>
      </c>
      <c r="DA27" s="249">
        <v>634</v>
      </c>
      <c r="DB27" s="249">
        <v>251</v>
      </c>
      <c r="DC27" s="249">
        <v>120979</v>
      </c>
      <c r="DD27" s="249" t="s">
        <v>3137</v>
      </c>
      <c r="DE27" s="249">
        <v>1773650</v>
      </c>
      <c r="DF27" s="249">
        <v>16899</v>
      </c>
      <c r="DG27" s="249">
        <v>52</v>
      </c>
      <c r="DH27" s="253">
        <f t="shared" si="51"/>
        <v>5.480549384617879E-2</v>
      </c>
      <c r="DI27" s="249">
        <v>55</v>
      </c>
      <c r="DJ27" s="249">
        <v>55</v>
      </c>
      <c r="DL27" s="151">
        <v>11660.5</v>
      </c>
      <c r="DM27" s="248"/>
      <c r="DN27" s="252" t="s">
        <v>3079</v>
      </c>
      <c r="DO27" s="252" t="s">
        <v>1950</v>
      </c>
      <c r="DP27" s="252"/>
      <c r="DQ27" s="250"/>
      <c r="DR27" s="261" t="s">
        <v>3004</v>
      </c>
      <c r="DS27" s="248" t="s">
        <v>3004</v>
      </c>
      <c r="DT27" s="275">
        <v>43282</v>
      </c>
      <c r="DU27" s="275">
        <v>43646</v>
      </c>
      <c r="DV27" s="261" t="s">
        <v>3004</v>
      </c>
      <c r="DW27" s="152">
        <f t="shared" si="27"/>
        <v>2.6572021599182736</v>
      </c>
      <c r="DX27" s="152">
        <f t="shared" si="28"/>
        <v>0</v>
      </c>
      <c r="DY27" s="152">
        <f t="shared" si="29"/>
        <v>4.7687979373753429</v>
      </c>
      <c r="DZ27" s="152">
        <f t="shared" si="30"/>
        <v>14.366492078678103</v>
      </c>
      <c r="EA27" s="153">
        <f t="shared" si="53"/>
        <v>0.3104228809007018</v>
      </c>
      <c r="EB27" s="243">
        <f t="shared" si="52"/>
        <v>0.1684380640728009</v>
      </c>
    </row>
    <row r="28" spans="1:132" ht="29.4" thickBot="1" x14ac:dyDescent="0.35">
      <c r="A28" s="261" t="s">
        <v>3154</v>
      </c>
      <c r="B28" s="388" t="s">
        <v>3220</v>
      </c>
      <c r="C28" s="263">
        <v>114758</v>
      </c>
      <c r="D28" s="250">
        <v>7</v>
      </c>
      <c r="E28" s="250">
        <v>0</v>
      </c>
      <c r="F28" s="249">
        <v>69888</v>
      </c>
      <c r="H28" s="151">
        <f t="shared" si="0"/>
        <v>69888</v>
      </c>
      <c r="I28" s="152">
        <v>0.60897999999999997</v>
      </c>
      <c r="J28" s="251">
        <v>1637425</v>
      </c>
      <c r="K28" s="251">
        <v>625533</v>
      </c>
      <c r="L28" s="158">
        <f t="shared" si="32"/>
        <v>2262958</v>
      </c>
      <c r="M28" s="153">
        <f t="shared" si="33"/>
        <v>19.719392112096759</v>
      </c>
      <c r="N28" s="251">
        <v>110637</v>
      </c>
      <c r="O28" s="251">
        <v>50316</v>
      </c>
      <c r="P28" s="268">
        <v>17092</v>
      </c>
      <c r="Q28" s="158">
        <v>178045</v>
      </c>
      <c r="R28" s="153">
        <f t="shared" si="34"/>
        <v>1.5514822496035134</v>
      </c>
      <c r="S28" s="268">
        <v>618160</v>
      </c>
      <c r="T28" s="251">
        <v>3059163</v>
      </c>
      <c r="U28" s="251">
        <v>0</v>
      </c>
      <c r="V28" s="251">
        <v>3059163</v>
      </c>
      <c r="W28" s="153">
        <f t="shared" si="35"/>
        <v>26.657514073092944</v>
      </c>
      <c r="X28" s="154">
        <f t="shared" si="36"/>
        <v>0.73973109638159196</v>
      </c>
      <c r="Y28" s="154">
        <f t="shared" si="37"/>
        <v>5.8200560087841018E-2</v>
      </c>
      <c r="Z28" s="154">
        <f t="shared" si="38"/>
        <v>0.20206834353056702</v>
      </c>
      <c r="AA28" s="154">
        <f t="shared" si="39"/>
        <v>0</v>
      </c>
      <c r="AB28" s="251">
        <v>1500</v>
      </c>
      <c r="AE28" s="251"/>
      <c r="AF28" s="251">
        <v>3059163</v>
      </c>
      <c r="AG28" s="251">
        <v>2608047</v>
      </c>
      <c r="AH28" s="251"/>
      <c r="AI28" s="158">
        <f t="shared" si="8"/>
        <v>5667210</v>
      </c>
      <c r="AJ28" s="153">
        <f t="shared" si="40"/>
        <v>49.384008086582199</v>
      </c>
      <c r="AK28" s="251">
        <v>393513</v>
      </c>
      <c r="AL28" s="251">
        <v>12260</v>
      </c>
      <c r="AM28" s="251">
        <v>65250</v>
      </c>
      <c r="AN28" s="251"/>
      <c r="AO28" s="158">
        <f t="shared" si="41"/>
        <v>65250</v>
      </c>
      <c r="AP28" s="251">
        <v>3079070</v>
      </c>
      <c r="AQ28" s="155">
        <f t="shared" si="42"/>
        <v>26.830983460848046</v>
      </c>
      <c r="AR28" s="251"/>
      <c r="AS28" s="268">
        <v>0</v>
      </c>
      <c r="AT28" s="251">
        <v>0</v>
      </c>
      <c r="AU28" s="268">
        <v>0</v>
      </c>
      <c r="AV28" s="268">
        <v>0</v>
      </c>
      <c r="AW28" s="251"/>
      <c r="AX28" s="268">
        <v>0</v>
      </c>
      <c r="AY28" s="158">
        <f t="shared" si="43"/>
        <v>0</v>
      </c>
      <c r="AZ28" s="249">
        <v>212840</v>
      </c>
      <c r="BA28" s="152">
        <f t="shared" si="13"/>
        <v>1.8546855121211594</v>
      </c>
      <c r="BB28" s="269">
        <v>7705</v>
      </c>
      <c r="BC28" s="269">
        <v>7705</v>
      </c>
      <c r="BD28" s="269">
        <v>19638</v>
      </c>
      <c r="BE28" s="269">
        <v>1752</v>
      </c>
      <c r="BF28" s="269">
        <v>74521</v>
      </c>
      <c r="BG28" s="269">
        <v>7</v>
      </c>
      <c r="BH28" s="269">
        <v>89</v>
      </c>
      <c r="BI28" s="249">
        <v>0</v>
      </c>
      <c r="BJ28" s="159">
        <f t="shared" si="44"/>
        <v>96</v>
      </c>
      <c r="BK28" s="269">
        <v>330643</v>
      </c>
      <c r="BL28" s="152">
        <f t="shared" si="15"/>
        <v>2.8812196099618328</v>
      </c>
      <c r="BM28" s="269">
        <v>165</v>
      </c>
      <c r="BN28" s="249">
        <v>61496</v>
      </c>
      <c r="BO28" s="152">
        <f t="shared" si="16"/>
        <v>0.5358754945189006</v>
      </c>
      <c r="BP28" s="249">
        <v>129990</v>
      </c>
      <c r="BQ28" s="249">
        <v>0</v>
      </c>
      <c r="BR28" s="276">
        <f t="shared" si="45"/>
        <v>293857</v>
      </c>
      <c r="BS28" s="276">
        <v>68274</v>
      </c>
      <c r="BT28" s="269">
        <v>362131</v>
      </c>
      <c r="BU28" s="152">
        <f t="shared" si="17"/>
        <v>3.1556057094058803</v>
      </c>
      <c r="BV28" s="151">
        <f t="shared" si="46"/>
        <v>8067.0750723991978</v>
      </c>
      <c r="BW28" s="152">
        <f t="shared" si="19"/>
        <v>23.955215982007012</v>
      </c>
      <c r="BX28" s="152">
        <f t="shared" si="20"/>
        <v>1.6003597297165912</v>
      </c>
      <c r="BY28" s="152">
        <f t="shared" si="47"/>
        <v>1.0952326224961666</v>
      </c>
      <c r="BZ28" s="249">
        <v>900</v>
      </c>
      <c r="CA28" s="249">
        <v>12</v>
      </c>
      <c r="CB28" s="249">
        <v>193</v>
      </c>
      <c r="CC28" s="156">
        <f t="shared" si="48"/>
        <v>1105</v>
      </c>
      <c r="CD28" s="249">
        <v>20338</v>
      </c>
      <c r="CE28" s="249">
        <v>177</v>
      </c>
      <c r="CF28" s="249">
        <v>2622</v>
      </c>
      <c r="CG28" s="159">
        <f t="shared" si="49"/>
        <v>23137</v>
      </c>
      <c r="CH28" s="152">
        <f t="shared" si="23"/>
        <v>0.20161557364192476</v>
      </c>
      <c r="CI28" s="249">
        <v>226281</v>
      </c>
      <c r="CJ28" s="152">
        <f t="shared" si="24"/>
        <v>1.9718102441659842</v>
      </c>
      <c r="CK28" s="269">
        <v>52733</v>
      </c>
      <c r="CL28" s="252" t="s">
        <v>26</v>
      </c>
      <c r="CM28" s="252" t="s">
        <v>25</v>
      </c>
      <c r="CN28" s="252" t="s">
        <v>25</v>
      </c>
      <c r="CO28" s="253">
        <v>3.75</v>
      </c>
      <c r="CP28" s="253">
        <v>0</v>
      </c>
      <c r="CQ28" s="253">
        <v>0.94</v>
      </c>
      <c r="CR28" s="253">
        <v>40.200000000000003</v>
      </c>
      <c r="CS28" s="223">
        <f t="shared" si="50"/>
        <v>44.89</v>
      </c>
      <c r="CT28" s="151">
        <f t="shared" si="26"/>
        <v>2556.4268211182889</v>
      </c>
      <c r="CU28" s="249">
        <v>1833</v>
      </c>
      <c r="CV28" s="251">
        <v>71635</v>
      </c>
      <c r="CW28" s="253">
        <v>20</v>
      </c>
      <c r="CX28" s="252" t="s">
        <v>26</v>
      </c>
      <c r="CY28" s="252" t="s">
        <v>26</v>
      </c>
      <c r="CZ28" s="249">
        <v>632</v>
      </c>
      <c r="DA28" s="249">
        <v>408</v>
      </c>
      <c r="DB28" s="249">
        <v>96</v>
      </c>
      <c r="DC28" s="249">
        <v>32750</v>
      </c>
      <c r="DD28" s="249">
        <v>36861</v>
      </c>
      <c r="DE28" s="249">
        <v>162683</v>
      </c>
      <c r="DF28" s="249">
        <v>20214</v>
      </c>
      <c r="DG28" s="249">
        <v>46</v>
      </c>
      <c r="DH28" s="253">
        <f t="shared" si="51"/>
        <v>0.17614458251276599</v>
      </c>
      <c r="DI28" s="249">
        <v>20</v>
      </c>
      <c r="DJ28" s="249">
        <v>20</v>
      </c>
      <c r="DL28" s="151">
        <v>15117</v>
      </c>
      <c r="DM28" s="248"/>
      <c r="DN28" s="252" t="s">
        <v>3080</v>
      </c>
      <c r="DO28" s="252" t="s">
        <v>3052</v>
      </c>
      <c r="DP28" s="252"/>
      <c r="DQ28" s="250"/>
      <c r="DR28" s="261" t="s">
        <v>3154</v>
      </c>
      <c r="DS28" s="248" t="s">
        <v>3005</v>
      </c>
      <c r="DT28" s="275">
        <v>43282</v>
      </c>
      <c r="DU28" s="275">
        <v>43646</v>
      </c>
      <c r="DV28" s="261" t="s">
        <v>3154</v>
      </c>
      <c r="DW28" s="152">
        <f t="shared" si="27"/>
        <v>1.1327314871294376</v>
      </c>
      <c r="DX28" s="152">
        <f t="shared" si="28"/>
        <v>0</v>
      </c>
      <c r="DY28" s="152">
        <f t="shared" si="29"/>
        <v>2.5606667944718451</v>
      </c>
      <c r="DZ28" s="152">
        <f t="shared" si="30"/>
        <v>0.59493891493403506</v>
      </c>
      <c r="EA28" s="153">
        <f t="shared" si="53"/>
        <v>0.26103051336921107</v>
      </c>
      <c r="EB28" s="243">
        <v>0</v>
      </c>
    </row>
    <row r="29" spans="1:132" ht="15" thickBot="1" x14ac:dyDescent="0.35">
      <c r="A29" s="261" t="s">
        <v>3006</v>
      </c>
      <c r="B29" s="388" t="s">
        <v>3221</v>
      </c>
      <c r="C29" s="263">
        <v>53001</v>
      </c>
      <c r="D29" s="250">
        <v>1</v>
      </c>
      <c r="E29" s="250">
        <v>0</v>
      </c>
      <c r="F29" s="249">
        <v>23450</v>
      </c>
      <c r="H29" s="151">
        <f t="shared" si="0"/>
        <v>23450</v>
      </c>
      <c r="I29" s="152">
        <v>0.44244</v>
      </c>
      <c r="J29" s="251">
        <v>370905</v>
      </c>
      <c r="K29" s="251">
        <v>116519</v>
      </c>
      <c r="L29" s="158">
        <f t="shared" si="32"/>
        <v>487424</v>
      </c>
      <c r="M29" s="153">
        <f t="shared" si="33"/>
        <v>9.1965057263070502</v>
      </c>
      <c r="N29" s="251">
        <v>41447</v>
      </c>
      <c r="O29" s="251">
        <v>1296</v>
      </c>
      <c r="P29" s="268">
        <v>0</v>
      </c>
      <c r="Q29" s="158">
        <v>42743</v>
      </c>
      <c r="R29" s="153">
        <f t="shared" si="34"/>
        <v>0.80645648195317066</v>
      </c>
      <c r="S29" s="268">
        <v>184296</v>
      </c>
      <c r="T29" s="251">
        <v>714463</v>
      </c>
      <c r="U29" s="251">
        <v>0</v>
      </c>
      <c r="V29" s="251">
        <v>714463</v>
      </c>
      <c r="W29" s="153">
        <f t="shared" si="35"/>
        <v>13.480179619252468</v>
      </c>
      <c r="X29" s="154">
        <f t="shared" si="36"/>
        <v>0.68222427193570556</v>
      </c>
      <c r="Y29" s="154">
        <f t="shared" si="37"/>
        <v>5.9825351347795479E-2</v>
      </c>
      <c r="Z29" s="154">
        <f t="shared" si="38"/>
        <v>0.25795037671649895</v>
      </c>
      <c r="AA29" s="154">
        <f t="shared" si="39"/>
        <v>0</v>
      </c>
      <c r="AB29" s="251">
        <v>32532</v>
      </c>
      <c r="AE29" s="251"/>
      <c r="AF29" s="251">
        <v>714463</v>
      </c>
      <c r="AG29" s="251">
        <v>376600</v>
      </c>
      <c r="AH29" s="251"/>
      <c r="AI29" s="158">
        <f t="shared" si="8"/>
        <v>1091063</v>
      </c>
      <c r="AJ29" s="153">
        <f t="shared" si="40"/>
        <v>20.585705930076792</v>
      </c>
      <c r="AK29" s="251">
        <v>115182</v>
      </c>
      <c r="AL29" s="251">
        <v>0</v>
      </c>
      <c r="AM29" s="251">
        <v>65289</v>
      </c>
      <c r="AN29" s="251"/>
      <c r="AO29" s="158">
        <f t="shared" si="41"/>
        <v>65289</v>
      </c>
      <c r="AP29" s="251">
        <v>719449</v>
      </c>
      <c r="AQ29" s="155">
        <f t="shared" si="42"/>
        <v>13.57425331597517</v>
      </c>
      <c r="AR29" s="251"/>
      <c r="AS29" s="268">
        <v>0</v>
      </c>
      <c r="AT29" s="251">
        <v>0</v>
      </c>
      <c r="AU29" s="268">
        <v>0</v>
      </c>
      <c r="AV29" s="268">
        <v>0</v>
      </c>
      <c r="AW29" s="251"/>
      <c r="AX29" s="268">
        <v>0</v>
      </c>
      <c r="AY29" s="158">
        <f t="shared" si="43"/>
        <v>0</v>
      </c>
      <c r="AZ29" s="249">
        <v>97347</v>
      </c>
      <c r="BA29" s="152">
        <f t="shared" si="13"/>
        <v>1.8367011943170883</v>
      </c>
      <c r="BB29" s="269">
        <v>1627</v>
      </c>
      <c r="BC29" s="269">
        <v>1627</v>
      </c>
      <c r="BD29" s="269">
        <v>1556</v>
      </c>
      <c r="BE29" s="269">
        <v>1752</v>
      </c>
      <c r="BF29" s="269">
        <v>71999</v>
      </c>
      <c r="BG29" s="269">
        <v>1</v>
      </c>
      <c r="BH29" s="269">
        <v>89</v>
      </c>
      <c r="BI29" s="249">
        <v>0</v>
      </c>
      <c r="BJ29" s="159">
        <f t="shared" si="44"/>
        <v>90</v>
      </c>
      <c r="BK29" s="269">
        <v>187365</v>
      </c>
      <c r="BL29" s="152">
        <f t="shared" si="15"/>
        <v>3.5351219788305883</v>
      </c>
      <c r="BM29" s="269">
        <v>84</v>
      </c>
      <c r="BN29" s="249">
        <v>4983</v>
      </c>
      <c r="BO29" s="152">
        <f t="shared" si="16"/>
        <v>9.4017094017094016E-2</v>
      </c>
      <c r="BP29" s="249">
        <v>12085</v>
      </c>
      <c r="BQ29" s="249">
        <v>0</v>
      </c>
      <c r="BR29" s="276">
        <f t="shared" si="45"/>
        <v>36641</v>
      </c>
      <c r="BS29" s="276">
        <v>6490</v>
      </c>
      <c r="BT29" s="269">
        <v>43131</v>
      </c>
      <c r="BU29" s="152">
        <f t="shared" si="17"/>
        <v>0.81377709854531044</v>
      </c>
      <c r="BV29" s="151">
        <f t="shared" si="46"/>
        <v>3450.48</v>
      </c>
      <c r="BW29" s="152">
        <f t="shared" si="19"/>
        <v>9.5317127071823204</v>
      </c>
      <c r="BX29" s="152">
        <f t="shared" si="20"/>
        <v>0.48988005997001499</v>
      </c>
      <c r="BY29" s="152">
        <f t="shared" si="47"/>
        <v>0.23019774237450966</v>
      </c>
      <c r="BZ29" s="249">
        <v>286</v>
      </c>
      <c r="CA29" s="249">
        <v>0</v>
      </c>
      <c r="CB29" s="249">
        <v>26</v>
      </c>
      <c r="CC29" s="156">
        <f t="shared" si="48"/>
        <v>312</v>
      </c>
      <c r="CD29" s="249">
        <v>8255</v>
      </c>
      <c r="CE29" s="249">
        <v>0</v>
      </c>
      <c r="CF29" s="249">
        <v>402</v>
      </c>
      <c r="CG29" s="159">
        <f t="shared" si="49"/>
        <v>8657</v>
      </c>
      <c r="CH29" s="152">
        <f t="shared" si="23"/>
        <v>0.16333654081998453</v>
      </c>
      <c r="CI29" s="249">
        <v>88044</v>
      </c>
      <c r="CJ29" s="152">
        <f t="shared" si="24"/>
        <v>1.6611762042225617</v>
      </c>
      <c r="CK29" s="269">
        <v>29714</v>
      </c>
      <c r="CL29" s="252" t="s">
        <v>25</v>
      </c>
      <c r="CM29" s="252" t="s">
        <v>25</v>
      </c>
      <c r="CN29" s="252" t="s">
        <v>25</v>
      </c>
      <c r="CO29" s="253">
        <v>2</v>
      </c>
      <c r="CP29" s="151">
        <f>C29/CO29</f>
        <v>26500.5</v>
      </c>
      <c r="CQ29" s="253">
        <v>0</v>
      </c>
      <c r="CR29" s="253">
        <v>10.5</v>
      </c>
      <c r="CS29" s="223">
        <f t="shared" si="50"/>
        <v>12.5</v>
      </c>
      <c r="CT29" s="151">
        <f t="shared" si="26"/>
        <v>4240.08</v>
      </c>
      <c r="CU29" s="249">
        <v>157</v>
      </c>
      <c r="CV29" s="251">
        <v>51600</v>
      </c>
      <c r="CW29" s="253">
        <v>40</v>
      </c>
      <c r="CX29" s="252" t="s">
        <v>25</v>
      </c>
      <c r="CY29" s="252" t="s">
        <v>25</v>
      </c>
      <c r="CZ29" s="249">
        <v>24</v>
      </c>
      <c r="DA29" s="249">
        <v>19</v>
      </c>
      <c r="DB29" s="249">
        <v>35</v>
      </c>
      <c r="DC29" s="249">
        <v>15953</v>
      </c>
      <c r="DD29" s="249">
        <v>35630</v>
      </c>
      <c r="DE29" s="249">
        <v>50073</v>
      </c>
      <c r="DF29" s="249">
        <v>4750</v>
      </c>
      <c r="DG29" s="249">
        <v>52</v>
      </c>
      <c r="DH29" s="253">
        <f t="shared" si="51"/>
        <v>8.962095054810286E-2</v>
      </c>
      <c r="DI29" s="249">
        <v>49</v>
      </c>
      <c r="DJ29" s="249">
        <v>49</v>
      </c>
      <c r="DL29" s="151">
        <v>4525</v>
      </c>
      <c r="DM29" s="248"/>
      <c r="DN29" s="252" t="s">
        <v>3081</v>
      </c>
      <c r="DO29" s="252" t="s">
        <v>1950</v>
      </c>
      <c r="DP29" s="252"/>
      <c r="DQ29" s="250"/>
      <c r="DR29" s="261" t="s">
        <v>3006</v>
      </c>
      <c r="DS29" s="248" t="s">
        <v>3006</v>
      </c>
      <c r="DT29" s="275">
        <v>43282</v>
      </c>
      <c r="DU29" s="275">
        <v>43646</v>
      </c>
      <c r="DV29" s="261" t="s">
        <v>3006</v>
      </c>
      <c r="DW29" s="152">
        <f t="shared" si="27"/>
        <v>0.22801456576291013</v>
      </c>
      <c r="DX29" s="152">
        <f t="shared" si="28"/>
        <v>0</v>
      </c>
      <c r="DY29" s="152">
        <f t="shared" si="29"/>
        <v>0.69132657874379733</v>
      </c>
      <c r="DZ29" s="152">
        <f t="shared" si="30"/>
        <v>0.12245051980151318</v>
      </c>
      <c r="EA29" s="153">
        <f t="shared" si="53"/>
        <v>0.85061363543077617</v>
      </c>
      <c r="EB29" s="243">
        <f t="shared" si="52"/>
        <v>0.19969183359013867</v>
      </c>
    </row>
    <row r="30" spans="1:132" ht="15" thickBot="1" x14ac:dyDescent="0.35">
      <c r="A30" s="261" t="s">
        <v>3155</v>
      </c>
      <c r="B30" s="388" t="s">
        <v>3222</v>
      </c>
      <c r="C30" s="263">
        <v>4611</v>
      </c>
      <c r="D30" s="250">
        <v>0</v>
      </c>
      <c r="E30" s="250">
        <v>0</v>
      </c>
      <c r="F30" s="249">
        <v>9366</v>
      </c>
      <c r="H30" s="151">
        <f t="shared" si="0"/>
        <v>9366</v>
      </c>
      <c r="I30" s="152">
        <v>2.0312299999999999</v>
      </c>
      <c r="J30" s="251">
        <v>195494</v>
      </c>
      <c r="K30" s="251">
        <v>101394</v>
      </c>
      <c r="L30" s="158">
        <f t="shared" si="32"/>
        <v>296888</v>
      </c>
      <c r="M30" s="153">
        <f t="shared" si="33"/>
        <v>64.386900889178051</v>
      </c>
      <c r="N30" s="251">
        <v>22754</v>
      </c>
      <c r="O30" s="251">
        <v>5576</v>
      </c>
      <c r="P30" s="268">
        <v>3600</v>
      </c>
      <c r="Q30" s="158">
        <v>31930</v>
      </c>
      <c r="R30" s="153">
        <f t="shared" si="34"/>
        <v>6.9247451745825197</v>
      </c>
      <c r="S30" s="268">
        <v>49501</v>
      </c>
      <c r="T30" s="251">
        <v>378319</v>
      </c>
      <c r="U30" s="251">
        <v>0</v>
      </c>
      <c r="V30" s="251">
        <v>378319</v>
      </c>
      <c r="W30" s="153">
        <f t="shared" si="35"/>
        <v>82.047061374972884</v>
      </c>
      <c r="X30" s="154">
        <f t="shared" si="36"/>
        <v>0.78475572202294885</v>
      </c>
      <c r="Y30" s="154">
        <f t="shared" si="37"/>
        <v>8.4399673291587263E-2</v>
      </c>
      <c r="Z30" s="154">
        <f t="shared" si="38"/>
        <v>0.13084460468546386</v>
      </c>
      <c r="AA30" s="154">
        <f t="shared" si="39"/>
        <v>0</v>
      </c>
      <c r="AB30" s="251">
        <v>442968</v>
      </c>
      <c r="AE30" s="251"/>
      <c r="AF30" s="251">
        <v>378319</v>
      </c>
      <c r="AG30" s="251">
        <v>10000</v>
      </c>
      <c r="AH30" s="251"/>
      <c r="AI30" s="158">
        <f t="shared" si="8"/>
        <v>388319</v>
      </c>
      <c r="AJ30" s="153">
        <f t="shared" si="40"/>
        <v>84.215788332248977</v>
      </c>
      <c r="AK30" s="251">
        <v>3601</v>
      </c>
      <c r="AL30" s="251">
        <v>1488</v>
      </c>
      <c r="AM30" s="251">
        <v>1100</v>
      </c>
      <c r="AN30" s="251"/>
      <c r="AO30" s="158">
        <f t="shared" si="41"/>
        <v>1100</v>
      </c>
      <c r="AP30" s="251">
        <v>384508</v>
      </c>
      <c r="AQ30" s="155">
        <f t="shared" si="42"/>
        <v>83.389286488831061</v>
      </c>
      <c r="AR30" s="251"/>
      <c r="AS30" s="268">
        <v>0</v>
      </c>
      <c r="AT30" s="251">
        <v>0</v>
      </c>
      <c r="AU30" s="268">
        <v>0</v>
      </c>
      <c r="AV30" s="268">
        <v>0</v>
      </c>
      <c r="AW30" s="251"/>
      <c r="AX30" s="268">
        <v>421443</v>
      </c>
      <c r="AY30" s="158">
        <f t="shared" si="43"/>
        <v>421443</v>
      </c>
      <c r="AZ30" s="249">
        <v>30107</v>
      </c>
      <c r="BA30" s="152">
        <f t="shared" si="13"/>
        <v>6.5293862502710907</v>
      </c>
      <c r="BB30" s="269">
        <v>540</v>
      </c>
      <c r="BC30" s="269">
        <v>540</v>
      </c>
      <c r="BD30" s="269">
        <v>1490</v>
      </c>
      <c r="BE30" s="269">
        <v>2067</v>
      </c>
      <c r="BF30" s="269">
        <v>107790</v>
      </c>
      <c r="BG30" s="269">
        <v>3</v>
      </c>
      <c r="BH30" s="269">
        <v>89</v>
      </c>
      <c r="BI30" s="249">
        <v>0</v>
      </c>
      <c r="BJ30" s="159">
        <f t="shared" si="44"/>
        <v>92</v>
      </c>
      <c r="BK30" s="269">
        <v>159397</v>
      </c>
      <c r="BL30" s="152">
        <f t="shared" si="15"/>
        <v>34.568857080893515</v>
      </c>
      <c r="BM30" s="269">
        <v>0</v>
      </c>
      <c r="BN30" s="249">
        <v>4056</v>
      </c>
      <c r="BO30" s="152">
        <f t="shared" si="16"/>
        <v>0.87963565387117759</v>
      </c>
      <c r="BP30" s="249">
        <v>12041</v>
      </c>
      <c r="BQ30" s="249">
        <v>0</v>
      </c>
      <c r="BR30" s="276">
        <f t="shared" si="45"/>
        <v>16208</v>
      </c>
      <c r="BS30" s="276">
        <v>14364</v>
      </c>
      <c r="BT30" s="269">
        <v>30572</v>
      </c>
      <c r="BU30" s="152">
        <f t="shared" si="17"/>
        <v>6.6302320537844288</v>
      </c>
      <c r="BV30" s="151">
        <f t="shared" si="46"/>
        <v>6264.7540983606559</v>
      </c>
      <c r="BW30" s="152">
        <f t="shared" si="19"/>
        <v>13.86485260770975</v>
      </c>
      <c r="BX30" s="152">
        <f t="shared" si="20"/>
        <v>2.1119093672285163</v>
      </c>
      <c r="BY30" s="152">
        <f t="shared" si="47"/>
        <v>0.19179783810234821</v>
      </c>
      <c r="BZ30" s="249">
        <v>170</v>
      </c>
      <c r="CA30" s="249">
        <v>3</v>
      </c>
      <c r="CB30" s="249">
        <v>82</v>
      </c>
      <c r="CC30" s="156">
        <f t="shared" si="48"/>
        <v>255</v>
      </c>
      <c r="CD30" s="249">
        <v>2277</v>
      </c>
      <c r="CE30" s="249">
        <v>36</v>
      </c>
      <c r="CF30" s="249">
        <v>803</v>
      </c>
      <c r="CG30" s="159">
        <f t="shared" si="49"/>
        <v>3116</v>
      </c>
      <c r="CH30" s="152">
        <f t="shared" si="23"/>
        <v>0.67577531988722617</v>
      </c>
      <c r="CI30" s="249">
        <v>14476</v>
      </c>
      <c r="CJ30" s="152">
        <f t="shared" si="24"/>
        <v>3.1394491433528517</v>
      </c>
      <c r="CK30" s="269">
        <v>42896</v>
      </c>
      <c r="CL30" s="252" t="s">
        <v>25</v>
      </c>
      <c r="CM30" s="252" t="s">
        <v>25</v>
      </c>
      <c r="CN30" s="252" t="s">
        <v>25</v>
      </c>
      <c r="CO30" s="253">
        <v>2</v>
      </c>
      <c r="CP30" s="253">
        <v>0</v>
      </c>
      <c r="CQ30" s="253">
        <v>0</v>
      </c>
      <c r="CR30" s="253">
        <v>2.88</v>
      </c>
      <c r="CS30" s="223">
        <f t="shared" si="50"/>
        <v>4.88</v>
      </c>
      <c r="CT30" s="151">
        <f t="shared" si="26"/>
        <v>944.87704918032784</v>
      </c>
      <c r="CU30" s="249">
        <v>100</v>
      </c>
      <c r="CV30" s="251">
        <v>62874.239999999998</v>
      </c>
      <c r="CW30" s="253">
        <v>28</v>
      </c>
      <c r="CX30" s="252" t="s">
        <v>25</v>
      </c>
      <c r="CY30" s="252" t="s">
        <v>25</v>
      </c>
      <c r="CZ30" s="249">
        <v>1087</v>
      </c>
      <c r="DA30" s="249">
        <v>1304</v>
      </c>
      <c r="DB30" s="249">
        <v>27</v>
      </c>
      <c r="DC30" s="249">
        <v>2864</v>
      </c>
      <c r="DD30" s="249">
        <v>11235</v>
      </c>
      <c r="DE30" s="249">
        <v>10870</v>
      </c>
      <c r="DF30" s="249">
        <v>3068</v>
      </c>
      <c r="DG30" s="249">
        <v>52</v>
      </c>
      <c r="DH30" s="253">
        <f t="shared" si="51"/>
        <v>0.66536543049230101</v>
      </c>
      <c r="DI30" s="249">
        <v>36</v>
      </c>
      <c r="DJ30" s="249">
        <v>36</v>
      </c>
      <c r="DL30" s="151">
        <v>2205</v>
      </c>
      <c r="DM30" s="248"/>
      <c r="DN30" s="252" t="s">
        <v>3082</v>
      </c>
      <c r="DO30" s="252" t="s">
        <v>3053</v>
      </c>
      <c r="DP30" s="252"/>
      <c r="DQ30" s="250"/>
      <c r="DR30" s="261" t="s">
        <v>3155</v>
      </c>
      <c r="DS30" s="248" t="s">
        <v>3007</v>
      </c>
      <c r="DT30" s="275">
        <v>43282</v>
      </c>
      <c r="DU30" s="275">
        <v>43646</v>
      </c>
      <c r="DV30" s="261" t="s">
        <v>3155</v>
      </c>
      <c r="DW30" s="152">
        <f t="shared" si="27"/>
        <v>2.6113641292561267</v>
      </c>
      <c r="DX30" s="152">
        <f t="shared" si="28"/>
        <v>0</v>
      </c>
      <c r="DY30" s="152">
        <f t="shared" si="29"/>
        <v>3.5150726523530689</v>
      </c>
      <c r="DZ30" s="152">
        <f t="shared" si="30"/>
        <v>3.1151594014313599</v>
      </c>
      <c r="EA30" s="153">
        <f t="shared" si="53"/>
        <v>0.80547983999433603</v>
      </c>
      <c r="EB30" s="243">
        <f t="shared" si="52"/>
        <v>0.38819270398217764</v>
      </c>
    </row>
    <row r="31" spans="1:132" ht="15" thickBot="1" x14ac:dyDescent="0.35">
      <c r="A31" s="261" t="s">
        <v>3156</v>
      </c>
      <c r="B31" s="388" t="s">
        <v>3223</v>
      </c>
      <c r="C31" s="263">
        <v>95251</v>
      </c>
      <c r="D31" s="250">
        <v>6</v>
      </c>
      <c r="E31" s="250">
        <v>0</v>
      </c>
      <c r="F31" s="249">
        <v>84456</v>
      </c>
      <c r="H31" s="151">
        <f t="shared" si="0"/>
        <v>84456</v>
      </c>
      <c r="I31" s="152">
        <v>0.88666999999999996</v>
      </c>
      <c r="J31" s="251">
        <v>1562638</v>
      </c>
      <c r="K31" s="251">
        <v>739443</v>
      </c>
      <c r="L31" s="158">
        <f t="shared" si="32"/>
        <v>2302081</v>
      </c>
      <c r="M31" s="153">
        <f t="shared" si="33"/>
        <v>24.168575657998343</v>
      </c>
      <c r="N31" s="251">
        <v>167546</v>
      </c>
      <c r="O31" s="251">
        <v>23085</v>
      </c>
      <c r="P31" s="268">
        <v>40797</v>
      </c>
      <c r="Q31" s="158">
        <v>231428</v>
      </c>
      <c r="R31" s="153">
        <f t="shared" si="34"/>
        <v>2.4296647804222529</v>
      </c>
      <c r="S31" s="268">
        <v>528243</v>
      </c>
      <c r="T31" s="251">
        <v>3061752</v>
      </c>
      <c r="U31" s="251">
        <v>0</v>
      </c>
      <c r="V31" s="251">
        <v>3061752</v>
      </c>
      <c r="W31" s="153">
        <f t="shared" si="35"/>
        <v>32.144040482514619</v>
      </c>
      <c r="X31" s="154">
        <f t="shared" si="36"/>
        <v>0.75188356209124707</v>
      </c>
      <c r="Y31" s="154">
        <f t="shared" si="37"/>
        <v>7.5586788217987616E-2</v>
      </c>
      <c r="Z31" s="154">
        <f t="shared" si="38"/>
        <v>0.17252964969076529</v>
      </c>
      <c r="AA31" s="154">
        <f t="shared" si="39"/>
        <v>0</v>
      </c>
      <c r="AB31" s="251">
        <v>0</v>
      </c>
      <c r="AE31" s="251"/>
      <c r="AF31" s="251">
        <v>3061752</v>
      </c>
      <c r="AG31" s="251">
        <v>2389297</v>
      </c>
      <c r="AH31" s="251"/>
      <c r="AI31" s="158">
        <f t="shared" si="8"/>
        <v>5451049</v>
      </c>
      <c r="AJ31" s="153">
        <f t="shared" si="40"/>
        <v>57.228260070760413</v>
      </c>
      <c r="AK31" s="251">
        <v>325155</v>
      </c>
      <c r="AL31" s="251">
        <v>19815</v>
      </c>
      <c r="AM31" s="251">
        <v>579472</v>
      </c>
      <c r="AN31" s="251"/>
      <c r="AO31" s="158">
        <f t="shared" si="41"/>
        <v>579472</v>
      </c>
      <c r="AP31" s="251">
        <v>3330739</v>
      </c>
      <c r="AQ31" s="155">
        <f t="shared" si="42"/>
        <v>34.968021333109363</v>
      </c>
      <c r="AR31" s="251"/>
      <c r="AS31" s="268">
        <v>0</v>
      </c>
      <c r="AT31" s="251">
        <v>0</v>
      </c>
      <c r="AU31" s="268">
        <v>0</v>
      </c>
      <c r="AV31" s="268">
        <v>0</v>
      </c>
      <c r="AW31" s="251"/>
      <c r="AX31" s="268">
        <v>0</v>
      </c>
      <c r="AY31" s="158">
        <f t="shared" si="43"/>
        <v>0</v>
      </c>
      <c r="AZ31" s="249">
        <v>232407</v>
      </c>
      <c r="BA31" s="152">
        <f t="shared" si="13"/>
        <v>2.4399428877387113</v>
      </c>
      <c r="BB31" s="269">
        <v>10083</v>
      </c>
      <c r="BC31" s="269">
        <v>10083</v>
      </c>
      <c r="BD31" s="269">
        <v>18163</v>
      </c>
      <c r="BE31" s="269">
        <v>2067</v>
      </c>
      <c r="BF31" s="269">
        <v>110192</v>
      </c>
      <c r="BG31" s="269">
        <v>2</v>
      </c>
      <c r="BH31" s="269">
        <v>89</v>
      </c>
      <c r="BI31" s="249">
        <v>0</v>
      </c>
      <c r="BJ31" s="159">
        <f t="shared" si="44"/>
        <v>91</v>
      </c>
      <c r="BK31" s="269">
        <v>394914</v>
      </c>
      <c r="BL31" s="152">
        <f t="shared" si="15"/>
        <v>4.1460352122287434</v>
      </c>
      <c r="BM31" s="269">
        <v>327</v>
      </c>
      <c r="BN31" s="249">
        <v>76022</v>
      </c>
      <c r="BO31" s="152">
        <f t="shared" si="16"/>
        <v>0.79812285435323516</v>
      </c>
      <c r="BP31" s="249">
        <v>91844</v>
      </c>
      <c r="BQ31" s="249">
        <v>0</v>
      </c>
      <c r="BR31" s="276">
        <f t="shared" si="45"/>
        <v>254070</v>
      </c>
      <c r="BS31" s="276">
        <v>106862</v>
      </c>
      <c r="BT31" s="269">
        <v>360932</v>
      </c>
      <c r="BU31" s="152">
        <f t="shared" si="17"/>
        <v>3.7892725535689915</v>
      </c>
      <c r="BV31" s="151">
        <f t="shared" si="46"/>
        <v>7218.64</v>
      </c>
      <c r="BW31" s="152">
        <f t="shared" si="19"/>
        <v>37.3056330749354</v>
      </c>
      <c r="BX31" s="152">
        <f t="shared" si="20"/>
        <v>1.4010356419194312</v>
      </c>
      <c r="BY31" s="152">
        <f t="shared" si="47"/>
        <v>0.91395088550925008</v>
      </c>
      <c r="BZ31" s="249">
        <v>1047</v>
      </c>
      <c r="CA31" s="249">
        <v>66</v>
      </c>
      <c r="CB31" s="249">
        <v>588</v>
      </c>
      <c r="CC31" s="156">
        <f t="shared" si="48"/>
        <v>1701</v>
      </c>
      <c r="CD31" s="249">
        <v>25495</v>
      </c>
      <c r="CE31" s="249">
        <v>852</v>
      </c>
      <c r="CF31" s="249">
        <v>7747</v>
      </c>
      <c r="CG31" s="159">
        <f t="shared" si="49"/>
        <v>34094</v>
      </c>
      <c r="CH31" s="152">
        <f t="shared" si="23"/>
        <v>0.35793849933334032</v>
      </c>
      <c r="CI31" s="249">
        <v>257618</v>
      </c>
      <c r="CJ31" s="152">
        <f t="shared" si="24"/>
        <v>2.7046225236480459</v>
      </c>
      <c r="CK31" s="269">
        <v>46486</v>
      </c>
      <c r="CL31" s="252" t="s">
        <v>25</v>
      </c>
      <c r="CM31" s="252" t="s">
        <v>25</v>
      </c>
      <c r="CN31" s="252" t="s">
        <v>25</v>
      </c>
      <c r="CO31" s="253">
        <v>7</v>
      </c>
      <c r="CP31" s="253">
        <v>0</v>
      </c>
      <c r="CQ31" s="253">
        <v>0</v>
      </c>
      <c r="CR31" s="253">
        <v>43</v>
      </c>
      <c r="CS31" s="223">
        <f t="shared" si="50"/>
        <v>50</v>
      </c>
      <c r="CT31" s="151">
        <f t="shared" si="26"/>
        <v>1905.02</v>
      </c>
      <c r="CU31" s="249">
        <v>3204</v>
      </c>
      <c r="CV31" s="251">
        <v>80496</v>
      </c>
      <c r="CW31" s="253">
        <v>40</v>
      </c>
      <c r="CX31" s="252" t="s">
        <v>25</v>
      </c>
      <c r="CY31" s="252" t="s">
        <v>25</v>
      </c>
      <c r="CZ31" s="249">
        <v>23182</v>
      </c>
      <c r="DA31" s="249">
        <v>13953</v>
      </c>
      <c r="DB31" s="249">
        <v>103</v>
      </c>
      <c r="DC31" s="249">
        <v>26141</v>
      </c>
      <c r="DD31" s="249">
        <v>182584</v>
      </c>
      <c r="DE31" s="249">
        <v>130608</v>
      </c>
      <c r="DF31" s="249">
        <v>12638</v>
      </c>
      <c r="DG31" s="249">
        <v>52</v>
      </c>
      <c r="DH31" s="253">
        <f t="shared" si="51"/>
        <v>0.13268102172155674</v>
      </c>
      <c r="DI31" s="249">
        <v>44</v>
      </c>
      <c r="DJ31" s="249">
        <v>44</v>
      </c>
      <c r="DL31" s="151">
        <v>9675</v>
      </c>
      <c r="DM31" s="248"/>
      <c r="DN31" s="252" t="s">
        <v>3083</v>
      </c>
      <c r="DO31" s="252" t="s">
        <v>3052</v>
      </c>
      <c r="DP31" s="252"/>
      <c r="DQ31" s="250"/>
      <c r="DR31" s="261" t="s">
        <v>3156</v>
      </c>
      <c r="DS31" s="248" t="s">
        <v>3008</v>
      </c>
      <c r="DT31" s="275">
        <v>43282</v>
      </c>
      <c r="DU31" s="275">
        <v>43646</v>
      </c>
      <c r="DV31" s="261" t="s">
        <v>3156</v>
      </c>
      <c r="DW31" s="152">
        <f t="shared" si="27"/>
        <v>0.96423134665252863</v>
      </c>
      <c r="DX31" s="152">
        <f t="shared" si="28"/>
        <v>0</v>
      </c>
      <c r="DY31" s="152">
        <f t="shared" si="29"/>
        <v>2.6673735708811455</v>
      </c>
      <c r="DZ31" s="152">
        <f t="shared" si="30"/>
        <v>1.1218989826878458</v>
      </c>
      <c r="EA31" s="153">
        <f t="shared" si="53"/>
        <v>0.48435738362714431</v>
      </c>
      <c r="EB31" s="243">
        <f t="shared" si="52"/>
        <v>0.21602627688046266</v>
      </c>
    </row>
    <row r="32" spans="1:132" ht="15" thickBot="1" x14ac:dyDescent="0.35">
      <c r="A32" s="261" t="s">
        <v>3009</v>
      </c>
      <c r="B32" s="388" t="s">
        <v>3224</v>
      </c>
      <c r="C32" s="263">
        <v>377399</v>
      </c>
      <c r="D32" s="250">
        <v>9</v>
      </c>
      <c r="E32" s="250">
        <v>2</v>
      </c>
      <c r="F32" s="249">
        <v>199450</v>
      </c>
      <c r="H32" s="151">
        <f t="shared" si="0"/>
        <v>199450</v>
      </c>
      <c r="I32" s="152">
        <v>0.55896000000000001</v>
      </c>
      <c r="J32" s="251">
        <v>3964414</v>
      </c>
      <c r="K32" s="251">
        <v>1776622</v>
      </c>
      <c r="L32" s="158">
        <f t="shared" si="32"/>
        <v>5741036</v>
      </c>
      <c r="M32" s="153">
        <f t="shared" si="33"/>
        <v>15.212112379736036</v>
      </c>
      <c r="N32" s="251">
        <v>633269</v>
      </c>
      <c r="O32" s="251">
        <v>287738</v>
      </c>
      <c r="P32" s="268">
        <v>133653</v>
      </c>
      <c r="Q32" s="158">
        <v>1054660</v>
      </c>
      <c r="R32" s="153">
        <f t="shared" si="34"/>
        <v>2.7945490051642956</v>
      </c>
      <c r="S32" s="268">
        <v>1825255</v>
      </c>
      <c r="T32" s="251">
        <v>8620951</v>
      </c>
      <c r="U32" s="251">
        <v>0</v>
      </c>
      <c r="V32" s="251">
        <v>8620951</v>
      </c>
      <c r="W32" s="153">
        <f t="shared" si="35"/>
        <v>22.843067946655925</v>
      </c>
      <c r="X32" s="154">
        <f t="shared" si="36"/>
        <v>0.66593998736334314</v>
      </c>
      <c r="Y32" s="154">
        <f t="shared" si="37"/>
        <v>0.12233685123601792</v>
      </c>
      <c r="Z32" s="154">
        <f t="shared" si="38"/>
        <v>0.21172316140063899</v>
      </c>
      <c r="AA32" s="154">
        <f t="shared" si="39"/>
        <v>0</v>
      </c>
      <c r="AB32" s="251">
        <v>0</v>
      </c>
      <c r="AE32" s="251"/>
      <c r="AF32" s="251">
        <v>8620951</v>
      </c>
      <c r="AG32" s="251">
        <v>8620951</v>
      </c>
      <c r="AH32" s="251"/>
      <c r="AI32" s="158">
        <f t="shared" si="8"/>
        <v>17241902</v>
      </c>
      <c r="AJ32" s="153">
        <f t="shared" si="40"/>
        <v>45.68613589331185</v>
      </c>
      <c r="AK32" s="251">
        <v>307432</v>
      </c>
      <c r="AL32" s="251">
        <v>61447</v>
      </c>
      <c r="AM32" s="251">
        <v>0</v>
      </c>
      <c r="AN32" s="251"/>
      <c r="AO32" s="158">
        <f t="shared" si="41"/>
        <v>0</v>
      </c>
      <c r="AP32" s="251">
        <v>8989830</v>
      </c>
      <c r="AQ32" s="155">
        <f t="shared" si="42"/>
        <v>23.820492370144066</v>
      </c>
      <c r="AR32" s="251"/>
      <c r="AS32" s="268">
        <v>0</v>
      </c>
      <c r="AT32" s="251">
        <v>0</v>
      </c>
      <c r="AU32" s="268">
        <v>0</v>
      </c>
      <c r="AV32" s="268">
        <v>0</v>
      </c>
      <c r="AW32" s="251"/>
      <c r="AX32" s="268">
        <v>0</v>
      </c>
      <c r="AY32" s="158">
        <f t="shared" si="43"/>
        <v>0</v>
      </c>
      <c r="AZ32" s="249">
        <v>540595</v>
      </c>
      <c r="BA32" s="152">
        <f t="shared" si="13"/>
        <v>1.4324229793931622</v>
      </c>
      <c r="BB32" s="269">
        <v>30804</v>
      </c>
      <c r="BC32" s="269">
        <v>30804</v>
      </c>
      <c r="BD32" s="269">
        <v>36901</v>
      </c>
      <c r="BE32" s="269">
        <v>2402</v>
      </c>
      <c r="BF32" s="269">
        <v>193012</v>
      </c>
      <c r="BG32" s="269">
        <v>28</v>
      </c>
      <c r="BH32" s="269">
        <v>89</v>
      </c>
      <c r="BI32" s="249">
        <v>0</v>
      </c>
      <c r="BJ32" s="159">
        <f t="shared" si="44"/>
        <v>117</v>
      </c>
      <c r="BK32" s="269">
        <v>849043</v>
      </c>
      <c r="BL32" s="152">
        <f t="shared" si="15"/>
        <v>2.2497224422958197</v>
      </c>
      <c r="BM32" s="269">
        <v>987</v>
      </c>
      <c r="BN32" s="249">
        <v>303222</v>
      </c>
      <c r="BO32" s="152">
        <f t="shared" si="16"/>
        <v>0.80345204942249449</v>
      </c>
      <c r="BP32" s="249">
        <v>355708</v>
      </c>
      <c r="BQ32" s="249">
        <v>0</v>
      </c>
      <c r="BR32" s="276">
        <f t="shared" si="45"/>
        <v>998377</v>
      </c>
      <c r="BS32" s="276">
        <v>1860664</v>
      </c>
      <c r="BT32" s="269">
        <v>2859041</v>
      </c>
      <c r="BU32" s="152">
        <f t="shared" si="17"/>
        <v>7.5756454044658303</v>
      </c>
      <c r="BV32" s="151">
        <f t="shared" si="46"/>
        <v>27061.438712730713</v>
      </c>
      <c r="BW32" s="152">
        <f t="shared" si="19"/>
        <v>123.26640510476848</v>
      </c>
      <c r="BX32" s="152">
        <f t="shared" si="20"/>
        <v>2.7464476328439305</v>
      </c>
      <c r="BY32" s="152">
        <f t="shared" si="47"/>
        <v>3.3673689082885083</v>
      </c>
      <c r="BZ32" s="249">
        <v>1704</v>
      </c>
      <c r="CA32" s="249">
        <v>688</v>
      </c>
      <c r="CB32" s="249">
        <v>3687</v>
      </c>
      <c r="CC32" s="156">
        <f t="shared" si="48"/>
        <v>6079</v>
      </c>
      <c r="CD32" s="249">
        <v>50669</v>
      </c>
      <c r="CE32" s="249">
        <v>5761</v>
      </c>
      <c r="CF32" s="249">
        <v>40715</v>
      </c>
      <c r="CG32" s="159">
        <f t="shared" si="49"/>
        <v>97145</v>
      </c>
      <c r="CH32" s="152">
        <f t="shared" si="23"/>
        <v>0.25740661739962217</v>
      </c>
      <c r="CI32" s="249">
        <v>1040996</v>
      </c>
      <c r="CJ32" s="152">
        <f t="shared" si="24"/>
        <v>2.7583432918476203</v>
      </c>
      <c r="CK32" s="269">
        <v>118619</v>
      </c>
      <c r="CL32" s="252" t="s">
        <v>25</v>
      </c>
      <c r="CM32" s="252" t="s">
        <v>25</v>
      </c>
      <c r="CN32" s="252" t="s">
        <v>25</v>
      </c>
      <c r="CO32" s="253">
        <v>45.5</v>
      </c>
      <c r="CP32" s="151">
        <f t="shared" ref="CP32:CP36" si="55">C32/CO32</f>
        <v>8294.4835164835167</v>
      </c>
      <c r="CQ32" s="253">
        <v>1</v>
      </c>
      <c r="CR32" s="253">
        <v>59.15</v>
      </c>
      <c r="CS32" s="223">
        <f t="shared" si="50"/>
        <v>105.65</v>
      </c>
      <c r="CT32" s="151">
        <f t="shared" si="26"/>
        <v>3572.1628017037388</v>
      </c>
      <c r="CU32" s="249" t="s">
        <v>2935</v>
      </c>
      <c r="CV32" s="251">
        <v>142064</v>
      </c>
      <c r="CW32" s="253">
        <v>40</v>
      </c>
      <c r="CX32" s="252" t="s">
        <v>25</v>
      </c>
      <c r="CY32" s="252" t="s">
        <v>25</v>
      </c>
      <c r="CZ32" s="249">
        <v>23877</v>
      </c>
      <c r="DA32" s="249">
        <v>66707</v>
      </c>
      <c r="DB32" s="249">
        <v>224</v>
      </c>
      <c r="DC32" s="249">
        <v>127699</v>
      </c>
      <c r="DD32" s="249" t="s">
        <v>3137</v>
      </c>
      <c r="DE32" s="249">
        <v>993294</v>
      </c>
      <c r="DF32" s="249">
        <v>32715</v>
      </c>
      <c r="DG32" s="249">
        <v>52</v>
      </c>
      <c r="DH32" s="253">
        <f t="shared" si="51"/>
        <v>8.6685444317552512E-2</v>
      </c>
      <c r="DI32" s="249">
        <v>46</v>
      </c>
      <c r="DJ32" s="249">
        <v>46</v>
      </c>
      <c r="DL32" s="151">
        <v>23194</v>
      </c>
      <c r="DM32" s="248"/>
      <c r="DN32" s="252" t="s">
        <v>3084</v>
      </c>
      <c r="DO32" s="252" t="s">
        <v>1950</v>
      </c>
      <c r="DP32" s="252"/>
      <c r="DQ32" s="250"/>
      <c r="DR32" s="261" t="s">
        <v>3009</v>
      </c>
      <c r="DS32" s="248" t="s">
        <v>3009</v>
      </c>
      <c r="DT32" s="275">
        <v>43282</v>
      </c>
      <c r="DU32" s="275">
        <v>43646</v>
      </c>
      <c r="DV32" s="261" t="s">
        <v>3009</v>
      </c>
      <c r="DW32" s="152">
        <f t="shared" si="27"/>
        <v>0.94252501993910953</v>
      </c>
      <c r="DX32" s="152">
        <f t="shared" si="28"/>
        <v>0</v>
      </c>
      <c r="DY32" s="152">
        <f t="shared" si="29"/>
        <v>2.6454150646928052</v>
      </c>
      <c r="DZ32" s="152">
        <f t="shared" si="30"/>
        <v>4.9302303397730256</v>
      </c>
      <c r="EA32" s="153">
        <f t="shared" si="53"/>
        <v>0.4676730042796427</v>
      </c>
      <c r="EB32" s="243">
        <f t="shared" si="52"/>
        <v>0.15464264370138833</v>
      </c>
    </row>
    <row r="33" spans="1:132" ht="15" thickBot="1" x14ac:dyDescent="0.35">
      <c r="A33" s="261" t="s">
        <v>3010</v>
      </c>
      <c r="B33" s="388" t="s">
        <v>3225</v>
      </c>
      <c r="C33" s="263">
        <v>67723</v>
      </c>
      <c r="D33" s="250">
        <v>3</v>
      </c>
      <c r="E33" s="250">
        <v>1</v>
      </c>
      <c r="F33" s="249">
        <v>16493</v>
      </c>
      <c r="H33" s="151">
        <f t="shared" si="0"/>
        <v>16493</v>
      </c>
      <c r="I33" s="152">
        <v>0.24432000000000001</v>
      </c>
      <c r="J33" s="251">
        <v>585863</v>
      </c>
      <c r="K33" s="251">
        <v>218500</v>
      </c>
      <c r="L33" s="158">
        <f t="shared" si="32"/>
        <v>804363</v>
      </c>
      <c r="M33" s="153">
        <f t="shared" si="33"/>
        <v>11.877249974159444</v>
      </c>
      <c r="N33" s="251">
        <v>58832</v>
      </c>
      <c r="O33" s="251">
        <v>10300</v>
      </c>
      <c r="P33" s="268">
        <v>6174</v>
      </c>
      <c r="Q33" s="158">
        <v>75306</v>
      </c>
      <c r="R33" s="153">
        <f t="shared" si="34"/>
        <v>1.1119708223203344</v>
      </c>
      <c r="S33" s="268">
        <v>178359</v>
      </c>
      <c r="T33" s="251">
        <v>1058028</v>
      </c>
      <c r="U33" s="251">
        <v>7552</v>
      </c>
      <c r="V33" s="251">
        <v>1058028</v>
      </c>
      <c r="W33" s="153">
        <f t="shared" si="35"/>
        <v>15.622875537114423</v>
      </c>
      <c r="X33" s="154">
        <f t="shared" si="36"/>
        <v>0.76024736585421182</v>
      </c>
      <c r="Y33" s="154">
        <f t="shared" si="37"/>
        <v>7.1175810091982442E-2</v>
      </c>
      <c r="Z33" s="154">
        <f t="shared" si="38"/>
        <v>0.16857682405380575</v>
      </c>
      <c r="AA33" s="154">
        <f t="shared" si="39"/>
        <v>7.1378073170086237E-3</v>
      </c>
      <c r="AB33" s="251">
        <v>0</v>
      </c>
      <c r="AE33" s="251"/>
      <c r="AF33" s="251">
        <v>1058028</v>
      </c>
      <c r="AG33" s="251">
        <v>985310</v>
      </c>
      <c r="AH33" s="251"/>
      <c r="AI33" s="158">
        <f t="shared" si="8"/>
        <v>2043338</v>
      </c>
      <c r="AJ33" s="153">
        <f t="shared" si="40"/>
        <v>30.17199474329253</v>
      </c>
      <c r="AK33" s="251">
        <v>115935</v>
      </c>
      <c r="AL33" s="251">
        <v>15116</v>
      </c>
      <c r="AM33" s="251">
        <v>0</v>
      </c>
      <c r="AN33" s="251"/>
      <c r="AO33" s="158">
        <f t="shared" si="41"/>
        <v>0</v>
      </c>
      <c r="AP33" s="251">
        <v>1119361</v>
      </c>
      <c r="AQ33" s="155">
        <f t="shared" si="42"/>
        <v>16.528520591231931</v>
      </c>
      <c r="AR33" s="251"/>
      <c r="AS33" s="268">
        <v>0</v>
      </c>
      <c r="AT33" s="251">
        <v>0</v>
      </c>
      <c r="AU33" s="268">
        <v>0</v>
      </c>
      <c r="AV33" s="268">
        <v>0</v>
      </c>
      <c r="AW33" s="251"/>
      <c r="AX33" s="268">
        <v>0</v>
      </c>
      <c r="AY33" s="158">
        <f t="shared" si="43"/>
        <v>0</v>
      </c>
      <c r="AZ33" s="249">
        <v>98404</v>
      </c>
      <c r="BA33" s="152">
        <f t="shared" si="13"/>
        <v>1.4530366345259365</v>
      </c>
      <c r="BB33" s="269">
        <v>1408</v>
      </c>
      <c r="BC33" s="269">
        <v>1408</v>
      </c>
      <c r="BD33" s="269">
        <v>5003</v>
      </c>
      <c r="BE33" s="269">
        <v>2067</v>
      </c>
      <c r="BF33" s="269">
        <v>107580</v>
      </c>
      <c r="BG33" s="269">
        <v>2</v>
      </c>
      <c r="BH33" s="269">
        <v>89</v>
      </c>
      <c r="BI33" s="249">
        <v>0</v>
      </c>
      <c r="BJ33" s="159">
        <f t="shared" si="44"/>
        <v>91</v>
      </c>
      <c r="BK33" s="269">
        <v>232738</v>
      </c>
      <c r="BL33" s="152">
        <f t="shared" si="15"/>
        <v>3.4366168066978724</v>
      </c>
      <c r="BM33" s="269">
        <v>139</v>
      </c>
      <c r="BN33" s="249">
        <v>8444</v>
      </c>
      <c r="BO33" s="152">
        <f t="shared" si="16"/>
        <v>0.12468437606130857</v>
      </c>
      <c r="BP33" s="249">
        <v>38957</v>
      </c>
      <c r="BQ33" s="249">
        <v>0</v>
      </c>
      <c r="BR33" s="276">
        <f t="shared" si="45"/>
        <v>92818</v>
      </c>
      <c r="BS33" s="276">
        <v>27201</v>
      </c>
      <c r="BT33" s="269">
        <v>120019</v>
      </c>
      <c r="BU33" s="152">
        <f t="shared" si="17"/>
        <v>1.7722044209500465</v>
      </c>
      <c r="BV33" s="151">
        <f t="shared" si="46"/>
        <v>8530.1350390902626</v>
      </c>
      <c r="BW33" s="152">
        <f t="shared" si="19"/>
        <v>15.750524934383202</v>
      </c>
      <c r="BX33" s="152">
        <f t="shared" si="20"/>
        <v>1.1499597577801626</v>
      </c>
      <c r="BY33" s="152">
        <f t="shared" si="47"/>
        <v>0.51568287086767095</v>
      </c>
      <c r="BZ33" s="249">
        <v>246</v>
      </c>
      <c r="CA33" s="249">
        <v>0</v>
      </c>
      <c r="CB33" s="249">
        <v>6</v>
      </c>
      <c r="CC33" s="156">
        <f t="shared" si="48"/>
        <v>252</v>
      </c>
      <c r="CD33" s="249">
        <v>1512</v>
      </c>
      <c r="CE33" s="249">
        <v>0</v>
      </c>
      <c r="CF33" s="249">
        <v>24</v>
      </c>
      <c r="CG33" s="159">
        <f t="shared" si="49"/>
        <v>1536</v>
      </c>
      <c r="CH33" s="152">
        <f t="shared" si="23"/>
        <v>2.2680625489124816E-2</v>
      </c>
      <c r="CI33" s="249">
        <v>104368</v>
      </c>
      <c r="CJ33" s="152">
        <f t="shared" si="24"/>
        <v>1.5411012506829289</v>
      </c>
      <c r="CK33" s="269">
        <v>17943</v>
      </c>
      <c r="CL33" s="252" t="s">
        <v>25</v>
      </c>
      <c r="CM33" s="252" t="s">
        <v>25</v>
      </c>
      <c r="CN33" s="252" t="s">
        <v>25</v>
      </c>
      <c r="CO33" s="253">
        <v>3</v>
      </c>
      <c r="CP33" s="151">
        <f t="shared" si="55"/>
        <v>22574.333333333332</v>
      </c>
      <c r="CQ33" s="253">
        <v>0</v>
      </c>
      <c r="CR33" s="253">
        <v>11.07</v>
      </c>
      <c r="CS33" s="223">
        <f t="shared" si="50"/>
        <v>14.07</v>
      </c>
      <c r="CT33" s="151">
        <f t="shared" si="26"/>
        <v>4813.2906894100925</v>
      </c>
      <c r="CU33" s="249">
        <v>400</v>
      </c>
      <c r="CV33" s="251">
        <v>79331</v>
      </c>
      <c r="CW33" s="253">
        <v>40</v>
      </c>
      <c r="CX33" s="252" t="s">
        <v>25</v>
      </c>
      <c r="CY33" s="252" t="s">
        <v>25</v>
      </c>
      <c r="CZ33" s="249">
        <v>6077</v>
      </c>
      <c r="DA33" s="249">
        <v>5221</v>
      </c>
      <c r="DB33" s="249">
        <v>35</v>
      </c>
      <c r="DC33" s="249">
        <v>9924</v>
      </c>
      <c r="DD33" s="249">
        <v>11057</v>
      </c>
      <c r="DE33" s="249">
        <v>19590</v>
      </c>
      <c r="DF33" s="249">
        <v>9430</v>
      </c>
      <c r="DG33" s="249">
        <v>51</v>
      </c>
      <c r="DH33" s="253">
        <f t="shared" si="51"/>
        <v>0.13924368382971811</v>
      </c>
      <c r="DI33" s="249">
        <v>40</v>
      </c>
      <c r="DJ33" s="249">
        <v>40</v>
      </c>
      <c r="DK33" s="151">
        <v>1000</v>
      </c>
      <c r="DL33" s="151">
        <v>7620</v>
      </c>
      <c r="DM33" s="248"/>
      <c r="DN33" s="252" t="s">
        <v>3085</v>
      </c>
      <c r="DO33" s="252" t="s">
        <v>1950</v>
      </c>
      <c r="DP33" s="252"/>
      <c r="DQ33" s="250"/>
      <c r="DR33" s="261" t="s">
        <v>3010</v>
      </c>
      <c r="DS33" s="248" t="s">
        <v>3010</v>
      </c>
      <c r="DT33" s="275">
        <v>43282</v>
      </c>
      <c r="DU33" s="275">
        <v>43646</v>
      </c>
      <c r="DV33" s="261" t="s">
        <v>3010</v>
      </c>
      <c r="DW33" s="152">
        <f t="shared" si="27"/>
        <v>0.57524031717437207</v>
      </c>
      <c r="DX33" s="152">
        <f t="shared" si="28"/>
        <v>0</v>
      </c>
      <c r="DY33" s="152">
        <f t="shared" si="29"/>
        <v>1.3705535785479084</v>
      </c>
      <c r="DZ33" s="152">
        <f t="shared" si="30"/>
        <v>0.40165084240213811</v>
      </c>
      <c r="EA33" s="153">
        <f t="shared" si="53"/>
        <v>0.44645797761335609</v>
      </c>
      <c r="EB33" s="243">
        <f t="shared" si="52"/>
        <v>0.37866254917098635</v>
      </c>
    </row>
    <row r="34" spans="1:132" ht="15" thickBot="1" x14ac:dyDescent="0.35">
      <c r="A34" s="261" t="s">
        <v>3011</v>
      </c>
      <c r="B34" s="388" t="s">
        <v>3226</v>
      </c>
      <c r="C34" s="263">
        <v>220519</v>
      </c>
      <c r="D34" s="250">
        <v>9</v>
      </c>
      <c r="E34" s="250">
        <v>0</v>
      </c>
      <c r="F34" s="249">
        <v>92233</v>
      </c>
      <c r="H34" s="151">
        <f t="shared" si="0"/>
        <v>92233</v>
      </c>
      <c r="I34" s="152">
        <v>0.41825000000000001</v>
      </c>
      <c r="J34" s="251">
        <v>2366596</v>
      </c>
      <c r="K34" s="251">
        <v>881750</v>
      </c>
      <c r="L34" s="158">
        <f t="shared" si="32"/>
        <v>3248346</v>
      </c>
      <c r="M34" s="153">
        <f t="shared" si="33"/>
        <v>14.730458599939235</v>
      </c>
      <c r="N34" s="251">
        <v>249942</v>
      </c>
      <c r="O34" s="251">
        <v>96456</v>
      </c>
      <c r="P34" s="268">
        <v>79917</v>
      </c>
      <c r="Q34" s="158">
        <v>426315</v>
      </c>
      <c r="R34" s="153">
        <f t="shared" si="34"/>
        <v>1.9332347779556409</v>
      </c>
      <c r="S34" s="268">
        <v>618518</v>
      </c>
      <c r="T34" s="251">
        <v>4293179</v>
      </c>
      <c r="U34" s="251">
        <v>0</v>
      </c>
      <c r="V34" s="251">
        <v>4293179</v>
      </c>
      <c r="W34" s="153">
        <f t="shared" si="35"/>
        <v>19.468521986767581</v>
      </c>
      <c r="X34" s="154">
        <f t="shared" si="36"/>
        <v>0.75662952790927185</v>
      </c>
      <c r="Y34" s="154">
        <f t="shared" si="37"/>
        <v>9.9300541626612823E-2</v>
      </c>
      <c r="Z34" s="154">
        <f t="shared" si="38"/>
        <v>0.14406993046411529</v>
      </c>
      <c r="AA34" s="154">
        <f t="shared" si="39"/>
        <v>0</v>
      </c>
      <c r="AB34" s="251">
        <v>60000</v>
      </c>
      <c r="AE34" s="251"/>
      <c r="AF34" s="251">
        <v>4293179</v>
      </c>
      <c r="AG34" s="251">
        <v>4293179</v>
      </c>
      <c r="AH34" s="251"/>
      <c r="AI34" s="158">
        <f t="shared" ref="AI34:AI65" si="56">SUM(AF34:AH34)</f>
        <v>8586358</v>
      </c>
      <c r="AJ34" s="153">
        <f t="shared" si="40"/>
        <v>38.937043973535161</v>
      </c>
      <c r="AK34" s="251">
        <v>227155</v>
      </c>
      <c r="AL34" s="251">
        <v>6588</v>
      </c>
      <c r="AM34" s="251">
        <v>0</v>
      </c>
      <c r="AN34" s="251"/>
      <c r="AO34" s="158">
        <f t="shared" si="41"/>
        <v>0</v>
      </c>
      <c r="AP34" s="251">
        <v>4526922</v>
      </c>
      <c r="AQ34" s="155">
        <f t="shared" si="42"/>
        <v>20.528489608605152</v>
      </c>
      <c r="AR34" s="251"/>
      <c r="AS34" s="268">
        <v>441809</v>
      </c>
      <c r="AT34" s="251">
        <v>0</v>
      </c>
      <c r="AU34" s="268">
        <v>0</v>
      </c>
      <c r="AV34" s="268">
        <v>0</v>
      </c>
      <c r="AW34" s="251"/>
      <c r="AX34" s="268">
        <v>29361</v>
      </c>
      <c r="AY34" s="158">
        <f t="shared" si="43"/>
        <v>471170</v>
      </c>
      <c r="AZ34" s="249">
        <v>383229</v>
      </c>
      <c r="BA34" s="152">
        <f t="shared" si="13"/>
        <v>1.7378502532661584</v>
      </c>
      <c r="BB34" s="269">
        <v>12775</v>
      </c>
      <c r="BC34" s="269">
        <v>12775</v>
      </c>
      <c r="BD34" s="269">
        <v>31485</v>
      </c>
      <c r="BE34" s="269">
        <v>2195</v>
      </c>
      <c r="BF34" s="269">
        <v>145876</v>
      </c>
      <c r="BG34" s="269">
        <v>9</v>
      </c>
      <c r="BH34" s="269">
        <v>89</v>
      </c>
      <c r="BI34" s="249">
        <v>0</v>
      </c>
      <c r="BJ34" s="159">
        <f t="shared" si="44"/>
        <v>98</v>
      </c>
      <c r="BK34" s="269">
        <v>613189</v>
      </c>
      <c r="BL34" s="152">
        <f t="shared" si="15"/>
        <v>2.7806628907259694</v>
      </c>
      <c r="BM34" s="269">
        <v>127</v>
      </c>
      <c r="BN34" s="249">
        <v>118215</v>
      </c>
      <c r="BO34" s="152">
        <f t="shared" si="16"/>
        <v>0.53607625646769663</v>
      </c>
      <c r="BP34" s="249">
        <v>326106</v>
      </c>
      <c r="BQ34" s="249">
        <v>0</v>
      </c>
      <c r="BR34" s="276">
        <f t="shared" si="45"/>
        <v>628330</v>
      </c>
      <c r="BS34" s="276">
        <v>291118</v>
      </c>
      <c r="BT34" s="269">
        <v>919448</v>
      </c>
      <c r="BU34" s="152">
        <f t="shared" si="17"/>
        <v>4.1694729252354676</v>
      </c>
      <c r="BV34" s="151">
        <f t="shared" si="46"/>
        <v>15452.90756302521</v>
      </c>
      <c r="BW34" s="152">
        <f t="shared" ref="BW34:BW65" si="57">BT34/DL34</f>
        <v>65.858319604612845</v>
      </c>
      <c r="BX34" s="152">
        <f t="shared" ref="BX34:BX65" si="58">BT34/CI34</f>
        <v>2.3874758837016667</v>
      </c>
      <c r="BY34" s="152">
        <f t="shared" si="47"/>
        <v>1.4994528603742077</v>
      </c>
      <c r="BZ34" s="249">
        <v>2596</v>
      </c>
      <c r="CA34" s="249">
        <v>627</v>
      </c>
      <c r="CB34" s="249">
        <v>1020</v>
      </c>
      <c r="CC34" s="156">
        <f t="shared" si="48"/>
        <v>4243</v>
      </c>
      <c r="CD34" s="249">
        <v>93968</v>
      </c>
      <c r="CE34" s="249">
        <v>5673</v>
      </c>
      <c r="CF34" s="249">
        <v>25142</v>
      </c>
      <c r="CG34" s="159">
        <f t="shared" si="49"/>
        <v>124783</v>
      </c>
      <c r="CH34" s="152">
        <f t="shared" si="23"/>
        <v>0.56586053809422321</v>
      </c>
      <c r="CI34" s="249">
        <v>385113</v>
      </c>
      <c r="CJ34" s="152">
        <f t="shared" si="24"/>
        <v>1.746393734780223</v>
      </c>
      <c r="CK34" s="269">
        <v>103779</v>
      </c>
      <c r="CL34" s="252" t="s">
        <v>25</v>
      </c>
      <c r="CM34" s="252" t="s">
        <v>25</v>
      </c>
      <c r="CN34" s="252" t="s">
        <v>25</v>
      </c>
      <c r="CO34" s="253">
        <v>18</v>
      </c>
      <c r="CP34" s="151">
        <f t="shared" si="55"/>
        <v>12251.055555555555</v>
      </c>
      <c r="CQ34" s="253">
        <v>5</v>
      </c>
      <c r="CR34" s="253">
        <v>36.5</v>
      </c>
      <c r="CS34" s="223">
        <f t="shared" si="50"/>
        <v>59.5</v>
      </c>
      <c r="CT34" s="151">
        <f t="shared" si="26"/>
        <v>3706.201680672269</v>
      </c>
      <c r="CU34" s="249">
        <v>2508</v>
      </c>
      <c r="CV34" s="251">
        <v>111469</v>
      </c>
      <c r="CW34" s="253">
        <v>40</v>
      </c>
      <c r="CX34" s="252" t="s">
        <v>25</v>
      </c>
      <c r="CY34" s="252" t="s">
        <v>25</v>
      </c>
      <c r="CZ34" s="249">
        <v>1346</v>
      </c>
      <c r="DA34" s="249">
        <v>191</v>
      </c>
      <c r="DB34" s="249">
        <v>93</v>
      </c>
      <c r="DC34" s="249">
        <v>60505</v>
      </c>
      <c r="DD34" s="249">
        <v>41703</v>
      </c>
      <c r="DE34" s="249">
        <v>271780</v>
      </c>
      <c r="DF34" s="249">
        <v>14196</v>
      </c>
      <c r="DG34" s="249">
        <v>52</v>
      </c>
      <c r="DH34" s="253">
        <f t="shared" si="51"/>
        <v>6.4375405293874907E-2</v>
      </c>
      <c r="DI34" s="249">
        <v>68</v>
      </c>
      <c r="DJ34" s="249">
        <v>68</v>
      </c>
      <c r="DL34" s="151">
        <v>13961</v>
      </c>
      <c r="DM34" s="248"/>
      <c r="DN34" s="252" t="s">
        <v>3086</v>
      </c>
      <c r="DO34" s="252" t="s">
        <v>1950</v>
      </c>
      <c r="DP34" s="252"/>
      <c r="DQ34" s="250"/>
      <c r="DR34" s="261" t="s">
        <v>3011</v>
      </c>
      <c r="DS34" s="248" t="s">
        <v>3011</v>
      </c>
      <c r="DT34" s="275">
        <v>43282</v>
      </c>
      <c r="DU34" s="275">
        <v>43646</v>
      </c>
      <c r="DV34" s="261" t="s">
        <v>3011</v>
      </c>
      <c r="DW34" s="152">
        <f t="shared" si="27"/>
        <v>1.4788113495889244</v>
      </c>
      <c r="DX34" s="152">
        <f t="shared" si="28"/>
        <v>0</v>
      </c>
      <c r="DY34" s="152">
        <f t="shared" si="29"/>
        <v>2.8493236410468032</v>
      </c>
      <c r="DZ34" s="152">
        <f t="shared" si="30"/>
        <v>1.320149284188664</v>
      </c>
      <c r="EA34" s="153">
        <f t="shared" si="53"/>
        <v>0.26187402822190275</v>
      </c>
      <c r="EB34" s="243">
        <f t="shared" si="52"/>
        <v>0.33132956395688345</v>
      </c>
    </row>
    <row r="35" spans="1:132" ht="15" thickBot="1" x14ac:dyDescent="0.35">
      <c r="A35" s="261" t="s">
        <v>3158</v>
      </c>
      <c r="B35" s="388" t="s">
        <v>3227</v>
      </c>
      <c r="C35" s="263">
        <v>9355</v>
      </c>
      <c r="D35" s="250">
        <v>0</v>
      </c>
      <c r="E35" s="250">
        <v>0</v>
      </c>
      <c r="F35" s="249">
        <v>12000</v>
      </c>
      <c r="H35" s="151">
        <f t="shared" si="0"/>
        <v>12000</v>
      </c>
      <c r="I35" s="152">
        <v>1.28274</v>
      </c>
      <c r="J35" s="251">
        <v>265818</v>
      </c>
      <c r="K35" s="251">
        <v>104024</v>
      </c>
      <c r="L35" s="158">
        <f t="shared" si="32"/>
        <v>369842</v>
      </c>
      <c r="M35" s="153">
        <f t="shared" si="33"/>
        <v>39.534152859433455</v>
      </c>
      <c r="N35" s="251">
        <v>36375</v>
      </c>
      <c r="O35" s="251">
        <v>19050</v>
      </c>
      <c r="P35" s="268">
        <v>6575</v>
      </c>
      <c r="Q35" s="158">
        <v>62000</v>
      </c>
      <c r="R35" s="153">
        <f t="shared" si="34"/>
        <v>6.627471940138963</v>
      </c>
      <c r="S35" s="268">
        <v>113896</v>
      </c>
      <c r="T35" s="251">
        <v>545738</v>
      </c>
      <c r="U35" s="251">
        <v>0</v>
      </c>
      <c r="V35" s="251">
        <v>545738</v>
      </c>
      <c r="W35" s="153">
        <f t="shared" si="35"/>
        <v>58.336504543025121</v>
      </c>
      <c r="X35" s="154">
        <f t="shared" si="36"/>
        <v>0.67769149298747755</v>
      </c>
      <c r="Y35" s="154">
        <f t="shared" si="37"/>
        <v>0.11360762856902031</v>
      </c>
      <c r="Z35" s="154">
        <f t="shared" si="38"/>
        <v>0.20870087844350219</v>
      </c>
      <c r="AA35" s="154">
        <f t="shared" si="39"/>
        <v>0</v>
      </c>
      <c r="AB35" s="251">
        <v>0</v>
      </c>
      <c r="AE35" s="251"/>
      <c r="AF35" s="251">
        <v>545738</v>
      </c>
      <c r="AG35" s="251">
        <v>0</v>
      </c>
      <c r="AH35" s="251"/>
      <c r="AI35" s="158">
        <f t="shared" si="56"/>
        <v>545738</v>
      </c>
      <c r="AJ35" s="153">
        <f t="shared" si="40"/>
        <v>58.336504543025121</v>
      </c>
      <c r="AK35" s="251">
        <v>8468</v>
      </c>
      <c r="AL35" s="251">
        <v>0</v>
      </c>
      <c r="AM35" s="251">
        <v>29801</v>
      </c>
      <c r="AN35" s="251"/>
      <c r="AO35" s="158">
        <f t="shared" si="41"/>
        <v>29801</v>
      </c>
      <c r="AP35" s="251">
        <v>627585</v>
      </c>
      <c r="AQ35" s="155">
        <f t="shared" si="42"/>
        <v>67.085515766969536</v>
      </c>
      <c r="AR35" s="251"/>
      <c r="AS35" s="268">
        <v>43578</v>
      </c>
      <c r="AT35" s="251">
        <v>0</v>
      </c>
      <c r="AU35" s="268">
        <v>0</v>
      </c>
      <c r="AV35" s="268">
        <v>0</v>
      </c>
      <c r="AW35" s="251"/>
      <c r="AX35" s="268">
        <v>0</v>
      </c>
      <c r="AY35" s="158">
        <f t="shared" si="43"/>
        <v>43578</v>
      </c>
      <c r="AZ35" s="249">
        <v>41940</v>
      </c>
      <c r="BA35" s="152">
        <f t="shared" si="13"/>
        <v>4.483164083377873</v>
      </c>
      <c r="BB35" s="269">
        <v>1492</v>
      </c>
      <c r="BC35" s="269">
        <v>1492</v>
      </c>
      <c r="BD35" s="269">
        <v>2347</v>
      </c>
      <c r="BE35" s="269">
        <v>2071</v>
      </c>
      <c r="BF35" s="269">
        <v>107910</v>
      </c>
      <c r="BG35" s="269">
        <v>14</v>
      </c>
      <c r="BH35" s="269">
        <v>89</v>
      </c>
      <c r="BI35" s="249">
        <v>0</v>
      </c>
      <c r="BJ35" s="159">
        <f t="shared" si="44"/>
        <v>103</v>
      </c>
      <c r="BK35" s="269">
        <v>173189</v>
      </c>
      <c r="BL35" s="152">
        <f t="shared" si="15"/>
        <v>18.512987707108497</v>
      </c>
      <c r="BM35" s="269">
        <v>0</v>
      </c>
      <c r="BN35" s="249">
        <v>17888</v>
      </c>
      <c r="BO35" s="152">
        <f t="shared" si="16"/>
        <v>1.9121325494388028</v>
      </c>
      <c r="BP35" s="249">
        <v>19391</v>
      </c>
      <c r="BQ35" s="249">
        <v>0</v>
      </c>
      <c r="BR35" s="276">
        <f t="shared" si="45"/>
        <v>51878</v>
      </c>
      <c r="BS35" s="276">
        <v>30371</v>
      </c>
      <c r="BT35" s="269">
        <v>82249</v>
      </c>
      <c r="BU35" s="152">
        <f t="shared" si="17"/>
        <v>8.7919828968466067</v>
      </c>
      <c r="BV35" s="151">
        <f t="shared" si="46"/>
        <v>10204.590570719605</v>
      </c>
      <c r="BW35" s="152">
        <f t="shared" si="57"/>
        <v>42.309156378600825</v>
      </c>
      <c r="BX35" s="152">
        <f t="shared" si="58"/>
        <v>1.4496025661361673</v>
      </c>
      <c r="BY35" s="152">
        <f t="shared" ref="BY35:BY66" si="59">BT35/BK35</f>
        <v>0.47490891453845219</v>
      </c>
      <c r="BZ35" s="249">
        <v>145</v>
      </c>
      <c r="CA35" s="249">
        <v>22</v>
      </c>
      <c r="CB35" s="249">
        <v>293</v>
      </c>
      <c r="CC35" s="156">
        <f t="shared" si="48"/>
        <v>460</v>
      </c>
      <c r="CD35" s="249">
        <v>3114</v>
      </c>
      <c r="CE35" s="249">
        <v>224</v>
      </c>
      <c r="CF35" s="249">
        <v>2480</v>
      </c>
      <c r="CG35" s="159">
        <f t="shared" si="49"/>
        <v>5818</v>
      </c>
      <c r="CH35" s="152">
        <f t="shared" si="23"/>
        <v>0.62191341528594335</v>
      </c>
      <c r="CI35" s="249">
        <v>56739</v>
      </c>
      <c r="CJ35" s="152">
        <f t="shared" si="24"/>
        <v>6.0650988776055588</v>
      </c>
      <c r="CK35" s="269">
        <v>9761</v>
      </c>
      <c r="CL35" s="252" t="s">
        <v>25</v>
      </c>
      <c r="CM35" s="252" t="s">
        <v>25</v>
      </c>
      <c r="CN35" s="252" t="s">
        <v>25</v>
      </c>
      <c r="CO35" s="253">
        <v>1</v>
      </c>
      <c r="CP35" s="151">
        <f t="shared" si="55"/>
        <v>9355</v>
      </c>
      <c r="CQ35" s="253">
        <v>0</v>
      </c>
      <c r="CR35" s="253">
        <v>7.06</v>
      </c>
      <c r="CS35" s="223">
        <f t="shared" si="50"/>
        <v>8.0599999999999987</v>
      </c>
      <c r="CT35" s="151">
        <f t="shared" si="26"/>
        <v>1160.6699751861045</v>
      </c>
      <c r="CU35" s="249">
        <v>558</v>
      </c>
      <c r="CV35" s="251">
        <v>63989</v>
      </c>
      <c r="CW35" s="253">
        <v>40</v>
      </c>
      <c r="CX35" s="252" t="s">
        <v>25</v>
      </c>
      <c r="CY35" s="252" t="s">
        <v>25</v>
      </c>
      <c r="CZ35" s="249">
        <v>3485</v>
      </c>
      <c r="DA35" s="249">
        <v>2855</v>
      </c>
      <c r="DB35" s="249">
        <v>28</v>
      </c>
      <c r="DC35" s="249">
        <v>2346</v>
      </c>
      <c r="DD35" s="249">
        <v>57047</v>
      </c>
      <c r="DE35" s="249">
        <v>22846</v>
      </c>
      <c r="DF35" s="249">
        <v>2808</v>
      </c>
      <c r="DG35" s="249">
        <v>52</v>
      </c>
      <c r="DH35" s="253">
        <f t="shared" si="51"/>
        <v>0.30016034206306785</v>
      </c>
      <c r="DI35" s="249">
        <v>52</v>
      </c>
      <c r="DJ35" s="249">
        <v>52</v>
      </c>
      <c r="DK35" s="151">
        <v>15137</v>
      </c>
      <c r="DL35" s="151">
        <v>1944</v>
      </c>
      <c r="DM35" s="248"/>
      <c r="DN35" s="252" t="s">
        <v>3087</v>
      </c>
      <c r="DO35" s="252" t="s">
        <v>3053</v>
      </c>
      <c r="DP35" s="252"/>
      <c r="DQ35" s="250"/>
      <c r="DR35" s="261" t="s">
        <v>3158</v>
      </c>
      <c r="DS35" s="248" t="s">
        <v>2984</v>
      </c>
      <c r="DT35" s="275">
        <v>43282</v>
      </c>
      <c r="DU35" s="275">
        <v>43646</v>
      </c>
      <c r="DV35" s="261" t="s">
        <v>3158</v>
      </c>
      <c r="DW35" s="152">
        <f t="shared" si="27"/>
        <v>2.0727952966328167</v>
      </c>
      <c r="DX35" s="152">
        <f t="shared" si="28"/>
        <v>0</v>
      </c>
      <c r="DY35" s="152">
        <f t="shared" si="29"/>
        <v>5.5454836985569216</v>
      </c>
      <c r="DZ35" s="152">
        <f t="shared" si="30"/>
        <v>3.2464991982896847</v>
      </c>
      <c r="EA35" s="153">
        <f t="shared" si="53"/>
        <v>0.51039021173301158</v>
      </c>
      <c r="EB35" s="243">
        <f t="shared" si="52"/>
        <v>0.6272430937407395</v>
      </c>
    </row>
    <row r="36" spans="1:132" ht="15" thickBot="1" x14ac:dyDescent="0.35">
      <c r="A36" s="261" t="s">
        <v>3157</v>
      </c>
      <c r="B36" s="388" t="s">
        <v>3228</v>
      </c>
      <c r="C36" s="263">
        <v>7279</v>
      </c>
      <c r="D36" s="250">
        <v>0</v>
      </c>
      <c r="E36" s="250">
        <v>0</v>
      </c>
      <c r="F36" s="249">
        <v>2400</v>
      </c>
      <c r="H36" s="151">
        <f t="shared" si="0"/>
        <v>2400</v>
      </c>
      <c r="I36" s="152">
        <v>0.32972000000000001</v>
      </c>
      <c r="J36" s="251">
        <v>101526</v>
      </c>
      <c r="K36" s="251">
        <v>34978</v>
      </c>
      <c r="L36" s="158">
        <f t="shared" si="32"/>
        <v>136504</v>
      </c>
      <c r="M36" s="153">
        <f t="shared" si="33"/>
        <v>18.753125429317215</v>
      </c>
      <c r="N36" s="251">
        <v>11528.1</v>
      </c>
      <c r="O36" s="251">
        <v>5628.31</v>
      </c>
      <c r="P36" s="268">
        <v>800</v>
      </c>
      <c r="Q36" s="158">
        <v>17956.41</v>
      </c>
      <c r="R36" s="153">
        <f t="shared" si="34"/>
        <v>2.4668786921280397</v>
      </c>
      <c r="S36" s="268">
        <v>18596.169999999998</v>
      </c>
      <c r="T36" s="251">
        <v>173056.58</v>
      </c>
      <c r="U36" s="251">
        <v>0</v>
      </c>
      <c r="V36" s="251">
        <v>173056.58</v>
      </c>
      <c r="W36" s="153">
        <f t="shared" si="35"/>
        <v>23.7747740074186</v>
      </c>
      <c r="X36" s="154">
        <f t="shared" si="36"/>
        <v>0.78878248951874586</v>
      </c>
      <c r="Y36" s="154">
        <f t="shared" si="37"/>
        <v>0.10376034242673697</v>
      </c>
      <c r="Z36" s="154">
        <f t="shared" si="38"/>
        <v>0.1074571680545172</v>
      </c>
      <c r="AA36" s="154">
        <f t="shared" si="39"/>
        <v>0</v>
      </c>
      <c r="AB36" s="251">
        <v>0</v>
      </c>
      <c r="AE36" s="251"/>
      <c r="AF36" s="251">
        <v>173056.58</v>
      </c>
      <c r="AG36" s="251">
        <v>55500</v>
      </c>
      <c r="AH36" s="251"/>
      <c r="AI36" s="158">
        <f t="shared" si="56"/>
        <v>228556.58</v>
      </c>
      <c r="AJ36" s="153">
        <f t="shared" si="40"/>
        <v>31.399447726336032</v>
      </c>
      <c r="AK36" s="251">
        <v>5150</v>
      </c>
      <c r="AL36" s="251">
        <v>0</v>
      </c>
      <c r="AM36" s="251">
        <v>1048</v>
      </c>
      <c r="AN36" s="251"/>
      <c r="AO36" s="158">
        <f t="shared" si="41"/>
        <v>1048</v>
      </c>
      <c r="AP36" s="251">
        <v>178469</v>
      </c>
      <c r="AQ36" s="155">
        <f t="shared" si="42"/>
        <v>24.518340431377936</v>
      </c>
      <c r="AR36" s="251"/>
      <c r="AS36" s="268">
        <v>0</v>
      </c>
      <c r="AT36" s="251">
        <v>0</v>
      </c>
      <c r="AU36" s="268">
        <v>0</v>
      </c>
      <c r="AV36" s="268">
        <v>0</v>
      </c>
      <c r="AW36" s="251"/>
      <c r="AX36" s="268">
        <v>0</v>
      </c>
      <c r="AY36" s="158">
        <f t="shared" si="43"/>
        <v>0</v>
      </c>
      <c r="AZ36" s="249">
        <v>10811</v>
      </c>
      <c r="BA36" s="152">
        <f t="shared" si="13"/>
        <v>1.4852314878417365</v>
      </c>
      <c r="BB36" s="269">
        <v>183</v>
      </c>
      <c r="BC36" s="269">
        <v>183</v>
      </c>
      <c r="BD36" s="269">
        <v>1559</v>
      </c>
      <c r="BE36" s="269">
        <v>1752</v>
      </c>
      <c r="BF36" s="269">
        <v>71510</v>
      </c>
      <c r="BG36" s="269">
        <v>2</v>
      </c>
      <c r="BH36" s="269">
        <v>89</v>
      </c>
      <c r="BI36" s="249">
        <v>0</v>
      </c>
      <c r="BJ36" s="159">
        <f t="shared" si="44"/>
        <v>91</v>
      </c>
      <c r="BK36" s="269">
        <v>98205</v>
      </c>
      <c r="BL36" s="152">
        <f t="shared" si="15"/>
        <v>13.491551037230389</v>
      </c>
      <c r="BM36" s="269">
        <v>11</v>
      </c>
      <c r="BN36" s="249">
        <v>7020</v>
      </c>
      <c r="BO36" s="152">
        <f t="shared" si="16"/>
        <v>0.96441818931171863</v>
      </c>
      <c r="BP36" s="249">
        <v>10533</v>
      </c>
      <c r="BQ36" s="249">
        <v>0</v>
      </c>
      <c r="BR36" s="276">
        <f t="shared" si="45"/>
        <v>16838</v>
      </c>
      <c r="BS36" s="276">
        <v>4000</v>
      </c>
      <c r="BT36" s="269">
        <v>20838</v>
      </c>
      <c r="BU36" s="152">
        <f t="shared" si="17"/>
        <v>2.862755873059486</v>
      </c>
      <c r="BV36" s="151">
        <f t="shared" si="46"/>
        <v>7577.454545454545</v>
      </c>
      <c r="BW36" s="152">
        <f t="shared" si="57"/>
        <v>10.367164179104478</v>
      </c>
      <c r="BX36" s="152">
        <f t="shared" si="58"/>
        <v>1.3827471798274718</v>
      </c>
      <c r="BY36" s="152">
        <f t="shared" si="59"/>
        <v>0.21218878875820987</v>
      </c>
      <c r="BZ36" s="249">
        <v>214</v>
      </c>
      <c r="CA36" s="249">
        <v>52</v>
      </c>
      <c r="CB36" s="249">
        <v>23</v>
      </c>
      <c r="CC36" s="156">
        <f t="shared" si="48"/>
        <v>289</v>
      </c>
      <c r="CD36" s="249">
        <v>2000</v>
      </c>
      <c r="CE36" s="249">
        <v>237</v>
      </c>
      <c r="CF36" s="249">
        <v>277</v>
      </c>
      <c r="CG36" s="159">
        <f t="shared" si="49"/>
        <v>2514</v>
      </c>
      <c r="CH36" s="152">
        <f t="shared" si="23"/>
        <v>0.3453771122406924</v>
      </c>
      <c r="CI36" s="249">
        <v>15070</v>
      </c>
      <c r="CJ36" s="152">
        <f t="shared" si="24"/>
        <v>2.0703393323258688</v>
      </c>
      <c r="CK36" s="269">
        <v>3532</v>
      </c>
      <c r="CL36" s="252" t="s">
        <v>25</v>
      </c>
      <c r="CM36" s="252" t="s">
        <v>25</v>
      </c>
      <c r="CN36" s="252" t="s">
        <v>25</v>
      </c>
      <c r="CO36" s="253">
        <v>1</v>
      </c>
      <c r="CP36" s="151">
        <f t="shared" si="55"/>
        <v>7279</v>
      </c>
      <c r="CQ36" s="253">
        <v>0</v>
      </c>
      <c r="CR36" s="253">
        <v>1.75</v>
      </c>
      <c r="CS36" s="223">
        <f t="shared" si="50"/>
        <v>2.75</v>
      </c>
      <c r="CT36" s="151">
        <f t="shared" si="26"/>
        <v>2646.909090909091</v>
      </c>
      <c r="CU36" s="249">
        <v>43</v>
      </c>
      <c r="CV36" s="251">
        <v>52192.76</v>
      </c>
      <c r="CW36" s="253">
        <v>40</v>
      </c>
      <c r="CX36" s="252" t="s">
        <v>25</v>
      </c>
      <c r="CY36" s="252" t="s">
        <v>25</v>
      </c>
      <c r="CZ36" s="249">
        <v>142</v>
      </c>
      <c r="DA36" s="249">
        <v>0</v>
      </c>
      <c r="DB36" s="249">
        <v>13</v>
      </c>
      <c r="DC36" s="249">
        <v>6197</v>
      </c>
      <c r="DD36" s="249">
        <v>1437</v>
      </c>
      <c r="DE36" s="249">
        <v>8664</v>
      </c>
      <c r="DF36" s="249">
        <v>2798</v>
      </c>
      <c r="DG36" s="249">
        <v>52</v>
      </c>
      <c r="DH36" s="253">
        <f t="shared" si="51"/>
        <v>0.3843934606401978</v>
      </c>
      <c r="DI36" s="249">
        <v>59</v>
      </c>
      <c r="DJ36" s="249">
        <v>59</v>
      </c>
      <c r="DL36" s="151">
        <v>2010</v>
      </c>
      <c r="DM36" s="248"/>
      <c r="DN36" s="252" t="s">
        <v>3088</v>
      </c>
      <c r="DO36" s="252" t="s">
        <v>3053</v>
      </c>
      <c r="DP36" s="252"/>
      <c r="DQ36" s="250"/>
      <c r="DR36" s="261" t="s">
        <v>3157</v>
      </c>
      <c r="DS36" s="248" t="s">
        <v>3012</v>
      </c>
      <c r="DT36" s="275">
        <v>43282</v>
      </c>
      <c r="DU36" s="275">
        <v>43646</v>
      </c>
      <c r="DV36" s="261" t="s">
        <v>3157</v>
      </c>
      <c r="DW36" s="152">
        <f t="shared" si="27"/>
        <v>1.4470394284929249</v>
      </c>
      <c r="DX36" s="152">
        <f t="shared" si="28"/>
        <v>0</v>
      </c>
      <c r="DY36" s="152">
        <f t="shared" si="29"/>
        <v>2.3132298392636352</v>
      </c>
      <c r="DZ36" s="152">
        <f t="shared" si="30"/>
        <v>0.54952603379585108</v>
      </c>
      <c r="EA36" s="153">
        <f t="shared" si="53"/>
        <v>0.42117935040736548</v>
      </c>
      <c r="EB36" s="243">
        <f t="shared" si="52"/>
        <v>1.4070775000000002</v>
      </c>
    </row>
    <row r="37" spans="1:132" ht="15" thickBot="1" x14ac:dyDescent="0.35">
      <c r="A37" s="261" t="s">
        <v>3013</v>
      </c>
      <c r="B37" s="388" t="s">
        <v>3229</v>
      </c>
      <c r="C37" s="263">
        <v>61241</v>
      </c>
      <c r="D37" s="250">
        <v>3</v>
      </c>
      <c r="E37" s="250">
        <v>0</v>
      </c>
      <c r="F37" s="249">
        <v>31653</v>
      </c>
      <c r="H37" s="151">
        <f t="shared" si="0"/>
        <v>31653</v>
      </c>
      <c r="I37" s="152">
        <v>0.51685999999999999</v>
      </c>
      <c r="J37" s="251">
        <v>614595</v>
      </c>
      <c r="K37" s="251">
        <v>194921</v>
      </c>
      <c r="L37" s="158">
        <f t="shared" si="32"/>
        <v>809516</v>
      </c>
      <c r="M37" s="153">
        <f t="shared" si="33"/>
        <v>13.218530069724531</v>
      </c>
      <c r="N37" s="251">
        <v>89288</v>
      </c>
      <c r="O37" s="251">
        <v>39322</v>
      </c>
      <c r="P37" s="268">
        <v>11660</v>
      </c>
      <c r="Q37" s="158">
        <v>140270</v>
      </c>
      <c r="R37" s="153">
        <f t="shared" si="34"/>
        <v>2.2904590062213224</v>
      </c>
      <c r="S37" s="268">
        <v>193117</v>
      </c>
      <c r="T37" s="251">
        <v>1142903</v>
      </c>
      <c r="U37" s="251">
        <v>0</v>
      </c>
      <c r="V37" s="251">
        <v>1142903</v>
      </c>
      <c r="W37" s="153">
        <f t="shared" si="35"/>
        <v>18.662383044039125</v>
      </c>
      <c r="X37" s="154">
        <f t="shared" si="36"/>
        <v>0.70829807953955848</v>
      </c>
      <c r="Y37" s="154">
        <f t="shared" si="37"/>
        <v>0.1227313254055681</v>
      </c>
      <c r="Z37" s="154">
        <f t="shared" si="38"/>
        <v>0.16897059505487341</v>
      </c>
      <c r="AA37" s="154">
        <f t="shared" si="39"/>
        <v>0</v>
      </c>
      <c r="AB37" s="251">
        <v>0</v>
      </c>
      <c r="AE37" s="251"/>
      <c r="AF37" s="251">
        <v>1142903</v>
      </c>
      <c r="AG37" s="251">
        <v>1623013</v>
      </c>
      <c r="AH37" s="251"/>
      <c r="AI37" s="158">
        <f t="shared" si="56"/>
        <v>2765916</v>
      </c>
      <c r="AJ37" s="153">
        <f t="shared" si="40"/>
        <v>45.164448653679727</v>
      </c>
      <c r="AK37" s="251">
        <v>108997</v>
      </c>
      <c r="AL37" s="251">
        <v>1106</v>
      </c>
      <c r="AM37" s="251">
        <v>25722</v>
      </c>
      <c r="AN37" s="251"/>
      <c r="AO37" s="158">
        <f t="shared" si="41"/>
        <v>25722</v>
      </c>
      <c r="AP37" s="251">
        <v>1758838</v>
      </c>
      <c r="AQ37" s="155">
        <f t="shared" si="42"/>
        <v>28.719942522166523</v>
      </c>
      <c r="AR37" s="251"/>
      <c r="AS37" s="268">
        <v>30500</v>
      </c>
      <c r="AT37" s="251">
        <v>0</v>
      </c>
      <c r="AU37" s="268">
        <v>0</v>
      </c>
      <c r="AV37" s="268">
        <v>0</v>
      </c>
      <c r="AW37" s="251"/>
      <c r="AX37" s="268">
        <v>0</v>
      </c>
      <c r="AY37" s="158">
        <f t="shared" si="43"/>
        <v>30500</v>
      </c>
      <c r="AZ37" s="249">
        <v>101035</v>
      </c>
      <c r="BA37" s="152">
        <f t="shared" si="13"/>
        <v>1.6497934390359399</v>
      </c>
      <c r="BB37" s="269">
        <v>2469</v>
      </c>
      <c r="BC37" s="269">
        <v>2469</v>
      </c>
      <c r="BD37" s="269">
        <v>6884</v>
      </c>
      <c r="BE37" s="269">
        <v>2067</v>
      </c>
      <c r="BF37" s="269">
        <v>107580</v>
      </c>
      <c r="BG37" s="269">
        <v>5</v>
      </c>
      <c r="BH37" s="269">
        <v>89</v>
      </c>
      <c r="BI37" s="249">
        <v>0</v>
      </c>
      <c r="BJ37" s="159">
        <f t="shared" si="44"/>
        <v>94</v>
      </c>
      <c r="BK37" s="269">
        <v>238880</v>
      </c>
      <c r="BL37" s="152">
        <f t="shared" si="15"/>
        <v>3.9006547900916053</v>
      </c>
      <c r="BM37" s="269">
        <v>43</v>
      </c>
      <c r="BN37" s="249">
        <v>20498</v>
      </c>
      <c r="BO37" s="152">
        <f t="shared" si="16"/>
        <v>0.33471040642706684</v>
      </c>
      <c r="BP37" s="249">
        <v>26759</v>
      </c>
      <c r="BQ37" s="249">
        <v>0</v>
      </c>
      <c r="BR37" s="276">
        <f t="shared" si="45"/>
        <v>98642</v>
      </c>
      <c r="BS37" s="276">
        <v>22835</v>
      </c>
      <c r="BT37" s="269">
        <v>121477</v>
      </c>
      <c r="BU37" s="152">
        <f t="shared" si="17"/>
        <v>1.9835894253849544</v>
      </c>
      <c r="BV37" s="151">
        <v>0</v>
      </c>
      <c r="BW37" s="152">
        <f t="shared" si="57"/>
        <v>21.189080760509331</v>
      </c>
      <c r="BX37" s="152">
        <f t="shared" si="58"/>
        <v>0.79026392656635247</v>
      </c>
      <c r="BY37" s="152">
        <f t="shared" si="59"/>
        <v>0.508527294038848</v>
      </c>
      <c r="BZ37" s="249">
        <v>222</v>
      </c>
      <c r="CA37" s="249">
        <v>24</v>
      </c>
      <c r="CB37" s="249">
        <v>255</v>
      </c>
      <c r="CC37" s="156">
        <f t="shared" si="48"/>
        <v>501</v>
      </c>
      <c r="CD37" s="249">
        <v>4931</v>
      </c>
      <c r="CE37" s="249">
        <v>160</v>
      </c>
      <c r="CF37" s="249">
        <v>2138</v>
      </c>
      <c r="CG37" s="159">
        <f t="shared" si="49"/>
        <v>7229</v>
      </c>
      <c r="CH37" s="152">
        <f t="shared" si="23"/>
        <v>0.1180418347185709</v>
      </c>
      <c r="CI37" s="249">
        <v>153717</v>
      </c>
      <c r="CJ37" s="152">
        <f t="shared" si="24"/>
        <v>2.5100341274636273</v>
      </c>
      <c r="CK37" s="269">
        <v>14087</v>
      </c>
      <c r="CL37" s="252" t="s">
        <v>25</v>
      </c>
      <c r="CM37" s="252" t="s">
        <v>25</v>
      </c>
      <c r="CN37" s="252" t="s">
        <v>25</v>
      </c>
      <c r="CO37" s="253">
        <v>5.6</v>
      </c>
      <c r="CP37" s="253">
        <v>0</v>
      </c>
      <c r="CQ37" s="253">
        <v>0</v>
      </c>
      <c r="CR37" s="253">
        <v>9.5</v>
      </c>
      <c r="CS37" s="223">
        <f t="shared" si="50"/>
        <v>15.1</v>
      </c>
      <c r="CT37" s="151">
        <v>0</v>
      </c>
      <c r="CU37" s="249">
        <v>443</v>
      </c>
      <c r="CV37" s="251">
        <v>65000</v>
      </c>
      <c r="CW37" s="253">
        <v>6</v>
      </c>
      <c r="CX37" s="252" t="s">
        <v>25</v>
      </c>
      <c r="CY37" s="252" t="s">
        <v>26</v>
      </c>
      <c r="CZ37" s="249">
        <v>10527</v>
      </c>
      <c r="DA37" s="249">
        <v>5164</v>
      </c>
      <c r="DB37" s="249">
        <v>47</v>
      </c>
      <c r="DC37" s="249">
        <v>24356</v>
      </c>
      <c r="DD37" s="249">
        <v>34977</v>
      </c>
      <c r="DE37" s="249" t="s">
        <v>3137</v>
      </c>
      <c r="DF37" s="249">
        <v>7644</v>
      </c>
      <c r="DG37" s="249">
        <v>44</v>
      </c>
      <c r="DH37" s="253">
        <f t="shared" si="51"/>
        <v>0.12481834065413694</v>
      </c>
      <c r="DI37" s="249">
        <v>16</v>
      </c>
      <c r="DJ37" s="249">
        <v>16</v>
      </c>
      <c r="DL37" s="151">
        <v>5733</v>
      </c>
      <c r="DM37" s="248"/>
      <c r="DN37" s="252" t="s">
        <v>3089</v>
      </c>
      <c r="DO37" s="252" t="s">
        <v>1950</v>
      </c>
      <c r="DP37" s="252"/>
      <c r="DQ37" s="250"/>
      <c r="DR37" s="261" t="s">
        <v>3013</v>
      </c>
      <c r="DS37" s="248" t="s">
        <v>3013</v>
      </c>
      <c r="DT37" s="275">
        <v>43282</v>
      </c>
      <c r="DU37" s="275">
        <v>43646</v>
      </c>
      <c r="DV37" s="261" t="s">
        <v>3013</v>
      </c>
      <c r="DW37" s="152">
        <f t="shared" si="27"/>
        <v>0.43694583693930539</v>
      </c>
      <c r="DX37" s="152">
        <f t="shared" si="28"/>
        <v>0</v>
      </c>
      <c r="DY37" s="152">
        <f t="shared" si="29"/>
        <v>1.61071830962917</v>
      </c>
      <c r="DZ37" s="152">
        <f t="shared" si="30"/>
        <v>0.37287111575578452</v>
      </c>
      <c r="EA37" s="153">
        <f t="shared" si="53"/>
        <v>0.71201984035215027</v>
      </c>
      <c r="EB37" s="243">
        <v>0</v>
      </c>
    </row>
    <row r="38" spans="1:132" ht="15" thickBot="1" x14ac:dyDescent="0.35">
      <c r="A38" s="261" t="s">
        <v>3014</v>
      </c>
      <c r="B38" s="388" t="s">
        <v>3230</v>
      </c>
      <c r="C38" s="263">
        <v>423043</v>
      </c>
      <c r="D38" s="250">
        <v>7</v>
      </c>
      <c r="E38" s="250">
        <v>0</v>
      </c>
      <c r="F38" s="249">
        <v>177988</v>
      </c>
      <c r="H38" s="151">
        <f t="shared" si="0"/>
        <v>177988</v>
      </c>
      <c r="I38" s="152">
        <v>0.42072999999999999</v>
      </c>
      <c r="J38" s="251">
        <v>4709660</v>
      </c>
      <c r="K38" s="251">
        <v>1854337</v>
      </c>
      <c r="L38" s="158">
        <f t="shared" si="32"/>
        <v>6563997</v>
      </c>
      <c r="M38" s="153">
        <f t="shared" si="33"/>
        <v>15.516146112806499</v>
      </c>
      <c r="N38" s="251">
        <v>343199</v>
      </c>
      <c r="O38" s="251">
        <v>325727</v>
      </c>
      <c r="P38" s="268">
        <v>122232</v>
      </c>
      <c r="Q38" s="158">
        <v>791158</v>
      </c>
      <c r="R38" s="153">
        <f t="shared" si="34"/>
        <v>1.8701597709925468</v>
      </c>
      <c r="S38" s="268">
        <v>1600021</v>
      </c>
      <c r="T38" s="251">
        <v>8955176</v>
      </c>
      <c r="U38" s="251">
        <v>0</v>
      </c>
      <c r="V38" s="251">
        <v>8955176</v>
      </c>
      <c r="W38" s="153">
        <f t="shared" si="35"/>
        <v>21.168476963334697</v>
      </c>
      <c r="X38" s="154">
        <f t="shared" si="36"/>
        <v>0.73298358401889585</v>
      </c>
      <c r="Y38" s="154">
        <f t="shared" si="37"/>
        <v>8.8346449025680784E-2</v>
      </c>
      <c r="Z38" s="154">
        <f t="shared" si="38"/>
        <v>0.17866996695542331</v>
      </c>
      <c r="AA38" s="154">
        <f t="shared" si="39"/>
        <v>0</v>
      </c>
      <c r="AB38" s="251">
        <v>0</v>
      </c>
      <c r="AE38" s="251"/>
      <c r="AF38" s="251">
        <v>8955176</v>
      </c>
      <c r="AG38" s="251">
        <v>1356847</v>
      </c>
      <c r="AH38" s="251"/>
      <c r="AI38" s="158">
        <f t="shared" si="56"/>
        <v>10312023</v>
      </c>
      <c r="AJ38" s="153">
        <f t="shared" si="40"/>
        <v>24.375827043586586</v>
      </c>
      <c r="AK38" s="251">
        <v>337505</v>
      </c>
      <c r="AL38" s="251">
        <v>0</v>
      </c>
      <c r="AM38" s="251">
        <v>189700</v>
      </c>
      <c r="AN38" s="251"/>
      <c r="AO38" s="158">
        <f t="shared" si="41"/>
        <v>189700</v>
      </c>
      <c r="AP38" s="251">
        <v>9805801</v>
      </c>
      <c r="AQ38" s="155">
        <f t="shared" si="42"/>
        <v>23.179206369092505</v>
      </c>
      <c r="AR38" s="251"/>
      <c r="AS38" s="268">
        <v>0</v>
      </c>
      <c r="AT38" s="251">
        <v>0</v>
      </c>
      <c r="AU38" s="268">
        <v>0</v>
      </c>
      <c r="AV38" s="268">
        <v>0</v>
      </c>
      <c r="AW38" s="251"/>
      <c r="AX38" s="268">
        <v>0</v>
      </c>
      <c r="AY38" s="158">
        <f t="shared" si="43"/>
        <v>0</v>
      </c>
      <c r="AZ38" s="249">
        <v>506003</v>
      </c>
      <c r="BA38" s="152">
        <f t="shared" si="13"/>
        <v>1.1961029966220929</v>
      </c>
      <c r="BB38" s="269">
        <v>23584</v>
      </c>
      <c r="BC38" s="269">
        <v>23584</v>
      </c>
      <c r="BD38" s="269">
        <v>71156</v>
      </c>
      <c r="BE38" s="269">
        <v>2429</v>
      </c>
      <c r="BF38" s="269">
        <v>194010</v>
      </c>
      <c r="BG38" s="269">
        <v>13</v>
      </c>
      <c r="BH38" s="269">
        <v>89</v>
      </c>
      <c r="BI38" s="249">
        <v>0</v>
      </c>
      <c r="BJ38" s="159">
        <f t="shared" si="44"/>
        <v>102</v>
      </c>
      <c r="BK38" s="269">
        <v>860040</v>
      </c>
      <c r="BL38" s="152">
        <f t="shared" si="15"/>
        <v>2.0329848266015511</v>
      </c>
      <c r="BM38" s="269">
        <v>652</v>
      </c>
      <c r="BN38" s="249">
        <v>96733</v>
      </c>
      <c r="BO38" s="152">
        <f t="shared" si="16"/>
        <v>0.22865997073583536</v>
      </c>
      <c r="BP38" s="249">
        <v>506856</v>
      </c>
      <c r="BQ38" s="249">
        <v>0</v>
      </c>
      <c r="BR38" s="276">
        <f t="shared" si="45"/>
        <v>906697</v>
      </c>
      <c r="BS38" s="276">
        <v>877870</v>
      </c>
      <c r="BT38" s="269">
        <v>1784567</v>
      </c>
      <c r="BU38" s="152">
        <f t="shared" si="17"/>
        <v>4.2184056939838266</v>
      </c>
      <c r="BV38" s="151">
        <f t="shared" ref="BV38:BV71" si="60">BT38/CS38</f>
        <v>18071.564556962025</v>
      </c>
      <c r="BW38" s="152">
        <f t="shared" si="57"/>
        <v>87.87507386251724</v>
      </c>
      <c r="BX38" s="152">
        <f t="shared" si="58"/>
        <v>1.1045573271273303</v>
      </c>
      <c r="BY38" s="152">
        <f t="shared" si="59"/>
        <v>2.0749813962141297</v>
      </c>
      <c r="BZ38" s="249">
        <v>1583</v>
      </c>
      <c r="CA38" s="249">
        <v>177</v>
      </c>
      <c r="CB38" s="249">
        <v>926</v>
      </c>
      <c r="CC38" s="156">
        <f t="shared" si="48"/>
        <v>2686</v>
      </c>
      <c r="CD38" s="249">
        <v>40937</v>
      </c>
      <c r="CE38" s="249">
        <v>3008</v>
      </c>
      <c r="CF38" s="249">
        <v>10818</v>
      </c>
      <c r="CG38" s="159">
        <f t="shared" si="49"/>
        <v>54763</v>
      </c>
      <c r="CH38" s="152">
        <f t="shared" si="23"/>
        <v>0.12945019773403649</v>
      </c>
      <c r="CI38" s="249">
        <v>1615640</v>
      </c>
      <c r="CJ38" s="152">
        <f t="shared" si="24"/>
        <v>3.8190916762598599</v>
      </c>
      <c r="CK38" s="269">
        <v>352979</v>
      </c>
      <c r="CL38" s="252" t="s">
        <v>25</v>
      </c>
      <c r="CM38" s="252" t="s">
        <v>25</v>
      </c>
      <c r="CN38" s="252" t="s">
        <v>25</v>
      </c>
      <c r="CO38" s="253">
        <v>34</v>
      </c>
      <c r="CP38" s="151">
        <f>C38/CO38</f>
        <v>12442.441176470587</v>
      </c>
      <c r="CQ38" s="253">
        <v>6</v>
      </c>
      <c r="CR38" s="253">
        <v>58.75</v>
      </c>
      <c r="CS38" s="223">
        <f t="shared" si="50"/>
        <v>98.75</v>
      </c>
      <c r="CT38" s="151">
        <f t="shared" ref="CT38:CT71" si="61">C38/CS38</f>
        <v>4283.9797468354427</v>
      </c>
      <c r="CU38" s="249">
        <v>8840</v>
      </c>
      <c r="CV38" s="251">
        <v>124943</v>
      </c>
      <c r="CW38" s="253">
        <v>40</v>
      </c>
      <c r="CX38" s="252" t="s">
        <v>25</v>
      </c>
      <c r="CY38" s="252" t="s">
        <v>25</v>
      </c>
      <c r="CZ38" s="249">
        <v>346</v>
      </c>
      <c r="DA38" s="249">
        <v>623</v>
      </c>
      <c r="DB38" s="249">
        <v>299</v>
      </c>
      <c r="DC38" s="249">
        <v>189404</v>
      </c>
      <c r="DD38" s="249">
        <v>-1</v>
      </c>
      <c r="DE38" s="249">
        <v>2089218</v>
      </c>
      <c r="DF38" s="249">
        <v>28297</v>
      </c>
      <c r="DG38" s="249">
        <v>52</v>
      </c>
      <c r="DH38" s="253">
        <f t="shared" si="51"/>
        <v>6.688918147800578E-2</v>
      </c>
      <c r="DI38" s="249">
        <v>41</v>
      </c>
      <c r="DJ38" s="249">
        <v>41</v>
      </c>
      <c r="DL38" s="151">
        <v>20308</v>
      </c>
      <c r="DM38" s="248"/>
      <c r="DN38" s="252" t="s">
        <v>3090</v>
      </c>
      <c r="DO38" s="252" t="s">
        <v>1950</v>
      </c>
      <c r="DP38" s="252"/>
      <c r="DQ38" s="250"/>
      <c r="DR38" s="261" t="s">
        <v>3014</v>
      </c>
      <c r="DS38" s="248" t="s">
        <v>3014</v>
      </c>
      <c r="DT38" s="275">
        <v>43282</v>
      </c>
      <c r="DU38" s="275">
        <v>43646</v>
      </c>
      <c r="DV38" s="261" t="s">
        <v>3014</v>
      </c>
      <c r="DW38" s="152">
        <f t="shared" si="27"/>
        <v>1.1981193401143619</v>
      </c>
      <c r="DX38" s="152">
        <f t="shared" si="28"/>
        <v>0</v>
      </c>
      <c r="DY38" s="152">
        <f t="shared" si="29"/>
        <v>2.1432738515942824</v>
      </c>
      <c r="DZ38" s="152">
        <f t="shared" si="30"/>
        <v>2.0751318423895442</v>
      </c>
      <c r="EA38" s="153">
        <f t="shared" ref="EA38:EA69" si="62">N38/(BP38+BR38)</f>
        <v>0.24279174533958048</v>
      </c>
      <c r="EB38" s="243">
        <f t="shared" si="52"/>
        <v>0.3710424094683723</v>
      </c>
    </row>
    <row r="39" spans="1:132" ht="15" thickBot="1" x14ac:dyDescent="0.35">
      <c r="A39" s="261" t="s">
        <v>3015</v>
      </c>
      <c r="B39" s="388" t="s">
        <v>3231</v>
      </c>
      <c r="C39" s="263">
        <v>36966</v>
      </c>
      <c r="D39" s="250">
        <v>4</v>
      </c>
      <c r="E39" s="250">
        <v>0</v>
      </c>
      <c r="F39" s="249">
        <v>28109</v>
      </c>
      <c r="H39" s="151">
        <f t="shared" si="0"/>
        <v>28109</v>
      </c>
      <c r="I39" s="152">
        <v>0.80908999999999998</v>
      </c>
      <c r="J39" s="251">
        <v>372571</v>
      </c>
      <c r="K39" s="251">
        <v>161287</v>
      </c>
      <c r="L39" s="158">
        <f t="shared" si="32"/>
        <v>533858</v>
      </c>
      <c r="M39" s="153">
        <f t="shared" si="33"/>
        <v>14.441865498025212</v>
      </c>
      <c r="N39" s="251">
        <v>60349</v>
      </c>
      <c r="O39" s="251">
        <v>8119</v>
      </c>
      <c r="P39" s="268">
        <v>1500</v>
      </c>
      <c r="Q39" s="158">
        <v>69968</v>
      </c>
      <c r="R39" s="153">
        <f t="shared" si="34"/>
        <v>1.8927663258129093</v>
      </c>
      <c r="S39" s="268">
        <v>102376</v>
      </c>
      <c r="T39" s="251">
        <v>706202</v>
      </c>
      <c r="U39" s="251">
        <v>0</v>
      </c>
      <c r="V39" s="251">
        <v>706202</v>
      </c>
      <c r="W39" s="153">
        <f t="shared" si="35"/>
        <v>19.104095655467187</v>
      </c>
      <c r="X39" s="154">
        <f t="shared" si="36"/>
        <v>0.75595651102659012</v>
      </c>
      <c r="Y39" s="154">
        <f t="shared" si="37"/>
        <v>9.9076468205980719E-2</v>
      </c>
      <c r="Z39" s="154">
        <f t="shared" si="38"/>
        <v>0.14496702076742915</v>
      </c>
      <c r="AA39" s="154">
        <f t="shared" si="39"/>
        <v>0</v>
      </c>
      <c r="AB39" s="251">
        <v>37956</v>
      </c>
      <c r="AE39" s="251"/>
      <c r="AF39" s="251">
        <v>706202</v>
      </c>
      <c r="AG39" s="251">
        <v>647845</v>
      </c>
      <c r="AH39" s="251"/>
      <c r="AI39" s="158">
        <f t="shared" si="56"/>
        <v>1354047</v>
      </c>
      <c r="AJ39" s="153">
        <f t="shared" si="40"/>
        <v>36.629524427852623</v>
      </c>
      <c r="AK39" s="251">
        <v>96921</v>
      </c>
      <c r="AL39" s="251">
        <v>2427</v>
      </c>
      <c r="AM39" s="251">
        <v>9970</v>
      </c>
      <c r="AN39" s="251"/>
      <c r="AO39" s="158">
        <f t="shared" si="41"/>
        <v>9970</v>
      </c>
      <c r="AP39" s="251">
        <v>814200</v>
      </c>
      <c r="AQ39" s="155">
        <f t="shared" si="42"/>
        <v>22.025645187469568</v>
      </c>
      <c r="AR39" s="251"/>
      <c r="AS39" s="268">
        <v>46823</v>
      </c>
      <c r="AT39" s="251">
        <v>0</v>
      </c>
      <c r="AU39" s="268">
        <v>0</v>
      </c>
      <c r="AV39" s="268">
        <v>0</v>
      </c>
      <c r="AW39" s="251"/>
      <c r="AX39" s="268">
        <v>0</v>
      </c>
      <c r="AY39" s="158">
        <f t="shared" si="43"/>
        <v>46823</v>
      </c>
      <c r="AZ39" s="249">
        <v>80539</v>
      </c>
      <c r="BA39" s="152">
        <f t="shared" si="13"/>
        <v>2.1787318076069901</v>
      </c>
      <c r="BB39" s="269">
        <v>1046</v>
      </c>
      <c r="BC39" s="269">
        <v>1046</v>
      </c>
      <c r="BD39" s="269">
        <v>219</v>
      </c>
      <c r="BE39" s="269">
        <v>2067</v>
      </c>
      <c r="BF39" s="269">
        <v>107580</v>
      </c>
      <c r="BG39" s="269">
        <v>1</v>
      </c>
      <c r="BH39" s="269">
        <v>89</v>
      </c>
      <c r="BI39" s="249">
        <v>0</v>
      </c>
      <c r="BJ39" s="159">
        <f t="shared" si="44"/>
        <v>90</v>
      </c>
      <c r="BK39" s="269">
        <v>209400</v>
      </c>
      <c r="BL39" s="152">
        <f t="shared" si="15"/>
        <v>5.6646648271384512</v>
      </c>
      <c r="BM39" s="269">
        <v>0</v>
      </c>
      <c r="BN39" s="249">
        <v>38080</v>
      </c>
      <c r="BO39" s="152">
        <f t="shared" si="16"/>
        <v>1.0301358004652925</v>
      </c>
      <c r="BP39" s="249">
        <v>7322</v>
      </c>
      <c r="BQ39" s="249">
        <v>0</v>
      </c>
      <c r="BR39" s="276">
        <f t="shared" si="45"/>
        <v>24102</v>
      </c>
      <c r="BS39" s="276">
        <v>3286</v>
      </c>
      <c r="BT39" s="269">
        <v>27388</v>
      </c>
      <c r="BU39" s="152">
        <f t="shared" si="17"/>
        <v>0.74089704052372451</v>
      </c>
      <c r="BV39" s="151">
        <f t="shared" si="60"/>
        <v>2489.818181818182</v>
      </c>
      <c r="BW39" s="152">
        <f t="shared" si="57"/>
        <v>3.1080344984112576</v>
      </c>
      <c r="BX39" s="152">
        <f t="shared" si="58"/>
        <v>0.63712285109451694</v>
      </c>
      <c r="BY39" s="152">
        <f t="shared" si="59"/>
        <v>0.13079274116523401</v>
      </c>
      <c r="BZ39" s="249">
        <v>134</v>
      </c>
      <c r="CA39" s="249">
        <v>19</v>
      </c>
      <c r="CB39" s="249">
        <v>169</v>
      </c>
      <c r="CC39" s="156">
        <f t="shared" si="48"/>
        <v>322</v>
      </c>
      <c r="CD39" s="249">
        <v>5032</v>
      </c>
      <c r="CE39" s="249">
        <v>182</v>
      </c>
      <c r="CF39" s="249">
        <v>3859</v>
      </c>
      <c r="CG39" s="159">
        <f t="shared" si="49"/>
        <v>9073</v>
      </c>
      <c r="CH39" s="152">
        <f t="shared" si="23"/>
        <v>0.24544175729048315</v>
      </c>
      <c r="CI39" s="249">
        <v>42987</v>
      </c>
      <c r="CJ39" s="152">
        <f t="shared" si="24"/>
        <v>1.1628794026943678</v>
      </c>
      <c r="CK39" s="269">
        <v>6774</v>
      </c>
      <c r="CL39" s="252" t="s">
        <v>25</v>
      </c>
      <c r="CM39" s="252" t="s">
        <v>25</v>
      </c>
      <c r="CN39" s="252" t="s">
        <v>25</v>
      </c>
      <c r="CO39" s="253">
        <v>1</v>
      </c>
      <c r="CP39" s="151">
        <f>C39/CO39</f>
        <v>36966</v>
      </c>
      <c r="CQ39" s="253">
        <v>0</v>
      </c>
      <c r="CR39" s="253">
        <v>10</v>
      </c>
      <c r="CS39" s="223">
        <f t="shared" si="50"/>
        <v>11</v>
      </c>
      <c r="CT39" s="151">
        <f t="shared" si="61"/>
        <v>3360.5454545454545</v>
      </c>
      <c r="CU39" s="249">
        <v>2000</v>
      </c>
      <c r="CV39" s="251">
        <v>78436</v>
      </c>
      <c r="CW39" s="253">
        <v>40</v>
      </c>
      <c r="CX39" s="252" t="s">
        <v>25</v>
      </c>
      <c r="CY39" s="252" t="s">
        <v>25</v>
      </c>
      <c r="CZ39" s="249">
        <v>4000</v>
      </c>
      <c r="DA39" s="249">
        <v>656</v>
      </c>
      <c r="DB39" s="249">
        <v>50</v>
      </c>
      <c r="DC39" s="249">
        <v>15161</v>
      </c>
      <c r="DD39" s="249" t="s">
        <v>3137</v>
      </c>
      <c r="DE39" s="249">
        <v>3848</v>
      </c>
      <c r="DF39" s="249">
        <v>12398</v>
      </c>
      <c r="DG39" s="249">
        <v>52</v>
      </c>
      <c r="DH39" s="253">
        <f t="shared" si="51"/>
        <v>0.33538927663258128</v>
      </c>
      <c r="DI39" s="249">
        <v>56</v>
      </c>
      <c r="DJ39" s="249">
        <v>56</v>
      </c>
      <c r="DL39" s="151">
        <v>8812</v>
      </c>
      <c r="DM39" s="248"/>
      <c r="DN39" s="252" t="s">
        <v>3091</v>
      </c>
      <c r="DO39" s="252" t="s">
        <v>1950</v>
      </c>
      <c r="DP39" s="252"/>
      <c r="DQ39" s="250"/>
      <c r="DR39" s="261" t="s">
        <v>3015</v>
      </c>
      <c r="DS39" s="248" t="s">
        <v>3015</v>
      </c>
      <c r="DT39" s="275">
        <v>43282</v>
      </c>
      <c r="DU39" s="275">
        <v>43646</v>
      </c>
      <c r="DV39" s="261" t="s">
        <v>3015</v>
      </c>
      <c r="DW39" s="152">
        <f t="shared" si="27"/>
        <v>0.19807390575123085</v>
      </c>
      <c r="DX39" s="152">
        <f t="shared" si="28"/>
        <v>0</v>
      </c>
      <c r="DY39" s="152">
        <f t="shared" si="29"/>
        <v>0.65200454471676672</v>
      </c>
      <c r="DZ39" s="152">
        <f t="shared" si="30"/>
        <v>8.8892495806957739E-2</v>
      </c>
      <c r="EA39" s="153">
        <f t="shared" si="62"/>
        <v>1.9204747963340123</v>
      </c>
      <c r="EB39" s="243">
        <f t="shared" si="52"/>
        <v>2.4707851491174679</v>
      </c>
    </row>
    <row r="40" spans="1:132" ht="15" thickBot="1" x14ac:dyDescent="0.35">
      <c r="A40" s="261" t="s">
        <v>3016</v>
      </c>
      <c r="B40" s="388" t="s">
        <v>3232</v>
      </c>
      <c r="C40" s="263">
        <v>133869</v>
      </c>
      <c r="D40" s="250">
        <v>6</v>
      </c>
      <c r="E40" s="250">
        <v>0</v>
      </c>
      <c r="F40" s="249">
        <v>32745</v>
      </c>
      <c r="H40" s="151">
        <f t="shared" si="0"/>
        <v>32745</v>
      </c>
      <c r="I40" s="152">
        <v>0.24460000000000001</v>
      </c>
      <c r="J40" s="251">
        <v>903188</v>
      </c>
      <c r="K40" s="251">
        <v>334756</v>
      </c>
      <c r="L40" s="158">
        <f t="shared" si="32"/>
        <v>1237944</v>
      </c>
      <c r="M40" s="153">
        <f t="shared" si="33"/>
        <v>9.2474284561773068</v>
      </c>
      <c r="N40" s="251">
        <v>123418</v>
      </c>
      <c r="O40" s="251">
        <v>38648</v>
      </c>
      <c r="P40" s="268">
        <v>16180</v>
      </c>
      <c r="Q40" s="158">
        <v>178246</v>
      </c>
      <c r="R40" s="153">
        <f t="shared" si="34"/>
        <v>1.3314957159611263</v>
      </c>
      <c r="S40" s="268">
        <v>183563</v>
      </c>
      <c r="T40" s="251">
        <v>1599753</v>
      </c>
      <c r="U40" s="251">
        <v>0</v>
      </c>
      <c r="V40" s="251">
        <v>1599753</v>
      </c>
      <c r="W40" s="153">
        <f t="shared" si="35"/>
        <v>11.950137821302915</v>
      </c>
      <c r="X40" s="154">
        <f t="shared" si="36"/>
        <v>0.77383446069486972</v>
      </c>
      <c r="Y40" s="154">
        <f t="shared" si="37"/>
        <v>0.11142095060925031</v>
      </c>
      <c r="Z40" s="154">
        <f t="shared" si="38"/>
        <v>0.11474458869587993</v>
      </c>
      <c r="AA40" s="154">
        <f t="shared" si="39"/>
        <v>0</v>
      </c>
      <c r="AB40" s="251">
        <v>0</v>
      </c>
      <c r="AE40" s="251"/>
      <c r="AF40" s="251">
        <v>1599753</v>
      </c>
      <c r="AG40" s="251">
        <v>1056776</v>
      </c>
      <c r="AH40" s="251"/>
      <c r="AI40" s="158">
        <f t="shared" si="56"/>
        <v>2656529</v>
      </c>
      <c r="AJ40" s="153">
        <f t="shared" si="40"/>
        <v>19.844243252732149</v>
      </c>
      <c r="AK40" s="251">
        <v>174301</v>
      </c>
      <c r="AL40" s="251">
        <v>7467</v>
      </c>
      <c r="AM40" s="251">
        <v>23418</v>
      </c>
      <c r="AN40" s="251"/>
      <c r="AO40" s="158">
        <f t="shared" si="41"/>
        <v>23418</v>
      </c>
      <c r="AP40" s="251">
        <v>1803704</v>
      </c>
      <c r="AQ40" s="155">
        <f t="shared" si="42"/>
        <v>13.473649612681054</v>
      </c>
      <c r="AR40" s="251"/>
      <c r="AS40" s="268">
        <v>0</v>
      </c>
      <c r="AT40" s="251">
        <v>0</v>
      </c>
      <c r="AU40" s="268">
        <v>0</v>
      </c>
      <c r="AV40" s="268">
        <v>0</v>
      </c>
      <c r="AW40" s="251"/>
      <c r="AX40" s="268">
        <v>0</v>
      </c>
      <c r="AY40" s="158">
        <f t="shared" si="43"/>
        <v>0</v>
      </c>
      <c r="AZ40" s="249">
        <v>185095</v>
      </c>
      <c r="BA40" s="152">
        <f t="shared" si="13"/>
        <v>1.3826576727995279</v>
      </c>
      <c r="BB40" s="269">
        <v>4985</v>
      </c>
      <c r="BC40" s="269">
        <v>4985</v>
      </c>
      <c r="BD40" s="269">
        <v>11680</v>
      </c>
      <c r="BE40" s="269">
        <v>2067</v>
      </c>
      <c r="BF40" s="269">
        <v>108593</v>
      </c>
      <c r="BG40" s="269">
        <v>0</v>
      </c>
      <c r="BH40" s="269">
        <v>89</v>
      </c>
      <c r="BI40" s="249">
        <v>0</v>
      </c>
      <c r="BJ40" s="159">
        <f t="shared" si="44"/>
        <v>89</v>
      </c>
      <c r="BK40" s="269">
        <v>332191</v>
      </c>
      <c r="BL40" s="152">
        <f t="shared" si="15"/>
        <v>2.4814632215075934</v>
      </c>
      <c r="BM40" s="269">
        <v>156</v>
      </c>
      <c r="BN40" s="249">
        <v>10592</v>
      </c>
      <c r="BO40" s="152">
        <f t="shared" si="16"/>
        <v>7.912212685535859E-2</v>
      </c>
      <c r="BP40" s="249">
        <v>108613</v>
      </c>
      <c r="BQ40" s="249">
        <v>0</v>
      </c>
      <c r="BR40" s="276">
        <f t="shared" si="45"/>
        <v>177387</v>
      </c>
      <c r="BS40" s="276">
        <v>86389</v>
      </c>
      <c r="BT40" s="269">
        <v>263776</v>
      </c>
      <c r="BU40" s="152">
        <f t="shared" si="17"/>
        <v>1.9704039023224196</v>
      </c>
      <c r="BV40" s="151">
        <f t="shared" si="60"/>
        <v>8243</v>
      </c>
      <c r="BW40" s="152">
        <f t="shared" si="57"/>
        <v>26.981996726677579</v>
      </c>
      <c r="BX40" s="152">
        <f t="shared" si="58"/>
        <v>1.7884694922264335</v>
      </c>
      <c r="BY40" s="152">
        <f t="shared" si="59"/>
        <v>0.79404920663112488</v>
      </c>
      <c r="BZ40" s="249">
        <v>664</v>
      </c>
      <c r="CA40" s="249">
        <v>30</v>
      </c>
      <c r="CB40" s="249">
        <v>330</v>
      </c>
      <c r="CC40" s="156">
        <f t="shared" si="48"/>
        <v>1024</v>
      </c>
      <c r="CD40" s="249">
        <v>20410</v>
      </c>
      <c r="CE40" s="249">
        <v>232</v>
      </c>
      <c r="CF40" s="249">
        <v>1403</v>
      </c>
      <c r="CG40" s="159">
        <f t="shared" si="49"/>
        <v>22045</v>
      </c>
      <c r="CH40" s="152">
        <f t="shared" si="23"/>
        <v>0.16467591451344224</v>
      </c>
      <c r="CI40" s="249">
        <v>147487</v>
      </c>
      <c r="CJ40" s="152">
        <f t="shared" si="24"/>
        <v>1.1017263145313703</v>
      </c>
      <c r="CK40" s="269">
        <v>52235</v>
      </c>
      <c r="CL40" s="252" t="s">
        <v>25</v>
      </c>
      <c r="CM40" s="252" t="s">
        <v>25</v>
      </c>
      <c r="CN40" s="252" t="s">
        <v>25</v>
      </c>
      <c r="CO40" s="253">
        <v>5</v>
      </c>
      <c r="CP40" s="151">
        <f>C40/CO40</f>
        <v>26773.8</v>
      </c>
      <c r="CQ40" s="253">
        <v>1</v>
      </c>
      <c r="CR40" s="253">
        <v>26</v>
      </c>
      <c r="CS40" s="223">
        <f t="shared" si="50"/>
        <v>32</v>
      </c>
      <c r="CT40" s="151">
        <f t="shared" si="61"/>
        <v>4183.40625</v>
      </c>
      <c r="CU40" s="249">
        <v>329</v>
      </c>
      <c r="CV40" s="251">
        <v>74559</v>
      </c>
      <c r="CW40" s="253">
        <v>40</v>
      </c>
      <c r="CX40" s="252" t="s">
        <v>25</v>
      </c>
      <c r="CY40" s="252" t="s">
        <v>25</v>
      </c>
      <c r="CZ40" s="249">
        <v>11720</v>
      </c>
      <c r="DA40" s="249">
        <v>9959</v>
      </c>
      <c r="DB40" s="249">
        <v>105</v>
      </c>
      <c r="DC40" s="249">
        <v>18801</v>
      </c>
      <c r="DD40" s="249" t="s">
        <v>3137</v>
      </c>
      <c r="DE40" s="249">
        <v>53947</v>
      </c>
      <c r="DF40" s="249">
        <v>12462</v>
      </c>
      <c r="DG40" s="249">
        <v>52</v>
      </c>
      <c r="DH40" s="253">
        <f t="shared" si="51"/>
        <v>9.3091006879860161E-2</v>
      </c>
      <c r="DI40" s="249">
        <v>54</v>
      </c>
      <c r="DJ40" s="249">
        <v>54</v>
      </c>
      <c r="DL40" s="151">
        <v>9776</v>
      </c>
      <c r="DM40" s="248"/>
      <c r="DN40" s="252" t="s">
        <v>3092</v>
      </c>
      <c r="DO40" s="252" t="s">
        <v>1950</v>
      </c>
      <c r="DP40" s="252"/>
      <c r="DQ40" s="250"/>
      <c r="DR40" s="261" t="s">
        <v>3016</v>
      </c>
      <c r="DS40" s="248" t="s">
        <v>3016</v>
      </c>
      <c r="DT40" s="275">
        <v>43282</v>
      </c>
      <c r="DU40" s="275">
        <v>43646</v>
      </c>
      <c r="DV40" s="261" t="s">
        <v>3016</v>
      </c>
      <c r="DW40" s="152">
        <f t="shared" si="27"/>
        <v>0.81133794978673179</v>
      </c>
      <c r="DX40" s="152">
        <f t="shared" si="28"/>
        <v>0</v>
      </c>
      <c r="DY40" s="152">
        <f t="shared" si="29"/>
        <v>1.325078995137037</v>
      </c>
      <c r="DZ40" s="152">
        <f t="shared" si="30"/>
        <v>0.64532490718538271</v>
      </c>
      <c r="EA40" s="153">
        <f t="shared" si="62"/>
        <v>0.43153146853146851</v>
      </c>
      <c r="EB40" s="243">
        <f t="shared" si="52"/>
        <v>0.44737177186910371</v>
      </c>
    </row>
    <row r="41" spans="1:132" ht="29.4" thickBot="1" x14ac:dyDescent="0.35">
      <c r="A41" s="261" t="s">
        <v>3159</v>
      </c>
      <c r="B41" s="388" t="s">
        <v>3233</v>
      </c>
      <c r="C41" s="263">
        <v>5221</v>
      </c>
      <c r="D41" s="250">
        <v>0</v>
      </c>
      <c r="E41" s="250">
        <v>0</v>
      </c>
      <c r="F41" s="249">
        <v>6000</v>
      </c>
      <c r="H41" s="151">
        <f t="shared" si="0"/>
        <v>6000</v>
      </c>
      <c r="I41" s="152">
        <v>1.1492100000000001</v>
      </c>
      <c r="J41" s="251">
        <v>147400</v>
      </c>
      <c r="K41" s="251">
        <v>36232</v>
      </c>
      <c r="L41" s="158">
        <f t="shared" si="32"/>
        <v>183632</v>
      </c>
      <c r="M41" s="153">
        <f t="shared" si="33"/>
        <v>35.171806167400881</v>
      </c>
      <c r="N41" s="251">
        <v>19349</v>
      </c>
      <c r="O41" s="251">
        <v>3000</v>
      </c>
      <c r="P41" s="268">
        <v>15206</v>
      </c>
      <c r="Q41" s="158">
        <v>37555</v>
      </c>
      <c r="R41" s="153">
        <f t="shared" si="34"/>
        <v>7.1930664623635323</v>
      </c>
      <c r="S41" s="268">
        <v>19324</v>
      </c>
      <c r="T41" s="251">
        <v>240511</v>
      </c>
      <c r="U41" s="251">
        <v>0</v>
      </c>
      <c r="V41" s="251">
        <v>240511</v>
      </c>
      <c r="W41" s="153">
        <f t="shared" si="35"/>
        <v>46.066079295154182</v>
      </c>
      <c r="X41" s="154">
        <f t="shared" si="36"/>
        <v>0.76350769819259823</v>
      </c>
      <c r="Y41" s="154">
        <f t="shared" si="37"/>
        <v>0.15614670430874264</v>
      </c>
      <c r="Z41" s="154">
        <f t="shared" si="38"/>
        <v>8.0345597498659105E-2</v>
      </c>
      <c r="AA41" s="154">
        <f t="shared" si="39"/>
        <v>0</v>
      </c>
      <c r="AB41" s="251">
        <v>0</v>
      </c>
      <c r="AE41" s="251"/>
      <c r="AF41" s="251">
        <v>240511</v>
      </c>
      <c r="AG41" s="251">
        <v>15000</v>
      </c>
      <c r="AH41" s="251"/>
      <c r="AI41" s="158">
        <f t="shared" si="56"/>
        <v>255511</v>
      </c>
      <c r="AJ41" s="153">
        <f t="shared" si="40"/>
        <v>48.939092127944839</v>
      </c>
      <c r="AK41" s="251">
        <v>3565</v>
      </c>
      <c r="AL41" s="251">
        <v>0</v>
      </c>
      <c r="AM41" s="251">
        <v>456</v>
      </c>
      <c r="AN41" s="251"/>
      <c r="AO41" s="158">
        <f t="shared" si="41"/>
        <v>456</v>
      </c>
      <c r="AP41" s="251">
        <v>240511</v>
      </c>
      <c r="AQ41" s="155">
        <f t="shared" si="42"/>
        <v>46.066079295154182</v>
      </c>
      <c r="AR41" s="251"/>
      <c r="AS41" s="268">
        <v>0</v>
      </c>
      <c r="AT41" s="251">
        <v>0</v>
      </c>
      <c r="AU41" s="268">
        <v>0</v>
      </c>
      <c r="AV41" s="268">
        <v>0</v>
      </c>
      <c r="AW41" s="251"/>
      <c r="AX41" s="268">
        <v>0</v>
      </c>
      <c r="AY41" s="158">
        <f t="shared" si="43"/>
        <v>0</v>
      </c>
      <c r="AZ41" s="249">
        <v>17169</v>
      </c>
      <c r="BA41" s="152">
        <f t="shared" si="13"/>
        <v>3.2884504884121815</v>
      </c>
      <c r="BB41" s="269">
        <v>607</v>
      </c>
      <c r="BC41" s="269">
        <v>607</v>
      </c>
      <c r="BD41" s="269">
        <v>1950</v>
      </c>
      <c r="BE41" s="269">
        <v>2067</v>
      </c>
      <c r="BF41" s="269">
        <v>107580</v>
      </c>
      <c r="BG41" s="269">
        <v>-1</v>
      </c>
      <c r="BH41" s="269">
        <v>89</v>
      </c>
      <c r="BI41" s="249">
        <v>0</v>
      </c>
      <c r="BJ41" s="159">
        <f t="shared" si="44"/>
        <v>88</v>
      </c>
      <c r="BK41" s="269">
        <v>146417</v>
      </c>
      <c r="BL41" s="152">
        <f t="shared" si="15"/>
        <v>28.043861329247271</v>
      </c>
      <c r="BM41" s="269">
        <v>21</v>
      </c>
      <c r="BN41" s="249">
        <v>2430</v>
      </c>
      <c r="BO41" s="152">
        <f t="shared" si="16"/>
        <v>0.46542807891208582</v>
      </c>
      <c r="BP41" s="249">
        <v>10926</v>
      </c>
      <c r="BQ41" s="249">
        <v>0</v>
      </c>
      <c r="BR41" s="276">
        <f t="shared" si="45"/>
        <v>29601</v>
      </c>
      <c r="BS41" s="276">
        <v>3448</v>
      </c>
      <c r="BT41" s="269">
        <v>33049</v>
      </c>
      <c r="BU41" s="152">
        <f t="shared" si="17"/>
        <v>6.3300134073932197</v>
      </c>
      <c r="BV41" s="151">
        <f t="shared" si="60"/>
        <v>6609.8</v>
      </c>
      <c r="BW41" s="152">
        <f t="shared" si="57"/>
        <v>16.5245</v>
      </c>
      <c r="BX41" s="152">
        <f t="shared" si="58"/>
        <v>0.98789382435583184</v>
      </c>
      <c r="BY41" s="152">
        <f t="shared" si="59"/>
        <v>0.22571832505788261</v>
      </c>
      <c r="BZ41" s="249">
        <v>108</v>
      </c>
      <c r="CA41" s="249">
        <v>2</v>
      </c>
      <c r="CB41" s="249">
        <v>58</v>
      </c>
      <c r="CC41" s="156">
        <f t="shared" si="48"/>
        <v>168</v>
      </c>
      <c r="CD41" s="249">
        <v>2111</v>
      </c>
      <c r="CE41" s="249">
        <v>9</v>
      </c>
      <c r="CF41" s="249">
        <v>1175</v>
      </c>
      <c r="CG41" s="159">
        <f t="shared" si="49"/>
        <v>3295</v>
      </c>
      <c r="CH41" s="152">
        <f t="shared" si="23"/>
        <v>0.63110515226968011</v>
      </c>
      <c r="CI41" s="249">
        <v>33454</v>
      </c>
      <c r="CJ41" s="152">
        <f t="shared" si="24"/>
        <v>6.4075847538785675</v>
      </c>
      <c r="CK41" s="269">
        <v>3433</v>
      </c>
      <c r="CL41" s="252" t="s">
        <v>25</v>
      </c>
      <c r="CM41" s="252" t="s">
        <v>25</v>
      </c>
      <c r="CN41" s="252" t="s">
        <v>25</v>
      </c>
      <c r="CO41" s="253">
        <v>1</v>
      </c>
      <c r="CP41" s="253">
        <v>0</v>
      </c>
      <c r="CQ41" s="253">
        <v>0</v>
      </c>
      <c r="CR41" s="253">
        <v>4</v>
      </c>
      <c r="CS41" s="223">
        <f t="shared" si="50"/>
        <v>5</v>
      </c>
      <c r="CT41" s="151">
        <f t="shared" si="61"/>
        <v>1044.2</v>
      </c>
      <c r="CU41" s="249">
        <v>100</v>
      </c>
      <c r="CV41" s="251">
        <v>47804</v>
      </c>
      <c r="CW41" s="253">
        <v>40</v>
      </c>
      <c r="CX41" s="252" t="s">
        <v>25</v>
      </c>
      <c r="CY41" s="252" t="s">
        <v>25</v>
      </c>
      <c r="CZ41" s="249">
        <v>2566</v>
      </c>
      <c r="DA41" s="249">
        <v>1140</v>
      </c>
      <c r="DB41" s="249">
        <v>18</v>
      </c>
      <c r="DC41" s="249">
        <v>4056</v>
      </c>
      <c r="DD41" s="249">
        <v>4926</v>
      </c>
      <c r="DE41" s="249" t="s">
        <v>3137</v>
      </c>
      <c r="DF41" s="249">
        <v>2477</v>
      </c>
      <c r="DG41" s="249">
        <v>52</v>
      </c>
      <c r="DH41" s="253">
        <f t="shared" si="51"/>
        <v>0.47443018578816321</v>
      </c>
      <c r="DI41" s="249">
        <v>40</v>
      </c>
      <c r="DJ41" s="249">
        <v>40</v>
      </c>
      <c r="DL41" s="151">
        <v>2000</v>
      </c>
      <c r="DM41" s="248"/>
      <c r="DN41" s="252" t="s">
        <v>3093</v>
      </c>
      <c r="DO41" s="252" t="s">
        <v>3053</v>
      </c>
      <c r="DP41" s="252"/>
      <c r="DQ41" s="250"/>
      <c r="DR41" s="261" t="s">
        <v>3159</v>
      </c>
      <c r="DS41" s="248" t="s">
        <v>2986</v>
      </c>
      <c r="DT41" s="275">
        <v>43282</v>
      </c>
      <c r="DU41" s="275">
        <v>43646</v>
      </c>
      <c r="DV41" s="261" t="s">
        <v>3159</v>
      </c>
      <c r="DW41" s="152">
        <f t="shared" si="27"/>
        <v>2.0927025474047118</v>
      </c>
      <c r="DX41" s="152">
        <f t="shared" si="28"/>
        <v>0</v>
      </c>
      <c r="DY41" s="152">
        <f t="shared" si="29"/>
        <v>5.6696035242290748</v>
      </c>
      <c r="DZ41" s="152">
        <f t="shared" si="30"/>
        <v>0.66040988316414484</v>
      </c>
      <c r="EA41" s="153">
        <f t="shared" si="62"/>
        <v>0.47743479655538285</v>
      </c>
      <c r="EB41" s="243">
        <f t="shared" si="52"/>
        <v>0.87006960556844548</v>
      </c>
    </row>
    <row r="42" spans="1:132" ht="15" thickBot="1" x14ac:dyDescent="0.35">
      <c r="A42" s="261" t="s">
        <v>3017</v>
      </c>
      <c r="B42" s="388" t="s">
        <v>3234</v>
      </c>
      <c r="C42" s="263">
        <v>62959</v>
      </c>
      <c r="D42" s="250">
        <v>3</v>
      </c>
      <c r="E42" s="250">
        <v>0</v>
      </c>
      <c r="F42" s="249">
        <v>34328</v>
      </c>
      <c r="H42" s="151">
        <f t="shared" si="0"/>
        <v>34328</v>
      </c>
      <c r="I42" s="152">
        <v>0.54523999999999995</v>
      </c>
      <c r="J42" s="251">
        <v>701079</v>
      </c>
      <c r="K42" s="251">
        <v>375809</v>
      </c>
      <c r="L42" s="158">
        <f t="shared" si="32"/>
        <v>1076888</v>
      </c>
      <c r="M42" s="153">
        <f t="shared" si="33"/>
        <v>17.104591877253451</v>
      </c>
      <c r="N42" s="251">
        <v>59745</v>
      </c>
      <c r="O42" s="251">
        <v>30004</v>
      </c>
      <c r="P42" s="268">
        <v>36989</v>
      </c>
      <c r="Q42" s="158">
        <v>126738</v>
      </c>
      <c r="R42" s="153">
        <f t="shared" si="34"/>
        <v>2.0130243491796249</v>
      </c>
      <c r="S42" s="268">
        <v>164701</v>
      </c>
      <c r="T42" s="251">
        <v>1368327</v>
      </c>
      <c r="U42" s="251">
        <v>0</v>
      </c>
      <c r="V42" s="251">
        <v>1368327</v>
      </c>
      <c r="W42" s="153">
        <f t="shared" si="35"/>
        <v>21.733620292571356</v>
      </c>
      <c r="X42" s="154">
        <f t="shared" si="36"/>
        <v>0.7870107072359166</v>
      </c>
      <c r="Y42" s="154">
        <f t="shared" si="37"/>
        <v>9.2622596791556405E-2</v>
      </c>
      <c r="Z42" s="154">
        <f t="shared" si="38"/>
        <v>0.12036669597252704</v>
      </c>
      <c r="AA42" s="154">
        <f t="shared" si="39"/>
        <v>0</v>
      </c>
      <c r="AB42" s="251">
        <v>16657</v>
      </c>
      <c r="AE42" s="251"/>
      <c r="AF42" s="251">
        <v>1368327</v>
      </c>
      <c r="AG42" s="251">
        <v>1486140</v>
      </c>
      <c r="AH42" s="251"/>
      <c r="AI42" s="158">
        <f t="shared" si="56"/>
        <v>2854467</v>
      </c>
      <c r="AJ42" s="153">
        <f t="shared" si="40"/>
        <v>45.338506011848978</v>
      </c>
      <c r="AK42" s="251">
        <v>106293</v>
      </c>
      <c r="AL42" s="251">
        <v>2500</v>
      </c>
      <c r="AM42" s="251">
        <v>0</v>
      </c>
      <c r="AN42" s="251"/>
      <c r="AO42" s="158">
        <f t="shared" si="41"/>
        <v>0</v>
      </c>
      <c r="AP42" s="251">
        <v>1601523</v>
      </c>
      <c r="AQ42" s="155">
        <f t="shared" si="42"/>
        <v>25.437554599024761</v>
      </c>
      <c r="AR42" s="251"/>
      <c r="AS42" s="268">
        <v>0</v>
      </c>
      <c r="AT42" s="251">
        <v>0</v>
      </c>
      <c r="AU42" s="268">
        <v>0</v>
      </c>
      <c r="AV42" s="268">
        <v>0</v>
      </c>
      <c r="AW42" s="251"/>
      <c r="AX42" s="268">
        <v>35981</v>
      </c>
      <c r="AY42" s="158">
        <f t="shared" si="43"/>
        <v>35981</v>
      </c>
      <c r="AZ42" s="249">
        <v>116803</v>
      </c>
      <c r="BA42" s="152">
        <f t="shared" si="13"/>
        <v>1.8552232405216094</v>
      </c>
      <c r="BB42" s="269">
        <v>6309</v>
      </c>
      <c r="BC42" s="269">
        <v>6309</v>
      </c>
      <c r="BD42" s="269">
        <v>8095</v>
      </c>
      <c r="BE42" s="269">
        <v>2179</v>
      </c>
      <c r="BF42" s="269">
        <v>149214</v>
      </c>
      <c r="BG42" s="269">
        <v>10</v>
      </c>
      <c r="BH42" s="269">
        <v>89</v>
      </c>
      <c r="BI42" s="249">
        <v>0</v>
      </c>
      <c r="BJ42" s="159">
        <f t="shared" si="44"/>
        <v>99</v>
      </c>
      <c r="BK42" s="269">
        <v>319448</v>
      </c>
      <c r="BL42" s="152">
        <f t="shared" si="15"/>
        <v>5.0739052399180418</v>
      </c>
      <c r="BM42" s="269">
        <v>121</v>
      </c>
      <c r="BN42" s="249">
        <v>20760</v>
      </c>
      <c r="BO42" s="152">
        <f t="shared" si="16"/>
        <v>0.32973840118172143</v>
      </c>
      <c r="BP42" s="249">
        <v>53998</v>
      </c>
      <c r="BQ42" s="249">
        <v>0</v>
      </c>
      <c r="BR42" s="276">
        <f t="shared" si="45"/>
        <v>187393</v>
      </c>
      <c r="BS42" s="276">
        <v>92985</v>
      </c>
      <c r="BT42" s="269">
        <v>280378</v>
      </c>
      <c r="BU42" s="152">
        <f t="shared" si="17"/>
        <v>4.453342651566893</v>
      </c>
      <c r="BV42" s="151">
        <f t="shared" si="60"/>
        <v>21567.538461538461</v>
      </c>
      <c r="BW42" s="152">
        <f t="shared" si="57"/>
        <v>53.405333333333331</v>
      </c>
      <c r="BX42" s="152">
        <f t="shared" si="58"/>
        <v>1.7029658469032622</v>
      </c>
      <c r="BY42" s="152">
        <f t="shared" si="59"/>
        <v>0.87769527434825079</v>
      </c>
      <c r="BZ42" s="249">
        <v>314</v>
      </c>
      <c r="CA42" s="249">
        <v>26</v>
      </c>
      <c r="CB42" s="249">
        <v>263</v>
      </c>
      <c r="CC42" s="156">
        <f t="shared" si="48"/>
        <v>603</v>
      </c>
      <c r="CD42" s="249">
        <v>6670</v>
      </c>
      <c r="CE42" s="249">
        <v>276</v>
      </c>
      <c r="CF42" s="249">
        <v>3546</v>
      </c>
      <c r="CG42" s="159">
        <f t="shared" si="49"/>
        <v>10492</v>
      </c>
      <c r="CH42" s="152">
        <f t="shared" si="23"/>
        <v>0.16664813608856557</v>
      </c>
      <c r="CI42" s="249">
        <v>164641</v>
      </c>
      <c r="CJ42" s="152">
        <f t="shared" si="24"/>
        <v>2.6150510649787959</v>
      </c>
      <c r="CK42" s="269">
        <v>16572</v>
      </c>
      <c r="CL42" s="252" t="s">
        <v>25</v>
      </c>
      <c r="CM42" s="252" t="s">
        <v>25</v>
      </c>
      <c r="CN42" s="252" t="s">
        <v>25</v>
      </c>
      <c r="CO42" s="253">
        <v>4</v>
      </c>
      <c r="CP42" s="151">
        <f>C42/CO42</f>
        <v>15739.75</v>
      </c>
      <c r="CQ42" s="253">
        <v>1</v>
      </c>
      <c r="CR42" s="253">
        <v>8</v>
      </c>
      <c r="CS42" s="223">
        <f t="shared" si="50"/>
        <v>13</v>
      </c>
      <c r="CT42" s="151">
        <f t="shared" si="61"/>
        <v>4843</v>
      </c>
      <c r="CU42" s="249">
        <v>1606</v>
      </c>
      <c r="CV42" s="251">
        <v>65650</v>
      </c>
      <c r="CW42" s="253">
        <v>40</v>
      </c>
      <c r="CX42" s="252" t="s">
        <v>25</v>
      </c>
      <c r="CY42" s="252" t="s">
        <v>25</v>
      </c>
      <c r="CZ42" s="249">
        <v>12792</v>
      </c>
      <c r="DA42" s="249">
        <v>14197</v>
      </c>
      <c r="DB42" s="249">
        <v>46</v>
      </c>
      <c r="DC42" s="249">
        <v>11371</v>
      </c>
      <c r="DD42" s="249">
        <v>25238</v>
      </c>
      <c r="DE42" s="249">
        <v>102228</v>
      </c>
      <c r="DF42" s="249">
        <v>7150</v>
      </c>
      <c r="DG42" s="249">
        <v>52</v>
      </c>
      <c r="DH42" s="253">
        <f t="shared" si="51"/>
        <v>0.11356597150526533</v>
      </c>
      <c r="DI42" s="249">
        <v>47</v>
      </c>
      <c r="DJ42" s="249">
        <v>47</v>
      </c>
      <c r="DL42" s="151">
        <v>5250</v>
      </c>
      <c r="DM42" s="248"/>
      <c r="DN42" s="252" t="s">
        <v>3094</v>
      </c>
      <c r="DO42" s="252" t="s">
        <v>1950</v>
      </c>
      <c r="DP42" s="252"/>
      <c r="DQ42" s="250"/>
      <c r="DR42" s="261" t="s">
        <v>3017</v>
      </c>
      <c r="DS42" s="248" t="s">
        <v>3017</v>
      </c>
      <c r="DT42" s="275">
        <v>43282</v>
      </c>
      <c r="DU42" s="275">
        <v>43646</v>
      </c>
      <c r="DV42" s="261" t="s">
        <v>3017</v>
      </c>
      <c r="DW42" s="152">
        <f t="shared" si="27"/>
        <v>0.85766927683095351</v>
      </c>
      <c r="DX42" s="152">
        <f t="shared" si="28"/>
        <v>0</v>
      </c>
      <c r="DY42" s="152">
        <f t="shared" si="29"/>
        <v>2.9764291046554106</v>
      </c>
      <c r="DZ42" s="152">
        <f t="shared" si="30"/>
        <v>1.476913546911482</v>
      </c>
      <c r="EA42" s="153">
        <f t="shared" si="62"/>
        <v>0.24750301378261824</v>
      </c>
      <c r="EB42" s="243">
        <f t="shared" si="52"/>
        <v>0.322675700381782</v>
      </c>
    </row>
    <row r="43" spans="1:132" ht="15" thickBot="1" x14ac:dyDescent="0.35">
      <c r="A43" s="261" t="s">
        <v>3018</v>
      </c>
      <c r="B43" s="388" t="s">
        <v>3235</v>
      </c>
      <c r="C43" s="263">
        <v>117312</v>
      </c>
      <c r="D43" s="250">
        <v>5</v>
      </c>
      <c r="E43" s="250">
        <v>0</v>
      </c>
      <c r="F43" s="249">
        <v>61790</v>
      </c>
      <c r="H43" s="151">
        <f t="shared" si="0"/>
        <v>61790</v>
      </c>
      <c r="I43" s="152">
        <v>0.52671999999999997</v>
      </c>
      <c r="J43" s="251">
        <v>1666509</v>
      </c>
      <c r="K43" s="251">
        <v>826137</v>
      </c>
      <c r="L43" s="158">
        <f t="shared" si="32"/>
        <v>2492646</v>
      </c>
      <c r="M43" s="153">
        <f t="shared" si="33"/>
        <v>21.248005319148938</v>
      </c>
      <c r="N43" s="251">
        <v>272689</v>
      </c>
      <c r="O43" s="251">
        <v>137174</v>
      </c>
      <c r="P43" s="268">
        <v>41720</v>
      </c>
      <c r="Q43" s="158">
        <v>451583</v>
      </c>
      <c r="R43" s="153">
        <f t="shared" si="34"/>
        <v>3.8494186442989635</v>
      </c>
      <c r="S43" s="268">
        <v>430168</v>
      </c>
      <c r="T43" s="251">
        <v>3374397</v>
      </c>
      <c r="U43" s="251">
        <v>0</v>
      </c>
      <c r="V43" s="251">
        <v>3374397</v>
      </c>
      <c r="W43" s="153">
        <f t="shared" si="35"/>
        <v>28.764295212765958</v>
      </c>
      <c r="X43" s="154">
        <f t="shared" si="36"/>
        <v>0.73869375772915868</v>
      </c>
      <c r="Y43" s="154">
        <f t="shared" si="37"/>
        <v>0.13382628066584934</v>
      </c>
      <c r="Z43" s="154">
        <f t="shared" si="38"/>
        <v>0.12747996160499195</v>
      </c>
      <c r="AA43" s="154">
        <f t="shared" si="39"/>
        <v>0</v>
      </c>
      <c r="AB43" s="251">
        <v>0</v>
      </c>
      <c r="AE43" s="251"/>
      <c r="AF43" s="251">
        <v>3374397</v>
      </c>
      <c r="AG43" s="251">
        <v>3261328</v>
      </c>
      <c r="AH43" s="251"/>
      <c r="AI43" s="158">
        <f t="shared" si="56"/>
        <v>6635725</v>
      </c>
      <c r="AJ43" s="153">
        <f t="shared" si="40"/>
        <v>56.564758933442441</v>
      </c>
      <c r="AK43" s="251">
        <v>140173</v>
      </c>
      <c r="AL43" s="251">
        <v>26774</v>
      </c>
      <c r="AM43" s="251">
        <v>102043</v>
      </c>
      <c r="AN43" s="251"/>
      <c r="AO43" s="158">
        <f t="shared" si="41"/>
        <v>102043</v>
      </c>
      <c r="AP43" s="251">
        <v>3530318</v>
      </c>
      <c r="AQ43" s="155">
        <f t="shared" si="42"/>
        <v>30.093409028914348</v>
      </c>
      <c r="AR43" s="251"/>
      <c r="AS43" s="268">
        <v>0</v>
      </c>
      <c r="AT43" s="251">
        <v>0</v>
      </c>
      <c r="AU43" s="268">
        <v>0</v>
      </c>
      <c r="AV43" s="268">
        <v>0</v>
      </c>
      <c r="AW43" s="251"/>
      <c r="AX43" s="268">
        <v>0</v>
      </c>
      <c r="AY43" s="158">
        <f t="shared" si="43"/>
        <v>0</v>
      </c>
      <c r="AZ43" s="249">
        <v>255194</v>
      </c>
      <c r="BA43" s="152">
        <f t="shared" si="13"/>
        <v>2.1753443807965085</v>
      </c>
      <c r="BB43" s="269">
        <v>14893</v>
      </c>
      <c r="BC43" s="269">
        <v>14893</v>
      </c>
      <c r="BD43" s="269">
        <v>21116</v>
      </c>
      <c r="BE43" s="269">
        <v>2179</v>
      </c>
      <c r="BF43" s="269">
        <v>144244</v>
      </c>
      <c r="BG43" s="269">
        <v>6</v>
      </c>
      <c r="BH43" s="269">
        <v>89</v>
      </c>
      <c r="BI43" s="249">
        <v>0</v>
      </c>
      <c r="BJ43" s="159">
        <f t="shared" si="44"/>
        <v>95</v>
      </c>
      <c r="BK43" s="269">
        <v>474171</v>
      </c>
      <c r="BL43" s="152">
        <f t="shared" si="15"/>
        <v>4.0419650163666123</v>
      </c>
      <c r="BM43" s="269">
        <v>2</v>
      </c>
      <c r="BN43" s="249">
        <v>68163</v>
      </c>
      <c r="BO43" s="152">
        <f t="shared" si="16"/>
        <v>0.5810403027823241</v>
      </c>
      <c r="BP43" s="249">
        <v>188888</v>
      </c>
      <c r="BQ43" s="249">
        <v>0</v>
      </c>
      <c r="BR43" s="276">
        <f t="shared" si="45"/>
        <v>614004</v>
      </c>
      <c r="BS43" s="276">
        <v>244967</v>
      </c>
      <c r="BT43" s="269">
        <v>858971</v>
      </c>
      <c r="BU43" s="152">
        <f t="shared" si="17"/>
        <v>7.3221068603382431</v>
      </c>
      <c r="BV43" s="151">
        <f t="shared" si="60"/>
        <v>21506.534802203307</v>
      </c>
      <c r="BW43" s="152">
        <f t="shared" si="57"/>
        <v>85.350854531001588</v>
      </c>
      <c r="BX43" s="152">
        <f t="shared" si="58"/>
        <v>2.2407198718651036</v>
      </c>
      <c r="BY43" s="152">
        <f t="shared" si="59"/>
        <v>1.8115215818765804</v>
      </c>
      <c r="BZ43" s="249">
        <v>506</v>
      </c>
      <c r="CA43" s="249">
        <v>58</v>
      </c>
      <c r="CB43" s="249">
        <v>598</v>
      </c>
      <c r="CC43" s="156">
        <f t="shared" si="48"/>
        <v>1162</v>
      </c>
      <c r="CD43" s="249">
        <v>17842</v>
      </c>
      <c r="CE43" s="249">
        <v>866</v>
      </c>
      <c r="CF43" s="249">
        <v>6344</v>
      </c>
      <c r="CG43" s="159">
        <f t="shared" si="49"/>
        <v>25052</v>
      </c>
      <c r="CH43" s="152">
        <f t="shared" si="23"/>
        <v>0.21355019094380798</v>
      </c>
      <c r="CI43" s="249">
        <v>383346</v>
      </c>
      <c r="CJ43" s="152">
        <f t="shared" si="24"/>
        <v>3.2677475450081834</v>
      </c>
      <c r="CK43" s="269">
        <v>100459</v>
      </c>
      <c r="CL43" s="252" t="s">
        <v>25</v>
      </c>
      <c r="CM43" s="252" t="s">
        <v>25</v>
      </c>
      <c r="CN43" s="252" t="s">
        <v>25</v>
      </c>
      <c r="CO43" s="253">
        <v>9.3800000000000008</v>
      </c>
      <c r="CP43" s="151">
        <f>C43/CO43</f>
        <v>12506.609808102345</v>
      </c>
      <c r="CQ43" s="253">
        <v>0</v>
      </c>
      <c r="CR43" s="253">
        <v>30.56</v>
      </c>
      <c r="CS43" s="223">
        <f t="shared" si="50"/>
        <v>39.94</v>
      </c>
      <c r="CT43" s="151">
        <f t="shared" si="61"/>
        <v>2937.2058087130699</v>
      </c>
      <c r="CU43" s="249">
        <v>10798</v>
      </c>
      <c r="CV43" s="251">
        <v>90125</v>
      </c>
      <c r="CW43" s="253">
        <v>40</v>
      </c>
      <c r="CX43" s="252" t="s">
        <v>25</v>
      </c>
      <c r="CY43" s="252" t="s">
        <v>25</v>
      </c>
      <c r="CZ43" s="249">
        <v>23469</v>
      </c>
      <c r="DA43" s="249">
        <v>34829</v>
      </c>
      <c r="DB43" s="249">
        <v>77</v>
      </c>
      <c r="DC43" s="249">
        <v>28528</v>
      </c>
      <c r="DD43" s="249">
        <v>22312</v>
      </c>
      <c r="DE43" s="249">
        <v>200004</v>
      </c>
      <c r="DF43" s="249">
        <v>13528</v>
      </c>
      <c r="DG43" s="249">
        <v>52</v>
      </c>
      <c r="DH43" s="253">
        <f t="shared" si="51"/>
        <v>0.115316421167485</v>
      </c>
      <c r="DI43" s="249">
        <v>62</v>
      </c>
      <c r="DJ43" s="249">
        <v>62</v>
      </c>
      <c r="DL43" s="151">
        <v>10064</v>
      </c>
      <c r="DM43" s="248"/>
      <c r="DN43" s="252" t="s">
        <v>3095</v>
      </c>
      <c r="DO43" s="254" t="s">
        <v>1950</v>
      </c>
      <c r="DP43" s="252"/>
      <c r="DQ43" s="250"/>
      <c r="DR43" s="261" t="s">
        <v>3018</v>
      </c>
      <c r="DS43" s="248" t="s">
        <v>3018</v>
      </c>
      <c r="DT43" s="275">
        <v>43282</v>
      </c>
      <c r="DU43" s="275">
        <v>43646</v>
      </c>
      <c r="DV43" s="261" t="s">
        <v>3018</v>
      </c>
      <c r="DW43" s="152">
        <f t="shared" si="27"/>
        <v>1.6101336606655756</v>
      </c>
      <c r="DX43" s="152">
        <f t="shared" si="28"/>
        <v>0</v>
      </c>
      <c r="DY43" s="152">
        <f t="shared" si="29"/>
        <v>5.2339402618657935</v>
      </c>
      <c r="DZ43" s="152">
        <f t="shared" si="30"/>
        <v>2.0881665984724496</v>
      </c>
      <c r="EA43" s="153">
        <f t="shared" si="62"/>
        <v>0.33963347498791868</v>
      </c>
      <c r="EB43" s="243">
        <f t="shared" si="52"/>
        <v>0.55996930198761463</v>
      </c>
    </row>
    <row r="44" spans="1:132" ht="15" thickBot="1" x14ac:dyDescent="0.35">
      <c r="A44" s="261" t="s">
        <v>3160</v>
      </c>
      <c r="B44" s="388" t="s">
        <v>3236</v>
      </c>
      <c r="C44" s="263">
        <v>40932</v>
      </c>
      <c r="D44" s="250">
        <v>1</v>
      </c>
      <c r="E44" s="250">
        <v>0</v>
      </c>
      <c r="F44" s="249">
        <v>44800</v>
      </c>
      <c r="H44" s="151">
        <f t="shared" si="0"/>
        <v>44800</v>
      </c>
      <c r="I44" s="152">
        <v>1.0945</v>
      </c>
      <c r="J44" s="251">
        <v>1000514</v>
      </c>
      <c r="K44" s="251">
        <v>258537</v>
      </c>
      <c r="L44" s="158">
        <f t="shared" si="32"/>
        <v>1259051</v>
      </c>
      <c r="M44" s="153">
        <f t="shared" si="33"/>
        <v>30.759576859181081</v>
      </c>
      <c r="N44" s="251">
        <v>148901</v>
      </c>
      <c r="O44" s="251">
        <v>39857</v>
      </c>
      <c r="P44" s="268">
        <v>38770</v>
      </c>
      <c r="Q44" s="158">
        <v>227528</v>
      </c>
      <c r="R44" s="153">
        <f t="shared" si="34"/>
        <v>5.558682693247337</v>
      </c>
      <c r="S44" s="268">
        <v>389972</v>
      </c>
      <c r="T44" s="251">
        <v>1876551</v>
      </c>
      <c r="U44" s="251">
        <v>0</v>
      </c>
      <c r="V44" s="251">
        <v>1876551</v>
      </c>
      <c r="W44" s="153">
        <f t="shared" si="35"/>
        <v>45.845573145705075</v>
      </c>
      <c r="X44" s="154">
        <f t="shared" si="36"/>
        <v>0.67093886603668107</v>
      </c>
      <c r="Y44" s="154">
        <f t="shared" si="37"/>
        <v>0.12124797034559678</v>
      </c>
      <c r="Z44" s="154">
        <f t="shared" si="38"/>
        <v>0.20781316361772209</v>
      </c>
      <c r="AA44" s="154">
        <f t="shared" si="39"/>
        <v>0</v>
      </c>
      <c r="AB44" s="251">
        <v>13085</v>
      </c>
      <c r="AE44" s="251"/>
      <c r="AF44" s="251">
        <v>1876551</v>
      </c>
      <c r="AG44" s="251">
        <v>222455</v>
      </c>
      <c r="AH44" s="251"/>
      <c r="AI44" s="158">
        <f t="shared" si="56"/>
        <v>2099006</v>
      </c>
      <c r="AJ44" s="153">
        <f t="shared" si="40"/>
        <v>51.28031857715235</v>
      </c>
      <c r="AK44" s="251">
        <v>27233</v>
      </c>
      <c r="AL44" s="251">
        <v>3628</v>
      </c>
      <c r="AM44" s="251">
        <v>23765</v>
      </c>
      <c r="AN44" s="251"/>
      <c r="AO44" s="158">
        <f t="shared" si="41"/>
        <v>23765</v>
      </c>
      <c r="AP44" s="251">
        <v>1882322</v>
      </c>
      <c r="AQ44" s="155">
        <f t="shared" si="42"/>
        <v>45.986563080230624</v>
      </c>
      <c r="AR44" s="251"/>
      <c r="AS44" s="268">
        <v>126780</v>
      </c>
      <c r="AT44" s="251">
        <v>0</v>
      </c>
      <c r="AU44" s="268">
        <v>0</v>
      </c>
      <c r="AV44" s="268">
        <v>0</v>
      </c>
      <c r="AW44" s="251"/>
      <c r="AX44" s="268">
        <v>0</v>
      </c>
      <c r="AY44" s="158">
        <f t="shared" si="43"/>
        <v>126780</v>
      </c>
      <c r="AZ44" s="249">
        <v>109363</v>
      </c>
      <c r="BA44" s="152">
        <f t="shared" si="13"/>
        <v>2.6718215577054627</v>
      </c>
      <c r="BB44" s="269">
        <v>7556</v>
      </c>
      <c r="BC44" s="269">
        <v>7556</v>
      </c>
      <c r="BD44" s="269">
        <v>13942</v>
      </c>
      <c r="BE44" s="269">
        <v>2179</v>
      </c>
      <c r="BF44" s="269">
        <v>144058</v>
      </c>
      <c r="BG44" s="269">
        <v>6</v>
      </c>
      <c r="BH44" s="269">
        <v>89</v>
      </c>
      <c r="BI44" s="249">
        <v>0</v>
      </c>
      <c r="BJ44" s="159">
        <f t="shared" si="44"/>
        <v>95</v>
      </c>
      <c r="BK44" s="269">
        <v>312140</v>
      </c>
      <c r="BL44" s="152">
        <f t="shared" si="15"/>
        <v>7.6258184305677705</v>
      </c>
      <c r="BM44" s="269">
        <v>185</v>
      </c>
      <c r="BN44" s="249">
        <v>58664</v>
      </c>
      <c r="BO44" s="152">
        <f t="shared" si="16"/>
        <v>1.4332062933646048</v>
      </c>
      <c r="BP44" s="249">
        <v>114075</v>
      </c>
      <c r="BQ44" s="249">
        <v>0</v>
      </c>
      <c r="BR44" s="276">
        <f t="shared" si="45"/>
        <v>254890</v>
      </c>
      <c r="BS44" s="276">
        <v>44651</v>
      </c>
      <c r="BT44" s="269">
        <v>299541</v>
      </c>
      <c r="BU44" s="152">
        <f t="shared" si="17"/>
        <v>7.3180152447962472</v>
      </c>
      <c r="BV44" s="151">
        <f t="shared" si="60"/>
        <v>12029.759036144578</v>
      </c>
      <c r="BW44" s="152">
        <f t="shared" si="57"/>
        <v>60.635829959514169</v>
      </c>
      <c r="BX44" s="152">
        <f t="shared" si="58"/>
        <v>1.5300580780605912</v>
      </c>
      <c r="BY44" s="152">
        <f t="shared" si="59"/>
        <v>0.95963670148010505</v>
      </c>
      <c r="BZ44" s="249">
        <v>362</v>
      </c>
      <c r="CA44" s="249">
        <v>28</v>
      </c>
      <c r="CB44" s="249">
        <v>233</v>
      </c>
      <c r="CC44" s="156">
        <f t="shared" si="48"/>
        <v>623</v>
      </c>
      <c r="CD44" s="249">
        <v>9435</v>
      </c>
      <c r="CE44" s="249">
        <v>329</v>
      </c>
      <c r="CF44" s="249">
        <v>2745</v>
      </c>
      <c r="CG44" s="159">
        <f t="shared" si="49"/>
        <v>12509</v>
      </c>
      <c r="CH44" s="152">
        <f t="shared" si="23"/>
        <v>0.30560441708198965</v>
      </c>
      <c r="CI44" s="249">
        <v>195771</v>
      </c>
      <c r="CJ44" s="152">
        <f t="shared" si="24"/>
        <v>4.7828349457637058</v>
      </c>
      <c r="CK44" s="269">
        <v>32979</v>
      </c>
      <c r="CL44" s="252" t="s">
        <v>25</v>
      </c>
      <c r="CM44" s="252" t="s">
        <v>25</v>
      </c>
      <c r="CN44" s="252" t="s">
        <v>25</v>
      </c>
      <c r="CO44" s="253">
        <v>6.56</v>
      </c>
      <c r="CP44" s="253">
        <v>0</v>
      </c>
      <c r="CQ44" s="253">
        <v>0.94</v>
      </c>
      <c r="CR44" s="253">
        <v>17.399999999999999</v>
      </c>
      <c r="CS44" s="223">
        <f t="shared" si="50"/>
        <v>24.9</v>
      </c>
      <c r="CT44" s="151">
        <f t="shared" si="61"/>
        <v>1643.8554216867471</v>
      </c>
      <c r="CU44" s="249">
        <v>576</v>
      </c>
      <c r="CV44" s="251">
        <v>74940</v>
      </c>
      <c r="CW44" s="253">
        <v>40</v>
      </c>
      <c r="CX44" s="252" t="s">
        <v>25</v>
      </c>
      <c r="CY44" s="252" t="s">
        <v>25</v>
      </c>
      <c r="CZ44" s="249">
        <v>158</v>
      </c>
      <c r="DA44" s="249">
        <v>146</v>
      </c>
      <c r="DB44" s="249">
        <v>56</v>
      </c>
      <c r="DC44" s="249">
        <v>20333</v>
      </c>
      <c r="DD44" s="249">
        <v>34015</v>
      </c>
      <c r="DE44" s="249" t="s">
        <v>3137</v>
      </c>
      <c r="DF44" s="249">
        <v>6656</v>
      </c>
      <c r="DG44" s="249">
        <v>51</v>
      </c>
      <c r="DH44" s="253">
        <f t="shared" si="51"/>
        <v>0.16261115997263756</v>
      </c>
      <c r="DI44" s="249">
        <v>45</v>
      </c>
      <c r="DJ44" s="249">
        <v>45</v>
      </c>
      <c r="DL44" s="151">
        <v>4940</v>
      </c>
      <c r="DM44" s="248"/>
      <c r="DN44" s="252" t="s">
        <v>3096</v>
      </c>
      <c r="DO44" s="252" t="s">
        <v>3053</v>
      </c>
      <c r="DP44" s="252"/>
      <c r="DQ44" s="250"/>
      <c r="DR44" s="261" t="s">
        <v>3160</v>
      </c>
      <c r="DS44" s="248" t="s">
        <v>2993</v>
      </c>
      <c r="DT44" s="275">
        <v>43282</v>
      </c>
      <c r="DU44" s="275">
        <v>43646</v>
      </c>
      <c r="DV44" s="261" t="s">
        <v>3160</v>
      </c>
      <c r="DW44" s="152">
        <f t="shared" si="27"/>
        <v>2.7869393139841687</v>
      </c>
      <c r="DX44" s="152">
        <f t="shared" si="28"/>
        <v>0</v>
      </c>
      <c r="DY44" s="152">
        <f t="shared" si="29"/>
        <v>6.2271572363920651</v>
      </c>
      <c r="DZ44" s="152">
        <f t="shared" si="30"/>
        <v>1.0908580084041826</v>
      </c>
      <c r="EA44" s="153">
        <f t="shared" si="62"/>
        <v>0.40356402368788369</v>
      </c>
      <c r="EB44" s="243">
        <f t="shared" si="52"/>
        <v>0.89263398356139845</v>
      </c>
    </row>
    <row r="45" spans="1:132" ht="15" thickBot="1" x14ac:dyDescent="0.35">
      <c r="A45" s="261" t="s">
        <v>3161</v>
      </c>
      <c r="B45" s="388" t="s">
        <v>3237</v>
      </c>
      <c r="C45" s="263">
        <v>113019</v>
      </c>
      <c r="D45" s="250">
        <v>0</v>
      </c>
      <c r="E45" s="250">
        <v>1</v>
      </c>
      <c r="F45" s="249">
        <v>83440</v>
      </c>
      <c r="H45" s="151">
        <f t="shared" si="0"/>
        <v>83440</v>
      </c>
      <c r="I45" s="152">
        <v>0.73836999999999997</v>
      </c>
      <c r="J45" s="251">
        <v>2584433</v>
      </c>
      <c r="K45" s="251">
        <v>1018761</v>
      </c>
      <c r="L45" s="158">
        <f t="shared" si="32"/>
        <v>3603194</v>
      </c>
      <c r="M45" s="153">
        <f t="shared" si="33"/>
        <v>31.881311991788991</v>
      </c>
      <c r="N45" s="251">
        <v>161910</v>
      </c>
      <c r="O45" s="251">
        <v>99352</v>
      </c>
      <c r="P45" s="268">
        <v>75450</v>
      </c>
      <c r="Q45" s="158">
        <v>336712</v>
      </c>
      <c r="R45" s="153">
        <f t="shared" si="34"/>
        <v>2.9792512763340677</v>
      </c>
      <c r="S45" s="268">
        <v>865558</v>
      </c>
      <c r="T45" s="251">
        <v>4805464</v>
      </c>
      <c r="U45" s="251">
        <v>0</v>
      </c>
      <c r="V45" s="251">
        <v>4805464</v>
      </c>
      <c r="W45" s="153">
        <f t="shared" si="35"/>
        <v>42.519080862509846</v>
      </c>
      <c r="X45" s="154">
        <f t="shared" si="36"/>
        <v>0.7498118808090124</v>
      </c>
      <c r="Y45" s="154">
        <f t="shared" si="37"/>
        <v>7.0068571942272381E-2</v>
      </c>
      <c r="Z45" s="154">
        <f t="shared" si="38"/>
        <v>0.18011954724871521</v>
      </c>
      <c r="AA45" s="154">
        <f t="shared" si="39"/>
        <v>0</v>
      </c>
      <c r="AB45" s="251">
        <v>0</v>
      </c>
      <c r="AE45" s="251"/>
      <c r="AF45" s="251">
        <v>4805464</v>
      </c>
      <c r="AG45" s="251">
        <v>359960</v>
      </c>
      <c r="AH45" s="251"/>
      <c r="AI45" s="158">
        <f t="shared" si="56"/>
        <v>5165424</v>
      </c>
      <c r="AJ45" s="153">
        <f t="shared" si="40"/>
        <v>45.704032065404931</v>
      </c>
      <c r="AK45" s="251">
        <v>81538</v>
      </c>
      <c r="AL45" s="251">
        <v>12622</v>
      </c>
      <c r="AM45" s="251">
        <v>0</v>
      </c>
      <c r="AN45" s="251"/>
      <c r="AO45" s="158">
        <f t="shared" si="41"/>
        <v>0</v>
      </c>
      <c r="AP45" s="251">
        <v>4840729</v>
      </c>
      <c r="AQ45" s="155">
        <f t="shared" si="42"/>
        <v>42.831108043780247</v>
      </c>
      <c r="AR45" s="251"/>
      <c r="AS45" s="268">
        <v>119317</v>
      </c>
      <c r="AT45" s="251">
        <v>0</v>
      </c>
      <c r="AU45" s="268">
        <v>50000</v>
      </c>
      <c r="AV45" s="268">
        <v>0</v>
      </c>
      <c r="AW45" s="251"/>
      <c r="AX45" s="268">
        <v>0</v>
      </c>
      <c r="AY45" s="158">
        <f t="shared" si="43"/>
        <v>169317</v>
      </c>
      <c r="AZ45" s="249">
        <v>241512</v>
      </c>
      <c r="BA45" s="152">
        <f t="shared" si="13"/>
        <v>2.1369150319857724</v>
      </c>
      <c r="BB45" s="269">
        <v>6256</v>
      </c>
      <c r="BC45" s="269">
        <v>6256</v>
      </c>
      <c r="BD45" s="269">
        <v>23125</v>
      </c>
      <c r="BE45" s="269">
        <v>48538</v>
      </c>
      <c r="BF45" s="269">
        <v>816392</v>
      </c>
      <c r="BG45" s="269">
        <v>17</v>
      </c>
      <c r="BH45" s="269">
        <v>89</v>
      </c>
      <c r="BI45" s="249">
        <v>0</v>
      </c>
      <c r="BJ45" s="159">
        <f t="shared" si="44"/>
        <v>106</v>
      </c>
      <c r="BK45" s="269">
        <v>1349307</v>
      </c>
      <c r="BL45" s="152">
        <f t="shared" si="15"/>
        <v>11.938762508958671</v>
      </c>
      <c r="BM45" s="269">
        <v>327</v>
      </c>
      <c r="BN45" s="249">
        <v>65471</v>
      </c>
      <c r="BO45" s="152">
        <f t="shared" si="16"/>
        <v>0.57929197745511818</v>
      </c>
      <c r="BP45" s="249">
        <v>117038</v>
      </c>
      <c r="BQ45" s="249">
        <v>0</v>
      </c>
      <c r="BR45" s="276">
        <f t="shared" si="45"/>
        <v>345856</v>
      </c>
      <c r="BS45" s="276">
        <v>459803</v>
      </c>
      <c r="BT45" s="269">
        <v>805659</v>
      </c>
      <c r="BU45" s="152">
        <f t="shared" si="17"/>
        <v>7.1285270618214636</v>
      </c>
      <c r="BV45" s="151">
        <f t="shared" si="60"/>
        <v>13316.677685950413</v>
      </c>
      <c r="BW45" s="152">
        <f t="shared" si="57"/>
        <v>279.45161290322579</v>
      </c>
      <c r="BX45" s="152">
        <f t="shared" si="58"/>
        <v>3.9268258207907665</v>
      </c>
      <c r="BY45" s="152">
        <f t="shared" si="59"/>
        <v>0.5970909511326925</v>
      </c>
      <c r="BZ45" s="249">
        <v>1130</v>
      </c>
      <c r="CA45" s="249">
        <v>30</v>
      </c>
      <c r="CB45" s="249">
        <v>1205</v>
      </c>
      <c r="CC45" s="156">
        <f t="shared" si="48"/>
        <v>2365</v>
      </c>
      <c r="CD45" s="249">
        <v>26634</v>
      </c>
      <c r="CE45" s="249">
        <v>304</v>
      </c>
      <c r="CF45" s="249">
        <v>29205</v>
      </c>
      <c r="CG45" s="159">
        <f t="shared" si="49"/>
        <v>56143</v>
      </c>
      <c r="CH45" s="152">
        <f t="shared" si="23"/>
        <v>0.49675718242065492</v>
      </c>
      <c r="CI45" s="249">
        <v>205168</v>
      </c>
      <c r="CJ45" s="152">
        <f t="shared" si="24"/>
        <v>1.8153407834080995</v>
      </c>
      <c r="CK45" s="269">
        <v>171908</v>
      </c>
      <c r="CL45" s="252" t="s">
        <v>25</v>
      </c>
      <c r="CM45" s="252" t="s">
        <v>25</v>
      </c>
      <c r="CN45" s="252" t="s">
        <v>25</v>
      </c>
      <c r="CO45" s="253">
        <v>17.75</v>
      </c>
      <c r="CP45" s="151">
        <f t="shared" ref="CP45:CP47" si="63">C45/CO45</f>
        <v>6367.2676056338032</v>
      </c>
      <c r="CQ45" s="253">
        <v>0</v>
      </c>
      <c r="CR45" s="253">
        <v>42.75</v>
      </c>
      <c r="CS45" s="223">
        <f t="shared" si="50"/>
        <v>60.5</v>
      </c>
      <c r="CT45" s="151">
        <f t="shared" si="61"/>
        <v>1868.0826446280992</v>
      </c>
      <c r="CU45" s="249">
        <v>2673</v>
      </c>
      <c r="CV45" s="251">
        <v>118442</v>
      </c>
      <c r="CW45" s="253">
        <v>40</v>
      </c>
      <c r="CX45" s="252" t="s">
        <v>25</v>
      </c>
      <c r="CY45" s="252" t="s">
        <v>25</v>
      </c>
      <c r="CZ45" s="249">
        <v>471</v>
      </c>
      <c r="DA45" s="249">
        <v>1335</v>
      </c>
      <c r="DB45" s="249">
        <v>117</v>
      </c>
      <c r="DC45" s="249">
        <v>28460</v>
      </c>
      <c r="DD45" s="249">
        <v>11238</v>
      </c>
      <c r="DE45" s="249">
        <v>166199</v>
      </c>
      <c r="DF45" s="249">
        <v>3429</v>
      </c>
      <c r="DG45" s="249">
        <v>52</v>
      </c>
      <c r="DH45" s="253">
        <f t="shared" si="51"/>
        <v>3.0340031322167071E-2</v>
      </c>
      <c r="DI45" s="249">
        <v>45</v>
      </c>
      <c r="DJ45" s="249">
        <v>45</v>
      </c>
      <c r="DL45" s="151">
        <v>2883</v>
      </c>
      <c r="DM45" s="248"/>
      <c r="DN45" s="252" t="s">
        <v>3097</v>
      </c>
      <c r="DO45" s="252" t="s">
        <v>3053</v>
      </c>
      <c r="DP45" s="252"/>
      <c r="DQ45" s="250"/>
      <c r="DR45" s="261" t="s">
        <v>3161</v>
      </c>
      <c r="DS45" s="248" t="s">
        <v>3014</v>
      </c>
      <c r="DT45" s="275">
        <v>43282</v>
      </c>
      <c r="DU45" s="275">
        <v>43646</v>
      </c>
      <c r="DV45" s="261" t="s">
        <v>3161</v>
      </c>
      <c r="DW45" s="152">
        <f t="shared" si="27"/>
        <v>1.035560392500376</v>
      </c>
      <c r="DX45" s="152">
        <f t="shared" si="28"/>
        <v>0</v>
      </c>
      <c r="DY45" s="152">
        <f t="shared" si="29"/>
        <v>3.0601580265265134</v>
      </c>
      <c r="DZ45" s="152">
        <f t="shared" si="30"/>
        <v>4.0683690352949506</v>
      </c>
      <c r="EA45" s="153">
        <f t="shared" si="62"/>
        <v>0.34977770288662197</v>
      </c>
      <c r="EB45" s="243">
        <v>0</v>
      </c>
    </row>
    <row r="46" spans="1:132" ht="29.4" thickBot="1" x14ac:dyDescent="0.35">
      <c r="A46" s="261" t="s">
        <v>3162</v>
      </c>
      <c r="B46" s="388" t="s">
        <v>3238</v>
      </c>
      <c r="C46" s="263">
        <v>21158</v>
      </c>
      <c r="D46" s="250">
        <v>0</v>
      </c>
      <c r="E46" s="250">
        <v>0</v>
      </c>
      <c r="F46" s="249">
        <v>9200</v>
      </c>
      <c r="H46" s="151">
        <f t="shared" si="0"/>
        <v>9200</v>
      </c>
      <c r="I46" s="152">
        <v>0.42064000000000001</v>
      </c>
      <c r="J46" s="251">
        <v>374735</v>
      </c>
      <c r="K46" s="251">
        <v>129869</v>
      </c>
      <c r="L46" s="158">
        <f t="shared" si="32"/>
        <v>504604</v>
      </c>
      <c r="M46" s="153">
        <f t="shared" si="33"/>
        <v>23.849324132715758</v>
      </c>
      <c r="N46" s="251">
        <v>28095</v>
      </c>
      <c r="O46" s="251">
        <v>18674</v>
      </c>
      <c r="P46" s="268">
        <v>3229</v>
      </c>
      <c r="Q46" s="158">
        <v>49998</v>
      </c>
      <c r="R46" s="153">
        <f t="shared" si="34"/>
        <v>2.3630777956328575</v>
      </c>
      <c r="S46" s="268">
        <v>105818</v>
      </c>
      <c r="T46" s="251">
        <v>660420</v>
      </c>
      <c r="U46" s="251">
        <v>0</v>
      </c>
      <c r="V46" s="251">
        <v>660420</v>
      </c>
      <c r="W46" s="153">
        <f t="shared" si="35"/>
        <v>31.21372530484923</v>
      </c>
      <c r="X46" s="154">
        <f t="shared" si="36"/>
        <v>0.76406529178401628</v>
      </c>
      <c r="Y46" s="154">
        <f t="shared" si="37"/>
        <v>7.5706368674479871E-2</v>
      </c>
      <c r="Z46" s="154">
        <f t="shared" si="38"/>
        <v>0.16022833954150389</v>
      </c>
      <c r="AA46" s="154">
        <f t="shared" si="39"/>
        <v>0</v>
      </c>
      <c r="AB46" s="251">
        <v>0</v>
      </c>
      <c r="AE46" s="251"/>
      <c r="AF46" s="251">
        <v>660420</v>
      </c>
      <c r="AG46" s="251">
        <v>0</v>
      </c>
      <c r="AH46" s="251"/>
      <c r="AI46" s="158">
        <f t="shared" si="56"/>
        <v>660420</v>
      </c>
      <c r="AJ46" s="153">
        <f t="shared" si="40"/>
        <v>31.21372530484923</v>
      </c>
      <c r="AK46" s="251">
        <v>14487</v>
      </c>
      <c r="AL46" s="251">
        <v>5832</v>
      </c>
      <c r="AM46" s="251">
        <v>42772</v>
      </c>
      <c r="AN46" s="251"/>
      <c r="AO46" s="158">
        <f t="shared" si="41"/>
        <v>42772</v>
      </c>
      <c r="AP46" s="251">
        <v>699458</v>
      </c>
      <c r="AQ46" s="155">
        <f t="shared" si="42"/>
        <v>33.058795727384442</v>
      </c>
      <c r="AR46" s="251"/>
      <c r="AS46" s="268">
        <v>0</v>
      </c>
      <c r="AT46" s="251">
        <v>0</v>
      </c>
      <c r="AU46" s="268">
        <v>0</v>
      </c>
      <c r="AV46" s="268">
        <v>0</v>
      </c>
      <c r="AW46" s="251"/>
      <c r="AX46" s="268">
        <v>0</v>
      </c>
      <c r="AY46" s="158">
        <f t="shared" si="43"/>
        <v>0</v>
      </c>
      <c r="AZ46" s="249">
        <v>34497</v>
      </c>
      <c r="BA46" s="152">
        <f t="shared" si="13"/>
        <v>1.6304471122034219</v>
      </c>
      <c r="BB46" s="269">
        <v>1523</v>
      </c>
      <c r="BC46" s="269">
        <v>1523</v>
      </c>
      <c r="BD46" s="269">
        <v>256</v>
      </c>
      <c r="BE46" s="269">
        <v>2067</v>
      </c>
      <c r="BF46" s="269">
        <v>113866</v>
      </c>
      <c r="BG46" s="269">
        <v>0</v>
      </c>
      <c r="BH46" s="269">
        <v>89</v>
      </c>
      <c r="BI46" s="249">
        <v>0</v>
      </c>
      <c r="BJ46" s="159">
        <f t="shared" si="44"/>
        <v>89</v>
      </c>
      <c r="BK46" s="269">
        <v>169458</v>
      </c>
      <c r="BL46" s="152">
        <f t="shared" si="15"/>
        <v>8.0091691086114007</v>
      </c>
      <c r="BM46" s="269">
        <v>11</v>
      </c>
      <c r="BN46" s="249">
        <v>11007</v>
      </c>
      <c r="BO46" s="152">
        <f t="shared" si="16"/>
        <v>0.52022875508082045</v>
      </c>
      <c r="BP46" s="249">
        <v>36081</v>
      </c>
      <c r="BQ46" s="249">
        <v>0</v>
      </c>
      <c r="BR46" s="276">
        <f t="shared" si="45"/>
        <v>59083</v>
      </c>
      <c r="BS46" s="276">
        <v>23629</v>
      </c>
      <c r="BT46" s="269">
        <v>82712</v>
      </c>
      <c r="BU46" s="152">
        <f t="shared" si="17"/>
        <v>3.9092541828150109</v>
      </c>
      <c r="BV46" s="151">
        <f t="shared" si="60"/>
        <v>8893.7634408602153</v>
      </c>
      <c r="BW46" s="152">
        <f t="shared" si="57"/>
        <v>45.197814207650275</v>
      </c>
      <c r="BX46" s="152">
        <f t="shared" si="58"/>
        <v>2.948419063914733</v>
      </c>
      <c r="BY46" s="152">
        <f t="shared" si="59"/>
        <v>0.48809734565497054</v>
      </c>
      <c r="BZ46" s="249">
        <v>124</v>
      </c>
      <c r="CA46" s="249">
        <v>16</v>
      </c>
      <c r="CB46" s="249">
        <v>71</v>
      </c>
      <c r="CC46" s="156">
        <f t="shared" si="48"/>
        <v>211</v>
      </c>
      <c r="CD46" s="249">
        <v>4108</v>
      </c>
      <c r="CE46" s="249">
        <v>241</v>
      </c>
      <c r="CF46" s="249">
        <v>1245</v>
      </c>
      <c r="CG46" s="159">
        <f t="shared" si="49"/>
        <v>5594</v>
      </c>
      <c r="CH46" s="152">
        <f t="shared" si="23"/>
        <v>0.26439171944418188</v>
      </c>
      <c r="CI46" s="249">
        <v>28053</v>
      </c>
      <c r="CJ46" s="152">
        <f t="shared" si="24"/>
        <v>1.3258814632763021</v>
      </c>
      <c r="CK46" s="269">
        <v>5321</v>
      </c>
      <c r="CL46" s="252" t="s">
        <v>25</v>
      </c>
      <c r="CM46" s="252" t="s">
        <v>25</v>
      </c>
      <c r="CN46" s="252" t="s">
        <v>25</v>
      </c>
      <c r="CO46" s="253">
        <v>3</v>
      </c>
      <c r="CP46" s="151">
        <f t="shared" si="63"/>
        <v>7052.666666666667</v>
      </c>
      <c r="CQ46" s="253">
        <v>0</v>
      </c>
      <c r="CR46" s="253">
        <v>6.3</v>
      </c>
      <c r="CS46" s="223">
        <f t="shared" si="50"/>
        <v>9.3000000000000007</v>
      </c>
      <c r="CT46" s="151">
        <f t="shared" si="61"/>
        <v>2275.0537634408602</v>
      </c>
      <c r="CU46" s="249">
        <v>124</v>
      </c>
      <c r="CV46" s="251">
        <v>60051</v>
      </c>
      <c r="CW46" s="253">
        <v>40</v>
      </c>
      <c r="CX46" s="252" t="s">
        <v>25</v>
      </c>
      <c r="CY46" s="252" t="s">
        <v>25</v>
      </c>
      <c r="CZ46" s="249">
        <v>261</v>
      </c>
      <c r="DA46" s="249">
        <v>0</v>
      </c>
      <c r="DB46" s="249">
        <v>7</v>
      </c>
      <c r="DC46" s="249">
        <v>3301</v>
      </c>
      <c r="DD46" s="249">
        <v>77311</v>
      </c>
      <c r="DE46" s="249">
        <v>26838</v>
      </c>
      <c r="DF46" s="249">
        <v>2582</v>
      </c>
      <c r="DG46" s="249">
        <v>51</v>
      </c>
      <c r="DH46" s="253">
        <f t="shared" si="51"/>
        <v>0.12203421873523017</v>
      </c>
      <c r="DI46" s="249">
        <v>44</v>
      </c>
      <c r="DJ46" s="249">
        <v>44</v>
      </c>
      <c r="DL46" s="151">
        <v>1830</v>
      </c>
      <c r="DM46" s="248"/>
      <c r="DN46" s="252" t="s">
        <v>3098</v>
      </c>
      <c r="DO46" s="254" t="s">
        <v>3053</v>
      </c>
      <c r="DP46" s="252"/>
      <c r="DQ46" s="250"/>
      <c r="DR46" s="261" t="s">
        <v>3162</v>
      </c>
      <c r="DS46" s="248" t="s">
        <v>3019</v>
      </c>
      <c r="DT46" s="275">
        <v>43282</v>
      </c>
      <c r="DU46" s="275">
        <v>43646</v>
      </c>
      <c r="DV46" s="261" t="s">
        <v>3162</v>
      </c>
      <c r="DW46" s="152">
        <f t="shared" si="27"/>
        <v>1.7053124113810378</v>
      </c>
      <c r="DX46" s="152">
        <f t="shared" si="28"/>
        <v>0</v>
      </c>
      <c r="DY46" s="152">
        <f t="shared" si="29"/>
        <v>2.7924662066357877</v>
      </c>
      <c r="DZ46" s="152">
        <f t="shared" si="30"/>
        <v>1.116787976179223</v>
      </c>
      <c r="EA46" s="153">
        <f t="shared" si="62"/>
        <v>0.2952271867512925</v>
      </c>
      <c r="EB46" s="243">
        <f t="shared" si="52"/>
        <v>0.79030005501713996</v>
      </c>
    </row>
    <row r="47" spans="1:132" ht="15" thickBot="1" x14ac:dyDescent="0.35">
      <c r="A47" s="261" t="s">
        <v>3020</v>
      </c>
      <c r="B47" s="388" t="s">
        <v>3239</v>
      </c>
      <c r="C47" s="263">
        <v>138075</v>
      </c>
      <c r="D47" s="250">
        <v>2</v>
      </c>
      <c r="E47" s="250">
        <v>0</v>
      </c>
      <c r="F47" s="249">
        <v>64000</v>
      </c>
      <c r="H47" s="151">
        <f t="shared" si="0"/>
        <v>64000</v>
      </c>
      <c r="I47" s="152">
        <v>0.46351999999999999</v>
      </c>
      <c r="J47" s="251">
        <v>1258869</v>
      </c>
      <c r="K47" s="251">
        <v>540377</v>
      </c>
      <c r="L47" s="158">
        <f t="shared" si="32"/>
        <v>1799246</v>
      </c>
      <c r="M47" s="153">
        <f t="shared" si="33"/>
        <v>13.030932464240449</v>
      </c>
      <c r="N47" s="251">
        <v>167724</v>
      </c>
      <c r="O47" s="251">
        <v>137549</v>
      </c>
      <c r="P47" s="268">
        <v>18359</v>
      </c>
      <c r="Q47" s="158">
        <v>323632</v>
      </c>
      <c r="R47" s="153">
        <f t="shared" si="34"/>
        <v>2.3438855694369001</v>
      </c>
      <c r="S47" s="268">
        <v>153716</v>
      </c>
      <c r="T47" s="251">
        <v>2276594</v>
      </c>
      <c r="U47" s="251">
        <v>0</v>
      </c>
      <c r="V47" s="251">
        <v>2276594</v>
      </c>
      <c r="W47" s="153">
        <f t="shared" si="35"/>
        <v>16.488097048705413</v>
      </c>
      <c r="X47" s="154">
        <f t="shared" si="36"/>
        <v>0.79032361501435922</v>
      </c>
      <c r="Y47" s="154">
        <f t="shared" si="37"/>
        <v>0.14215622109168347</v>
      </c>
      <c r="Z47" s="154">
        <f t="shared" si="38"/>
        <v>6.7520163893957375E-2</v>
      </c>
      <c r="AA47" s="154">
        <f t="shared" si="39"/>
        <v>0</v>
      </c>
      <c r="AB47" s="251">
        <v>143565</v>
      </c>
      <c r="AE47" s="251"/>
      <c r="AF47" s="251">
        <v>2276594</v>
      </c>
      <c r="AG47" s="251">
        <v>2270786</v>
      </c>
      <c r="AH47" s="251"/>
      <c r="AI47" s="158">
        <f t="shared" si="56"/>
        <v>4547380</v>
      </c>
      <c r="AJ47" s="153">
        <f t="shared" si="40"/>
        <v>32.934130001810608</v>
      </c>
      <c r="AK47" s="251">
        <v>147512</v>
      </c>
      <c r="AL47" s="251">
        <v>16225</v>
      </c>
      <c r="AM47" s="251">
        <v>0</v>
      </c>
      <c r="AN47" s="251"/>
      <c r="AO47" s="158">
        <f t="shared" si="41"/>
        <v>0</v>
      </c>
      <c r="AP47" s="251">
        <v>2434523</v>
      </c>
      <c r="AQ47" s="155">
        <f t="shared" si="42"/>
        <v>17.63188846641318</v>
      </c>
      <c r="AR47" s="251"/>
      <c r="AS47" s="268">
        <v>251973</v>
      </c>
      <c r="AT47" s="251">
        <v>0</v>
      </c>
      <c r="AU47" s="268">
        <v>0</v>
      </c>
      <c r="AV47" s="268">
        <v>0</v>
      </c>
      <c r="AW47" s="251"/>
      <c r="AX47" s="268">
        <v>0</v>
      </c>
      <c r="AY47" s="158">
        <f t="shared" si="43"/>
        <v>251973</v>
      </c>
      <c r="AZ47" s="249">
        <v>189550</v>
      </c>
      <c r="BA47" s="152">
        <f t="shared" si="13"/>
        <v>1.3728046351620495</v>
      </c>
      <c r="BB47" s="269">
        <v>6957</v>
      </c>
      <c r="BC47" s="269">
        <v>6957</v>
      </c>
      <c r="BD47" s="269">
        <v>135</v>
      </c>
      <c r="BE47" s="269">
        <v>2010</v>
      </c>
      <c r="BF47" s="269">
        <v>92030</v>
      </c>
      <c r="BG47" s="269">
        <v>6</v>
      </c>
      <c r="BH47" s="269">
        <v>89</v>
      </c>
      <c r="BI47" s="249">
        <v>0</v>
      </c>
      <c r="BJ47" s="159">
        <f t="shared" si="44"/>
        <v>95</v>
      </c>
      <c r="BK47" s="269">
        <v>311646</v>
      </c>
      <c r="BL47" s="152">
        <f t="shared" si="15"/>
        <v>2.2570776751765345</v>
      </c>
      <c r="BM47" s="269">
        <v>3</v>
      </c>
      <c r="BN47" s="249">
        <v>51211</v>
      </c>
      <c r="BO47" s="152">
        <f t="shared" si="16"/>
        <v>0.37089263081658519</v>
      </c>
      <c r="BP47" s="249">
        <v>159742</v>
      </c>
      <c r="BQ47" s="249">
        <v>0</v>
      </c>
      <c r="BR47" s="276">
        <f t="shared" si="45"/>
        <v>270116</v>
      </c>
      <c r="BS47" s="276">
        <v>121973</v>
      </c>
      <c r="BT47" s="269">
        <v>392089</v>
      </c>
      <c r="BU47" s="152">
        <f t="shared" si="17"/>
        <v>2.8396813326090893</v>
      </c>
      <c r="BV47" s="151">
        <f t="shared" si="60"/>
        <v>12709.529983792543</v>
      </c>
      <c r="BW47" s="152">
        <f t="shared" si="57"/>
        <v>46.117266525523405</v>
      </c>
      <c r="BX47" s="152">
        <f t="shared" si="58"/>
        <v>2.2628134468330687</v>
      </c>
      <c r="BY47" s="152">
        <f t="shared" si="59"/>
        <v>1.2581229985303839</v>
      </c>
      <c r="BZ47" s="249">
        <v>727</v>
      </c>
      <c r="CA47" s="249">
        <v>145</v>
      </c>
      <c r="CB47" s="249">
        <v>422</v>
      </c>
      <c r="CC47" s="156">
        <f t="shared" si="48"/>
        <v>1294</v>
      </c>
      <c r="CD47" s="249">
        <v>14389</v>
      </c>
      <c r="CE47" s="249">
        <v>1959</v>
      </c>
      <c r="CF47" s="249">
        <v>4574</v>
      </c>
      <c r="CG47" s="159">
        <f t="shared" si="49"/>
        <v>20922</v>
      </c>
      <c r="CH47" s="152">
        <f t="shared" si="23"/>
        <v>0.1515263443780554</v>
      </c>
      <c r="CI47" s="249">
        <v>173275</v>
      </c>
      <c r="CJ47" s="152">
        <f t="shared" si="24"/>
        <v>1.2549339127285895</v>
      </c>
      <c r="CK47" s="269">
        <v>69952</v>
      </c>
      <c r="CL47" s="252" t="s">
        <v>25</v>
      </c>
      <c r="CM47" s="252" t="s">
        <v>25</v>
      </c>
      <c r="CN47" s="252" t="s">
        <v>25</v>
      </c>
      <c r="CO47" s="253">
        <v>6</v>
      </c>
      <c r="CP47" s="151">
        <f t="shared" si="63"/>
        <v>23012.5</v>
      </c>
      <c r="CQ47" s="253">
        <v>1</v>
      </c>
      <c r="CR47" s="253">
        <v>23.85</v>
      </c>
      <c r="CS47" s="223">
        <f t="shared" si="50"/>
        <v>30.85</v>
      </c>
      <c r="CT47" s="151">
        <f t="shared" si="61"/>
        <v>4475.6888168557534</v>
      </c>
      <c r="CU47" s="249">
        <v>1002</v>
      </c>
      <c r="CV47" s="251">
        <v>103181</v>
      </c>
      <c r="CW47" s="253">
        <v>40</v>
      </c>
      <c r="CX47" s="252" t="s">
        <v>25</v>
      </c>
      <c r="CY47" s="252" t="s">
        <v>25</v>
      </c>
      <c r="CZ47" s="249">
        <v>14290</v>
      </c>
      <c r="DA47" s="249">
        <v>15255</v>
      </c>
      <c r="DB47" s="249">
        <v>61</v>
      </c>
      <c r="DC47" s="249">
        <v>29897</v>
      </c>
      <c r="DD47" s="249">
        <v>34379</v>
      </c>
      <c r="DE47" s="249">
        <v>74056</v>
      </c>
      <c r="DF47" s="249">
        <v>9048</v>
      </c>
      <c r="DG47" s="249">
        <v>52</v>
      </c>
      <c r="DH47" s="253">
        <f t="shared" si="51"/>
        <v>6.5529603476371531E-2</v>
      </c>
      <c r="DI47" s="249">
        <v>55</v>
      </c>
      <c r="DJ47" s="249">
        <v>55</v>
      </c>
      <c r="DL47" s="151">
        <v>8502</v>
      </c>
      <c r="DM47" s="248"/>
      <c r="DN47" s="252" t="s">
        <v>3099</v>
      </c>
      <c r="DO47" s="252" t="s">
        <v>1950</v>
      </c>
      <c r="DP47" s="252"/>
      <c r="DQ47" s="250"/>
      <c r="DR47" s="261" t="s">
        <v>3020</v>
      </c>
      <c r="DS47" s="248" t="s">
        <v>3020</v>
      </c>
      <c r="DT47" s="275">
        <v>43282</v>
      </c>
      <c r="DU47" s="275">
        <v>43646</v>
      </c>
      <c r="DV47" s="261" t="s">
        <v>3020</v>
      </c>
      <c r="DW47" s="152">
        <f t="shared" si="27"/>
        <v>1.1569219627014304</v>
      </c>
      <c r="DX47" s="152">
        <f t="shared" si="28"/>
        <v>0</v>
      </c>
      <c r="DY47" s="152">
        <f t="shared" si="29"/>
        <v>1.9562991128010139</v>
      </c>
      <c r="DZ47" s="152">
        <f t="shared" si="30"/>
        <v>0.8833822198080753</v>
      </c>
      <c r="EA47" s="153">
        <f t="shared" si="62"/>
        <v>0.39018466563376741</v>
      </c>
      <c r="EB47" s="243">
        <f t="shared" si="52"/>
        <v>1.1277003927098621</v>
      </c>
    </row>
    <row r="48" spans="1:132" ht="29.4" thickBot="1" x14ac:dyDescent="0.35">
      <c r="A48" s="261" t="s">
        <v>3163</v>
      </c>
      <c r="B48" s="388" t="s">
        <v>3240</v>
      </c>
      <c r="C48" s="263">
        <v>10833</v>
      </c>
      <c r="D48" s="250">
        <v>0</v>
      </c>
      <c r="E48" s="250">
        <v>0</v>
      </c>
      <c r="F48" s="249">
        <v>13457</v>
      </c>
      <c r="H48" s="151">
        <f t="shared" si="0"/>
        <v>13457</v>
      </c>
      <c r="I48" s="152">
        <v>1.2422200000000001</v>
      </c>
      <c r="J48" s="251">
        <v>297544</v>
      </c>
      <c r="K48" s="251">
        <v>149604</v>
      </c>
      <c r="L48" s="158">
        <f t="shared" si="32"/>
        <v>447148</v>
      </c>
      <c r="M48" s="153">
        <f t="shared" si="33"/>
        <v>41.276470045232159</v>
      </c>
      <c r="N48" s="251">
        <v>60973</v>
      </c>
      <c r="O48" s="251">
        <v>43585</v>
      </c>
      <c r="P48" s="268">
        <v>0</v>
      </c>
      <c r="Q48" s="158">
        <v>104558</v>
      </c>
      <c r="R48" s="153">
        <f t="shared" si="34"/>
        <v>9.6518046709129504</v>
      </c>
      <c r="S48" s="268">
        <v>129500</v>
      </c>
      <c r="T48" s="251">
        <v>681206</v>
      </c>
      <c r="U48" s="251">
        <v>0</v>
      </c>
      <c r="V48" s="251">
        <v>681206</v>
      </c>
      <c r="W48" s="153">
        <f t="shared" si="35"/>
        <v>62.88248869195975</v>
      </c>
      <c r="X48" s="154">
        <f t="shared" si="36"/>
        <v>0.65640643212185446</v>
      </c>
      <c r="Y48" s="154">
        <f t="shared" si="37"/>
        <v>0.15348954648080024</v>
      </c>
      <c r="Z48" s="154">
        <f t="shared" si="38"/>
        <v>0.19010402139734531</v>
      </c>
      <c r="AA48" s="154">
        <f t="shared" si="39"/>
        <v>0</v>
      </c>
      <c r="AB48" s="251">
        <v>0</v>
      </c>
      <c r="AE48" s="251"/>
      <c r="AF48" s="251">
        <v>681206</v>
      </c>
      <c r="AG48" s="251">
        <v>75000</v>
      </c>
      <c r="AH48" s="251"/>
      <c r="AI48" s="158">
        <f t="shared" si="56"/>
        <v>756206</v>
      </c>
      <c r="AJ48" s="153">
        <f t="shared" si="40"/>
        <v>69.805778639342748</v>
      </c>
      <c r="AK48" s="251">
        <v>11073</v>
      </c>
      <c r="AL48" s="251">
        <v>0</v>
      </c>
      <c r="AM48" s="251">
        <v>0</v>
      </c>
      <c r="AN48" s="251"/>
      <c r="AO48" s="158">
        <f t="shared" si="41"/>
        <v>0</v>
      </c>
      <c r="AP48" s="251">
        <v>747837</v>
      </c>
      <c r="AQ48" s="155">
        <f t="shared" si="42"/>
        <v>69.03323179174744</v>
      </c>
      <c r="AR48" s="251"/>
      <c r="AS48" s="268">
        <v>0</v>
      </c>
      <c r="AT48" s="251">
        <v>0</v>
      </c>
      <c r="AU48" s="268">
        <v>0</v>
      </c>
      <c r="AV48" s="268">
        <v>0</v>
      </c>
      <c r="AW48" s="251"/>
      <c r="AX48" s="268">
        <v>0</v>
      </c>
      <c r="AY48" s="158">
        <f t="shared" si="43"/>
        <v>0</v>
      </c>
      <c r="AZ48" s="249">
        <v>39345</v>
      </c>
      <c r="BA48" s="152">
        <f t="shared" si="13"/>
        <v>3.6319579063971199</v>
      </c>
      <c r="BB48" s="269">
        <v>545</v>
      </c>
      <c r="BC48" s="269">
        <v>545</v>
      </c>
      <c r="BD48" s="269">
        <v>2963</v>
      </c>
      <c r="BE48" s="269">
        <v>2067</v>
      </c>
      <c r="BF48" s="269">
        <v>107580</v>
      </c>
      <c r="BG48" s="269">
        <v>2</v>
      </c>
      <c r="BH48" s="269">
        <v>89</v>
      </c>
      <c r="BI48" s="249">
        <v>0</v>
      </c>
      <c r="BJ48" s="159">
        <f t="shared" si="44"/>
        <v>91</v>
      </c>
      <c r="BK48" s="269">
        <v>172832</v>
      </c>
      <c r="BL48" s="152">
        <f t="shared" si="15"/>
        <v>15.954213975814641</v>
      </c>
      <c r="BM48" s="269">
        <v>68</v>
      </c>
      <c r="BN48" s="249" t="s">
        <v>3137</v>
      </c>
      <c r="BO48" s="152">
        <f t="shared" si="16"/>
        <v>-9.2310532631773284E-5</v>
      </c>
      <c r="BP48" s="249">
        <v>21566</v>
      </c>
      <c r="BQ48" s="249">
        <v>0</v>
      </c>
      <c r="BR48" s="276">
        <f t="shared" si="45"/>
        <v>48969</v>
      </c>
      <c r="BS48" s="276">
        <v>15701</v>
      </c>
      <c r="BT48" s="269">
        <v>64670</v>
      </c>
      <c r="BU48" s="152">
        <f t="shared" si="17"/>
        <v>5.9697221452967781</v>
      </c>
      <c r="BV48" s="151">
        <f t="shared" si="60"/>
        <v>8344.5161290322576</v>
      </c>
      <c r="BW48" s="152">
        <f t="shared" si="57"/>
        <v>33.612266112266113</v>
      </c>
      <c r="BX48" s="152">
        <f t="shared" si="58"/>
        <v>1.2359529087990215</v>
      </c>
      <c r="BY48" s="152">
        <f t="shared" si="59"/>
        <v>0.37417839289020549</v>
      </c>
      <c r="BZ48" s="249">
        <v>243</v>
      </c>
      <c r="CA48" s="249">
        <v>25</v>
      </c>
      <c r="CB48" s="249">
        <v>91</v>
      </c>
      <c r="CC48" s="156">
        <f t="shared" si="48"/>
        <v>359</v>
      </c>
      <c r="CD48" s="249">
        <v>5554</v>
      </c>
      <c r="CE48" s="249">
        <v>765</v>
      </c>
      <c r="CF48" s="249">
        <v>1534</v>
      </c>
      <c r="CG48" s="159">
        <f t="shared" si="49"/>
        <v>7853</v>
      </c>
      <c r="CH48" s="152">
        <f t="shared" si="23"/>
        <v>0.72491461275731561</v>
      </c>
      <c r="CI48" s="249">
        <v>52324</v>
      </c>
      <c r="CJ48" s="152">
        <f t="shared" si="24"/>
        <v>4.8300563094249052</v>
      </c>
      <c r="CK48" s="269">
        <v>9546</v>
      </c>
      <c r="CL48" s="252" t="s">
        <v>25</v>
      </c>
      <c r="CM48" s="252" t="s">
        <v>25</v>
      </c>
      <c r="CN48" s="252" t="s">
        <v>25</v>
      </c>
      <c r="CO48" s="253">
        <v>1</v>
      </c>
      <c r="CP48" s="253">
        <v>0</v>
      </c>
      <c r="CQ48" s="253">
        <v>0</v>
      </c>
      <c r="CR48" s="253">
        <v>6.75</v>
      </c>
      <c r="CS48" s="223">
        <f t="shared" si="50"/>
        <v>7.75</v>
      </c>
      <c r="CT48" s="151">
        <f t="shared" si="61"/>
        <v>1397.8064516129032</v>
      </c>
      <c r="CU48" s="249">
        <v>211</v>
      </c>
      <c r="CV48" s="251">
        <v>54371</v>
      </c>
      <c r="CW48" s="253">
        <v>40</v>
      </c>
      <c r="CX48" s="252" t="s">
        <v>25</v>
      </c>
      <c r="CY48" s="252" t="s">
        <v>25</v>
      </c>
      <c r="CZ48" s="249">
        <v>3774</v>
      </c>
      <c r="DA48" s="249">
        <v>3178</v>
      </c>
      <c r="DB48" s="249">
        <v>29</v>
      </c>
      <c r="DC48" s="249">
        <v>13090</v>
      </c>
      <c r="DD48" s="249">
        <v>33580</v>
      </c>
      <c r="DE48" s="249">
        <v>29925</v>
      </c>
      <c r="DF48" s="249">
        <v>2704</v>
      </c>
      <c r="DG48" s="249">
        <v>52</v>
      </c>
      <c r="DH48" s="253">
        <f t="shared" si="51"/>
        <v>0.24960768023631497</v>
      </c>
      <c r="DI48" s="249">
        <v>53</v>
      </c>
      <c r="DJ48" s="249">
        <v>53</v>
      </c>
      <c r="DL48" s="151">
        <v>1924</v>
      </c>
      <c r="DM48" s="248"/>
      <c r="DN48" s="252" t="s">
        <v>3100</v>
      </c>
      <c r="DO48" s="252" t="s">
        <v>3053</v>
      </c>
      <c r="DP48" s="252"/>
      <c r="DQ48" s="250"/>
      <c r="DR48" s="261" t="s">
        <v>3163</v>
      </c>
      <c r="DS48" s="248" t="s">
        <v>2997</v>
      </c>
      <c r="DT48" s="275">
        <v>43282</v>
      </c>
      <c r="DU48" s="275">
        <v>43646</v>
      </c>
      <c r="DV48" s="261" t="s">
        <v>3163</v>
      </c>
      <c r="DW48" s="152">
        <f t="shared" si="27"/>
        <v>1.9907689467368226</v>
      </c>
      <c r="DX48" s="152">
        <f t="shared" si="28"/>
        <v>0</v>
      </c>
      <c r="DY48" s="152">
        <f t="shared" si="29"/>
        <v>4.5203544724453062</v>
      </c>
      <c r="DZ48" s="152">
        <f t="shared" si="30"/>
        <v>1.4493676728514724</v>
      </c>
      <c r="EA48" s="153">
        <f t="shared" si="62"/>
        <v>0.86443609555539802</v>
      </c>
      <c r="EB48" s="243">
        <f t="shared" si="52"/>
        <v>2.775937838354245</v>
      </c>
    </row>
    <row r="49" spans="1:132" ht="15" thickBot="1" x14ac:dyDescent="0.35">
      <c r="A49" s="261" t="s">
        <v>3021</v>
      </c>
      <c r="B49" s="388" t="s">
        <v>3241</v>
      </c>
      <c r="C49" s="263">
        <v>60097</v>
      </c>
      <c r="D49" s="250">
        <v>1</v>
      </c>
      <c r="E49" s="250">
        <v>0</v>
      </c>
      <c r="F49" s="249">
        <v>19578</v>
      </c>
      <c r="H49" s="151">
        <f t="shared" si="0"/>
        <v>19578</v>
      </c>
      <c r="I49" s="152">
        <v>0.32577</v>
      </c>
      <c r="J49" s="251">
        <v>372821</v>
      </c>
      <c r="K49" s="251">
        <v>107808</v>
      </c>
      <c r="L49" s="158">
        <f t="shared" si="32"/>
        <v>480629</v>
      </c>
      <c r="M49" s="153">
        <f t="shared" si="33"/>
        <v>7.9975539544403214</v>
      </c>
      <c r="N49" s="251">
        <v>51360</v>
      </c>
      <c r="O49" s="251">
        <v>6704</v>
      </c>
      <c r="P49" s="268">
        <v>10484</v>
      </c>
      <c r="Q49" s="158">
        <v>68548</v>
      </c>
      <c r="R49" s="153">
        <f t="shared" si="34"/>
        <v>1.1406226600329468</v>
      </c>
      <c r="S49" s="268">
        <v>85331</v>
      </c>
      <c r="T49" s="251">
        <v>634508</v>
      </c>
      <c r="U49" s="251">
        <v>0</v>
      </c>
      <c r="V49" s="251">
        <v>634508</v>
      </c>
      <c r="W49" s="153">
        <f t="shared" si="35"/>
        <v>10.558064462452368</v>
      </c>
      <c r="X49" s="154">
        <f t="shared" si="36"/>
        <v>0.7574829631777692</v>
      </c>
      <c r="Y49" s="154">
        <f t="shared" si="37"/>
        <v>0.10803331084872059</v>
      </c>
      <c r="Z49" s="154">
        <f t="shared" si="38"/>
        <v>0.13448372597351019</v>
      </c>
      <c r="AA49" s="154">
        <f t="shared" si="39"/>
        <v>0</v>
      </c>
      <c r="AB49" s="251">
        <v>8113</v>
      </c>
      <c r="AE49" s="251"/>
      <c r="AF49" s="251">
        <v>634508</v>
      </c>
      <c r="AG49" s="251">
        <v>503293</v>
      </c>
      <c r="AH49" s="251"/>
      <c r="AI49" s="158">
        <f t="shared" si="56"/>
        <v>1137801</v>
      </c>
      <c r="AJ49" s="153">
        <f t="shared" si="40"/>
        <v>18.932742066991697</v>
      </c>
      <c r="AK49" s="251">
        <v>110507</v>
      </c>
      <c r="AL49" s="251">
        <v>4626</v>
      </c>
      <c r="AM49" s="251">
        <v>16082</v>
      </c>
      <c r="AN49" s="251"/>
      <c r="AO49" s="158">
        <f t="shared" si="41"/>
        <v>16082</v>
      </c>
      <c r="AP49" s="251">
        <v>634508</v>
      </c>
      <c r="AQ49" s="155">
        <f t="shared" si="42"/>
        <v>10.558064462452368</v>
      </c>
      <c r="AR49" s="251"/>
      <c r="AS49" s="268">
        <v>18148</v>
      </c>
      <c r="AT49" s="251">
        <v>0</v>
      </c>
      <c r="AU49" s="268">
        <v>0</v>
      </c>
      <c r="AV49" s="268">
        <v>0</v>
      </c>
      <c r="AW49" s="251"/>
      <c r="AX49" s="268">
        <v>0</v>
      </c>
      <c r="AY49" s="158">
        <f t="shared" si="43"/>
        <v>18148</v>
      </c>
      <c r="AZ49" s="249">
        <v>108008</v>
      </c>
      <c r="BA49" s="152">
        <f t="shared" si="13"/>
        <v>1.7972278150323644</v>
      </c>
      <c r="BB49" s="269">
        <v>3534</v>
      </c>
      <c r="BC49" s="269">
        <v>3534</v>
      </c>
      <c r="BD49" s="269">
        <v>6674</v>
      </c>
      <c r="BE49" s="269">
        <v>2067</v>
      </c>
      <c r="BF49" s="269">
        <v>107580</v>
      </c>
      <c r="BG49" s="269">
        <v>0</v>
      </c>
      <c r="BH49" s="269">
        <v>89</v>
      </c>
      <c r="BI49" s="249">
        <v>0</v>
      </c>
      <c r="BJ49" s="159">
        <f t="shared" si="44"/>
        <v>89</v>
      </c>
      <c r="BK49" s="269">
        <v>245058</v>
      </c>
      <c r="BL49" s="152">
        <f t="shared" si="15"/>
        <v>4.0777077058755014</v>
      </c>
      <c r="BM49" s="269">
        <v>77</v>
      </c>
      <c r="BN49" s="249">
        <v>16264</v>
      </c>
      <c r="BO49" s="152">
        <f t="shared" si="16"/>
        <v>0.27062914954157447</v>
      </c>
      <c r="BP49" s="249">
        <v>29837</v>
      </c>
      <c r="BQ49" s="249">
        <v>0</v>
      </c>
      <c r="BR49" s="276">
        <f t="shared" si="45"/>
        <v>90948</v>
      </c>
      <c r="BS49" s="276">
        <v>25847</v>
      </c>
      <c r="BT49" s="269">
        <v>116795</v>
      </c>
      <c r="BU49" s="152">
        <f t="shared" si="17"/>
        <v>1.9434414363445762</v>
      </c>
      <c r="BV49" s="151">
        <f t="shared" si="60"/>
        <v>14599.375</v>
      </c>
      <c r="BW49" s="152">
        <f t="shared" si="57"/>
        <v>40.695121951219512</v>
      </c>
      <c r="BX49" s="152">
        <f t="shared" si="58"/>
        <v>1.5476505976201202</v>
      </c>
      <c r="BY49" s="152">
        <f t="shared" si="59"/>
        <v>0.47660145761411582</v>
      </c>
      <c r="BZ49" s="249">
        <v>315</v>
      </c>
      <c r="CA49" s="249">
        <v>18</v>
      </c>
      <c r="CB49" s="249">
        <v>49</v>
      </c>
      <c r="CC49" s="156">
        <f t="shared" si="48"/>
        <v>382</v>
      </c>
      <c r="CD49" s="249">
        <v>6163</v>
      </c>
      <c r="CE49" s="249">
        <v>292</v>
      </c>
      <c r="CF49" s="249">
        <v>1614</v>
      </c>
      <c r="CG49" s="159">
        <f t="shared" si="49"/>
        <v>8069</v>
      </c>
      <c r="CH49" s="152">
        <f t="shared" si="23"/>
        <v>0.13426626953092499</v>
      </c>
      <c r="CI49" s="249">
        <v>75466</v>
      </c>
      <c r="CJ49" s="152">
        <f t="shared" si="24"/>
        <v>1.255736559229246</v>
      </c>
      <c r="CK49" s="269">
        <v>24543</v>
      </c>
      <c r="CL49" s="252" t="s">
        <v>25</v>
      </c>
      <c r="CM49" s="252" t="s">
        <v>25</v>
      </c>
      <c r="CN49" s="252" t="s">
        <v>25</v>
      </c>
      <c r="CO49" s="253">
        <v>3</v>
      </c>
      <c r="CP49" s="253">
        <v>0</v>
      </c>
      <c r="CQ49" s="253">
        <v>0</v>
      </c>
      <c r="CR49" s="253">
        <v>5</v>
      </c>
      <c r="CS49" s="223">
        <f t="shared" si="50"/>
        <v>8</v>
      </c>
      <c r="CT49" s="151">
        <f t="shared" si="61"/>
        <v>7512.125</v>
      </c>
      <c r="CU49" s="249" t="s">
        <v>2935</v>
      </c>
      <c r="CV49" s="251">
        <v>68850</v>
      </c>
      <c r="CW49" s="253">
        <v>21</v>
      </c>
      <c r="CX49" s="252" t="s">
        <v>25</v>
      </c>
      <c r="CY49" s="252" t="s">
        <v>25</v>
      </c>
      <c r="CZ49" s="249">
        <v>7302</v>
      </c>
      <c r="DA49" s="249">
        <v>4510</v>
      </c>
      <c r="DB49" s="249">
        <v>26</v>
      </c>
      <c r="DC49" s="249">
        <v>12060</v>
      </c>
      <c r="DD49" s="249">
        <v>9660</v>
      </c>
      <c r="DE49" s="249">
        <v>50983</v>
      </c>
      <c r="DF49" s="249">
        <v>3949</v>
      </c>
      <c r="DG49" s="249">
        <v>49</v>
      </c>
      <c r="DH49" s="253">
        <f t="shared" si="51"/>
        <v>6.5710434797078054E-2</v>
      </c>
      <c r="DI49" s="249">
        <v>42</v>
      </c>
      <c r="DJ49" s="249">
        <v>20</v>
      </c>
      <c r="DL49" s="151">
        <v>2870</v>
      </c>
      <c r="DM49" s="248"/>
      <c r="DN49" s="252" t="s">
        <v>3101</v>
      </c>
      <c r="DO49" s="252" t="s">
        <v>1950</v>
      </c>
      <c r="DP49" s="252"/>
      <c r="DQ49" s="250"/>
      <c r="DR49" s="261" t="s">
        <v>3021</v>
      </c>
      <c r="DS49" s="248" t="s">
        <v>3021</v>
      </c>
      <c r="DT49" s="275">
        <v>43282</v>
      </c>
      <c r="DU49" s="275">
        <v>43646</v>
      </c>
      <c r="DV49" s="261" t="s">
        <v>3021</v>
      </c>
      <c r="DW49" s="152">
        <f t="shared" si="27"/>
        <v>0.49648068955189112</v>
      </c>
      <c r="DX49" s="152">
        <f t="shared" si="28"/>
        <v>0</v>
      </c>
      <c r="DY49" s="152">
        <f t="shared" si="29"/>
        <v>1.5133534119839593</v>
      </c>
      <c r="DZ49" s="152">
        <f t="shared" si="30"/>
        <v>0.43008802436061699</v>
      </c>
      <c r="EA49" s="153">
        <f t="shared" si="62"/>
        <v>0.4252183632073519</v>
      </c>
      <c r="EB49" s="243">
        <f t="shared" si="52"/>
        <v>0.25937246102062134</v>
      </c>
    </row>
    <row r="50" spans="1:132" ht="15" thickBot="1" x14ac:dyDescent="0.35">
      <c r="A50" s="261" t="s">
        <v>3022</v>
      </c>
      <c r="B50" s="388" t="s">
        <v>3242</v>
      </c>
      <c r="C50" s="263">
        <v>84608</v>
      </c>
      <c r="D50" s="250">
        <v>2</v>
      </c>
      <c r="E50" s="250">
        <v>0</v>
      </c>
      <c r="F50" s="249">
        <v>24879</v>
      </c>
      <c r="H50" s="151">
        <f t="shared" si="0"/>
        <v>24879</v>
      </c>
      <c r="I50" s="152">
        <v>0.4037</v>
      </c>
      <c r="J50" s="251">
        <v>779003</v>
      </c>
      <c r="K50" s="251">
        <v>282801</v>
      </c>
      <c r="L50" s="158">
        <f t="shared" si="32"/>
        <v>1061804</v>
      </c>
      <c r="M50" s="153">
        <f t="shared" si="33"/>
        <v>12.549687972768533</v>
      </c>
      <c r="N50" s="251">
        <v>182959</v>
      </c>
      <c r="O50" s="251">
        <v>79850</v>
      </c>
      <c r="P50" s="268">
        <v>18996</v>
      </c>
      <c r="Q50" s="158">
        <v>281805</v>
      </c>
      <c r="R50" s="153">
        <f t="shared" si="34"/>
        <v>3.3307134077155824</v>
      </c>
      <c r="S50" s="268">
        <v>358502</v>
      </c>
      <c r="T50" s="251">
        <v>1702111</v>
      </c>
      <c r="U50" s="251">
        <v>0</v>
      </c>
      <c r="V50" s="251">
        <v>1702111</v>
      </c>
      <c r="W50" s="153">
        <f t="shared" si="35"/>
        <v>20.117612991679273</v>
      </c>
      <c r="X50" s="154">
        <f t="shared" si="36"/>
        <v>0.62381595559866543</v>
      </c>
      <c r="Y50" s="154">
        <f t="shared" si="37"/>
        <v>0.16556205793864207</v>
      </c>
      <c r="Z50" s="154">
        <f t="shared" si="38"/>
        <v>0.21062198646269251</v>
      </c>
      <c r="AA50" s="154">
        <f t="shared" si="39"/>
        <v>0</v>
      </c>
      <c r="AB50" s="251">
        <v>1276841</v>
      </c>
      <c r="AE50" s="251"/>
      <c r="AF50" s="251">
        <v>1702111</v>
      </c>
      <c r="AG50" s="251">
        <v>1594012</v>
      </c>
      <c r="AH50" s="251"/>
      <c r="AI50" s="158">
        <f t="shared" si="56"/>
        <v>3296123</v>
      </c>
      <c r="AJ50" s="153">
        <f t="shared" si="40"/>
        <v>38.957580843419059</v>
      </c>
      <c r="AK50" s="251">
        <v>120646</v>
      </c>
      <c r="AL50" s="251">
        <v>0</v>
      </c>
      <c r="AM50" s="251">
        <v>0</v>
      </c>
      <c r="AN50" s="251"/>
      <c r="AO50" s="158">
        <f t="shared" si="41"/>
        <v>0</v>
      </c>
      <c r="AP50" s="251">
        <v>1714658</v>
      </c>
      <c r="AQ50" s="155">
        <f t="shared" si="42"/>
        <v>20.265908661119514</v>
      </c>
      <c r="AR50" s="251"/>
      <c r="AS50" s="268">
        <v>0</v>
      </c>
      <c r="AT50" s="251">
        <v>0</v>
      </c>
      <c r="AU50" s="268">
        <v>400000</v>
      </c>
      <c r="AV50" s="268">
        <v>0</v>
      </c>
      <c r="AW50" s="251"/>
      <c r="AX50" s="268">
        <v>0</v>
      </c>
      <c r="AY50" s="158">
        <f t="shared" si="43"/>
        <v>400000</v>
      </c>
      <c r="AZ50" s="249">
        <v>127260</v>
      </c>
      <c r="BA50" s="152">
        <f t="shared" si="13"/>
        <v>1.5041130862329803</v>
      </c>
      <c r="BB50" s="269">
        <v>7047</v>
      </c>
      <c r="BC50" s="269">
        <v>7047</v>
      </c>
      <c r="BD50" s="269">
        <v>11674</v>
      </c>
      <c r="BE50" s="269">
        <v>2179</v>
      </c>
      <c r="BF50" s="269">
        <v>145930</v>
      </c>
      <c r="BG50" s="269">
        <v>6</v>
      </c>
      <c r="BH50" s="269">
        <v>89</v>
      </c>
      <c r="BI50" s="249">
        <v>0</v>
      </c>
      <c r="BJ50" s="159">
        <f t="shared" si="44"/>
        <v>95</v>
      </c>
      <c r="BK50" s="269">
        <v>329365</v>
      </c>
      <c r="BL50" s="152">
        <f t="shared" si="15"/>
        <v>3.8928351928895615</v>
      </c>
      <c r="BM50" s="269">
        <v>87</v>
      </c>
      <c r="BN50" s="249">
        <v>28678</v>
      </c>
      <c r="BO50" s="152">
        <f t="shared" si="16"/>
        <v>0.3389513993948563</v>
      </c>
      <c r="BP50" s="249">
        <v>71077</v>
      </c>
      <c r="BQ50" s="249">
        <v>0</v>
      </c>
      <c r="BR50" s="276">
        <f t="shared" si="45"/>
        <v>163272</v>
      </c>
      <c r="BS50" s="276">
        <v>74702</v>
      </c>
      <c r="BT50" s="269">
        <v>237974</v>
      </c>
      <c r="BU50" s="152">
        <f t="shared" si="17"/>
        <v>2.8126654689863844</v>
      </c>
      <c r="BV50" s="151">
        <f t="shared" si="60"/>
        <v>10126.553191489362</v>
      </c>
      <c r="BW50" s="152">
        <f t="shared" si="57"/>
        <v>43.331026948288418</v>
      </c>
      <c r="BX50" s="152">
        <f t="shared" si="58"/>
        <v>1.8168589337384811</v>
      </c>
      <c r="BY50" s="152">
        <f t="shared" si="59"/>
        <v>0.72252364398160096</v>
      </c>
      <c r="BZ50" s="249">
        <v>499</v>
      </c>
      <c r="CA50" s="249">
        <v>60</v>
      </c>
      <c r="CB50" s="249">
        <v>95</v>
      </c>
      <c r="CC50" s="156">
        <f t="shared" si="48"/>
        <v>654</v>
      </c>
      <c r="CD50" s="249">
        <v>16380</v>
      </c>
      <c r="CE50" s="249">
        <v>783</v>
      </c>
      <c r="CF50" s="249">
        <v>883</v>
      </c>
      <c r="CG50" s="159">
        <f t="shared" si="49"/>
        <v>18046</v>
      </c>
      <c r="CH50" s="152">
        <f t="shared" si="23"/>
        <v>0.2132895234493192</v>
      </c>
      <c r="CI50" s="249">
        <v>130981</v>
      </c>
      <c r="CJ50" s="152">
        <f t="shared" si="24"/>
        <v>1.5480923789712557</v>
      </c>
      <c r="CK50" s="269">
        <v>53837</v>
      </c>
      <c r="CL50" s="252" t="s">
        <v>25</v>
      </c>
      <c r="CM50" s="252" t="s">
        <v>25</v>
      </c>
      <c r="CN50" s="252" t="s">
        <v>25</v>
      </c>
      <c r="CO50" s="253">
        <v>2</v>
      </c>
      <c r="CP50" s="253">
        <v>0</v>
      </c>
      <c r="CQ50" s="253">
        <v>2</v>
      </c>
      <c r="CR50" s="253">
        <v>19.5</v>
      </c>
      <c r="CS50" s="223">
        <f t="shared" si="50"/>
        <v>23.5</v>
      </c>
      <c r="CT50" s="151">
        <f t="shared" si="61"/>
        <v>3600.3404255319151</v>
      </c>
      <c r="CU50" s="249">
        <v>558</v>
      </c>
      <c r="CV50" s="251">
        <v>89502</v>
      </c>
      <c r="CW50" s="253">
        <v>40</v>
      </c>
      <c r="CX50" s="252" t="s">
        <v>25</v>
      </c>
      <c r="CY50" s="252" t="s">
        <v>25</v>
      </c>
      <c r="CZ50" s="249">
        <v>5</v>
      </c>
      <c r="DA50" s="249">
        <v>0</v>
      </c>
      <c r="DB50" s="249">
        <v>51</v>
      </c>
      <c r="DC50" s="249">
        <v>21759</v>
      </c>
      <c r="DD50" s="249">
        <v>10308</v>
      </c>
      <c r="DE50" s="249">
        <v>47728</v>
      </c>
      <c r="DF50" s="249">
        <v>7735</v>
      </c>
      <c r="DG50" s="249">
        <v>51</v>
      </c>
      <c r="DH50" s="253">
        <f t="shared" si="51"/>
        <v>9.1421614977307109E-2</v>
      </c>
      <c r="DI50" s="249">
        <v>50</v>
      </c>
      <c r="DJ50" s="249">
        <v>50</v>
      </c>
      <c r="DK50" s="151">
        <v>3533</v>
      </c>
      <c r="DL50" s="151">
        <v>5492</v>
      </c>
      <c r="DM50" s="248"/>
      <c r="DN50" s="252" t="s">
        <v>3102</v>
      </c>
      <c r="DO50" s="252" t="s">
        <v>1950</v>
      </c>
      <c r="DP50" s="252"/>
      <c r="DQ50" s="250"/>
      <c r="DR50" s="261" t="s">
        <v>3022</v>
      </c>
      <c r="DS50" s="248" t="s">
        <v>3022</v>
      </c>
      <c r="DT50" s="275">
        <v>43282</v>
      </c>
      <c r="DU50" s="275">
        <v>43646</v>
      </c>
      <c r="DV50" s="261" t="s">
        <v>3022</v>
      </c>
      <c r="DW50" s="152">
        <f t="shared" si="27"/>
        <v>0.84007422465960668</v>
      </c>
      <c r="DX50" s="152">
        <f t="shared" si="28"/>
        <v>0</v>
      </c>
      <c r="DY50" s="152">
        <f t="shared" si="29"/>
        <v>1.9297465960665658</v>
      </c>
      <c r="DZ50" s="152">
        <f t="shared" si="30"/>
        <v>0.88291887291981841</v>
      </c>
      <c r="EA50" s="153">
        <f t="shared" si="62"/>
        <v>0.78071167361499305</v>
      </c>
      <c r="EB50" s="243">
        <f t="shared" si="52"/>
        <v>1.068913817568472</v>
      </c>
    </row>
    <row r="51" spans="1:132" ht="15" thickBot="1" x14ac:dyDescent="0.35">
      <c r="A51" s="261" t="s">
        <v>3023</v>
      </c>
      <c r="B51" s="388" t="s">
        <v>3243</v>
      </c>
      <c r="C51" s="263">
        <v>22523</v>
      </c>
      <c r="D51" s="250">
        <v>2</v>
      </c>
      <c r="E51" s="250">
        <v>0</v>
      </c>
      <c r="F51" s="249">
        <v>21561</v>
      </c>
      <c r="H51" s="151">
        <f t="shared" si="0"/>
        <v>21561</v>
      </c>
      <c r="I51" s="152">
        <v>0.95728999999999997</v>
      </c>
      <c r="J51" s="251">
        <v>256049</v>
      </c>
      <c r="K51" s="251">
        <v>85676</v>
      </c>
      <c r="L51" s="158">
        <f t="shared" si="32"/>
        <v>341725</v>
      </c>
      <c r="M51" s="153">
        <f t="shared" si="33"/>
        <v>15.172268347911023</v>
      </c>
      <c r="N51" s="251">
        <v>27618</v>
      </c>
      <c r="O51" s="251">
        <v>9690</v>
      </c>
      <c r="P51" s="268">
        <v>8231</v>
      </c>
      <c r="Q51" s="158">
        <v>45539</v>
      </c>
      <c r="R51" s="153">
        <f t="shared" si="34"/>
        <v>2.0218887359587976</v>
      </c>
      <c r="S51" s="268">
        <v>74103</v>
      </c>
      <c r="T51" s="251">
        <v>461367</v>
      </c>
      <c r="U51" s="251">
        <v>0</v>
      </c>
      <c r="V51" s="251">
        <v>461367</v>
      </c>
      <c r="W51" s="153">
        <f t="shared" si="35"/>
        <v>20.484260533676686</v>
      </c>
      <c r="X51" s="154">
        <f t="shared" si="36"/>
        <v>0.74067932903740408</v>
      </c>
      <c r="Y51" s="154">
        <f t="shared" si="37"/>
        <v>9.8704502055847076E-2</v>
      </c>
      <c r="Z51" s="154">
        <f t="shared" si="38"/>
        <v>0.16061616890674885</v>
      </c>
      <c r="AA51" s="154">
        <f t="shared" si="39"/>
        <v>0</v>
      </c>
      <c r="AB51" s="251">
        <v>0</v>
      </c>
      <c r="AE51" s="251"/>
      <c r="AF51" s="251">
        <v>461367</v>
      </c>
      <c r="AG51" s="251">
        <v>338368</v>
      </c>
      <c r="AH51" s="251"/>
      <c r="AI51" s="158">
        <f t="shared" si="56"/>
        <v>799735</v>
      </c>
      <c r="AJ51" s="153">
        <f t="shared" si="40"/>
        <v>35.507481241397684</v>
      </c>
      <c r="AK51" s="251">
        <v>81784</v>
      </c>
      <c r="AL51" s="251">
        <v>14941</v>
      </c>
      <c r="AM51" s="251">
        <v>20274</v>
      </c>
      <c r="AN51" s="251"/>
      <c r="AO51" s="158">
        <f t="shared" si="41"/>
        <v>20274</v>
      </c>
      <c r="AP51" s="251">
        <v>461367</v>
      </c>
      <c r="AQ51" s="155">
        <f t="shared" si="42"/>
        <v>20.484260533676686</v>
      </c>
      <c r="AR51" s="251"/>
      <c r="AS51" s="268">
        <v>13235</v>
      </c>
      <c r="AT51" s="251">
        <v>0</v>
      </c>
      <c r="AU51" s="268">
        <v>0</v>
      </c>
      <c r="AV51" s="268">
        <v>0</v>
      </c>
      <c r="AW51" s="251"/>
      <c r="AX51" s="268">
        <v>0</v>
      </c>
      <c r="AY51" s="158">
        <f t="shared" si="43"/>
        <v>13235</v>
      </c>
      <c r="AZ51" s="249">
        <v>47687</v>
      </c>
      <c r="BA51" s="152">
        <f t="shared" si="13"/>
        <v>2.1172579141322205</v>
      </c>
      <c r="BB51" s="269">
        <v>3238</v>
      </c>
      <c r="BC51" s="269">
        <v>3238</v>
      </c>
      <c r="BD51" s="269">
        <v>6475</v>
      </c>
      <c r="BE51" s="269">
        <v>2067</v>
      </c>
      <c r="BF51" s="269">
        <v>107580</v>
      </c>
      <c r="BG51" s="269">
        <v>1</v>
      </c>
      <c r="BH51" s="269">
        <v>89</v>
      </c>
      <c r="BI51" s="249">
        <v>0</v>
      </c>
      <c r="BJ51" s="159">
        <f t="shared" si="44"/>
        <v>90</v>
      </c>
      <c r="BK51" s="269">
        <v>184362</v>
      </c>
      <c r="BL51" s="152">
        <f t="shared" si="15"/>
        <v>8.1854992674155316</v>
      </c>
      <c r="BM51" s="269">
        <v>25</v>
      </c>
      <c r="BN51" s="249">
        <v>4156</v>
      </c>
      <c r="BO51" s="152">
        <f t="shared" si="16"/>
        <v>0.18452248812325178</v>
      </c>
      <c r="BP51" s="249">
        <v>33317</v>
      </c>
      <c r="BQ51" s="249">
        <v>0</v>
      </c>
      <c r="BR51" s="276">
        <f t="shared" si="45"/>
        <v>80875</v>
      </c>
      <c r="BS51" s="276">
        <v>28499</v>
      </c>
      <c r="BT51" s="269">
        <v>109374</v>
      </c>
      <c r="BU51" s="152">
        <f t="shared" si="17"/>
        <v>4.8561026506238072</v>
      </c>
      <c r="BV51" s="151">
        <f t="shared" si="60"/>
        <v>10015.934065934067</v>
      </c>
      <c r="BW51" s="152">
        <f t="shared" si="57"/>
        <v>16.972998137802605</v>
      </c>
      <c r="BX51" s="152">
        <f t="shared" si="58"/>
        <v>1.1982252410166521</v>
      </c>
      <c r="BY51" s="152">
        <f t="shared" si="59"/>
        <v>0.59325674488235103</v>
      </c>
      <c r="BZ51" s="249">
        <v>337</v>
      </c>
      <c r="CA51" s="249">
        <v>20</v>
      </c>
      <c r="CB51" s="249">
        <v>162</v>
      </c>
      <c r="CC51" s="156">
        <f t="shared" si="48"/>
        <v>519</v>
      </c>
      <c r="CD51" s="249">
        <v>6995</v>
      </c>
      <c r="CE51" s="249">
        <v>463</v>
      </c>
      <c r="CF51" s="249">
        <v>2122</v>
      </c>
      <c r="CG51" s="159">
        <f t="shared" si="49"/>
        <v>9580</v>
      </c>
      <c r="CH51" s="152">
        <f t="shared" si="23"/>
        <v>0.42534298272876614</v>
      </c>
      <c r="CI51" s="249">
        <v>91280</v>
      </c>
      <c r="CJ51" s="152">
        <f t="shared" si="24"/>
        <v>4.0527460817830665</v>
      </c>
      <c r="CK51" s="269">
        <v>11296</v>
      </c>
      <c r="CL51" s="252" t="s">
        <v>25</v>
      </c>
      <c r="CM51" s="252" t="s">
        <v>25</v>
      </c>
      <c r="CN51" s="252" t="s">
        <v>25</v>
      </c>
      <c r="CO51" s="253">
        <v>1</v>
      </c>
      <c r="CP51" s="253">
        <v>0</v>
      </c>
      <c r="CQ51" s="253">
        <v>0</v>
      </c>
      <c r="CR51" s="253">
        <v>9.92</v>
      </c>
      <c r="CS51" s="223">
        <f t="shared" si="50"/>
        <v>10.92</v>
      </c>
      <c r="CT51" s="151">
        <f t="shared" si="61"/>
        <v>2062.5457875457873</v>
      </c>
      <c r="CU51" s="249">
        <v>2629</v>
      </c>
      <c r="CV51" s="251">
        <v>53500</v>
      </c>
      <c r="CW51" s="253">
        <v>40</v>
      </c>
      <c r="CX51" s="252" t="s">
        <v>25</v>
      </c>
      <c r="CY51" s="252" t="s">
        <v>25</v>
      </c>
      <c r="CZ51" s="249">
        <v>7140</v>
      </c>
      <c r="DA51" s="249">
        <v>4423</v>
      </c>
      <c r="DB51" s="249">
        <v>55</v>
      </c>
      <c r="DC51" s="249">
        <v>6981</v>
      </c>
      <c r="DD51" s="249">
        <v>47736</v>
      </c>
      <c r="DE51" s="249">
        <v>20782</v>
      </c>
      <c r="DF51" s="249">
        <v>7272</v>
      </c>
      <c r="DG51" s="249">
        <v>52</v>
      </c>
      <c r="DH51" s="253">
        <f t="shared" si="51"/>
        <v>0.32286995515695066</v>
      </c>
      <c r="DI51" s="249">
        <v>39</v>
      </c>
      <c r="DJ51" s="249">
        <v>39</v>
      </c>
      <c r="DL51" s="151">
        <v>6444</v>
      </c>
      <c r="DM51" s="248"/>
      <c r="DN51" s="252" t="s">
        <v>3103</v>
      </c>
      <c r="DO51" s="252" t="s">
        <v>1950</v>
      </c>
      <c r="DP51" s="252"/>
      <c r="DQ51" s="250"/>
      <c r="DR51" s="261" t="s">
        <v>3023</v>
      </c>
      <c r="DS51" s="248" t="s">
        <v>3023</v>
      </c>
      <c r="DT51" s="275">
        <v>43282</v>
      </c>
      <c r="DU51" s="275">
        <v>43646</v>
      </c>
      <c r="DV51" s="261" t="s">
        <v>3023</v>
      </c>
      <c r="DW51" s="152">
        <f t="shared" si="27"/>
        <v>1.4792434400390713</v>
      </c>
      <c r="DX51" s="152">
        <f t="shared" si="28"/>
        <v>0</v>
      </c>
      <c r="DY51" s="152">
        <f t="shared" si="29"/>
        <v>3.5907738755938374</v>
      </c>
      <c r="DZ51" s="152">
        <f t="shared" si="30"/>
        <v>1.2653287750299693</v>
      </c>
      <c r="EA51" s="153">
        <f t="shared" si="62"/>
        <v>0.24185582177385456</v>
      </c>
      <c r="EB51" s="243">
        <f t="shared" si="52"/>
        <v>0.34001193024316645</v>
      </c>
    </row>
    <row r="52" spans="1:132" ht="15" thickBot="1" x14ac:dyDescent="0.35">
      <c r="A52" s="261" t="s">
        <v>3164</v>
      </c>
      <c r="B52" s="388" t="s">
        <v>3244</v>
      </c>
      <c r="C52" s="263">
        <v>46358</v>
      </c>
      <c r="D52" s="250">
        <v>1</v>
      </c>
      <c r="E52" s="250">
        <v>0</v>
      </c>
      <c r="F52" s="249">
        <v>22290</v>
      </c>
      <c r="H52" s="151">
        <f t="shared" si="0"/>
        <v>22290</v>
      </c>
      <c r="I52" s="152">
        <v>0.48082000000000003</v>
      </c>
      <c r="J52" s="251">
        <v>385726</v>
      </c>
      <c r="K52" s="251">
        <v>152326</v>
      </c>
      <c r="L52" s="158">
        <f t="shared" si="32"/>
        <v>538052</v>
      </c>
      <c r="M52" s="153">
        <f t="shared" si="33"/>
        <v>11.606454117951595</v>
      </c>
      <c r="N52" s="251">
        <v>55534</v>
      </c>
      <c r="O52" s="251">
        <v>9800</v>
      </c>
      <c r="P52" s="268">
        <v>5300</v>
      </c>
      <c r="Q52" s="158">
        <v>70634</v>
      </c>
      <c r="R52" s="153">
        <f t="shared" si="34"/>
        <v>1.5236636610725225</v>
      </c>
      <c r="S52" s="268">
        <v>193864</v>
      </c>
      <c r="T52" s="251">
        <v>802550</v>
      </c>
      <c r="U52" s="251">
        <v>0</v>
      </c>
      <c r="V52" s="251">
        <v>802550</v>
      </c>
      <c r="W52" s="153">
        <f t="shared" si="35"/>
        <v>17.312006557659952</v>
      </c>
      <c r="X52" s="154">
        <f t="shared" si="36"/>
        <v>0.67042801071584324</v>
      </c>
      <c r="Y52" s="154">
        <f t="shared" si="37"/>
        <v>8.8011961871534483E-2</v>
      </c>
      <c r="Z52" s="154">
        <f t="shared" si="38"/>
        <v>0.24156002741262228</v>
      </c>
      <c r="AA52" s="154">
        <f t="shared" si="39"/>
        <v>0</v>
      </c>
      <c r="AB52" s="251">
        <v>48948</v>
      </c>
      <c r="AE52" s="251"/>
      <c r="AF52" s="251">
        <v>802550</v>
      </c>
      <c r="AG52" s="251">
        <v>724298</v>
      </c>
      <c r="AH52" s="251"/>
      <c r="AI52" s="158">
        <f t="shared" si="56"/>
        <v>1526848</v>
      </c>
      <c r="AJ52" s="153">
        <f t="shared" si="40"/>
        <v>32.936019672979853</v>
      </c>
      <c r="AK52" s="251">
        <v>105378</v>
      </c>
      <c r="AL52" s="251">
        <v>5919</v>
      </c>
      <c r="AM52" s="251">
        <v>19827</v>
      </c>
      <c r="AN52" s="251"/>
      <c r="AO52" s="158">
        <f t="shared" si="41"/>
        <v>19827</v>
      </c>
      <c r="AP52" s="251">
        <v>855422</v>
      </c>
      <c r="AQ52" s="155">
        <f t="shared" si="42"/>
        <v>18.452521679106088</v>
      </c>
      <c r="AR52" s="251"/>
      <c r="AS52" s="268">
        <v>0</v>
      </c>
      <c r="AT52" s="251">
        <v>0</v>
      </c>
      <c r="AU52" s="268">
        <v>0</v>
      </c>
      <c r="AV52" s="268">
        <v>0</v>
      </c>
      <c r="AW52" s="251"/>
      <c r="AX52" s="268">
        <v>0</v>
      </c>
      <c r="AY52" s="158">
        <f t="shared" si="43"/>
        <v>0</v>
      </c>
      <c r="AZ52" s="249">
        <v>78283</v>
      </c>
      <c r="BA52" s="152">
        <f t="shared" si="13"/>
        <v>1.6886621510850339</v>
      </c>
      <c r="BB52" s="269">
        <v>4966</v>
      </c>
      <c r="BC52" s="269">
        <v>4966</v>
      </c>
      <c r="BD52" s="269">
        <v>8253</v>
      </c>
      <c r="BE52" s="269">
        <v>2067</v>
      </c>
      <c r="BF52" s="269">
        <v>107580</v>
      </c>
      <c r="BG52" s="269">
        <v>4</v>
      </c>
      <c r="BH52" s="269">
        <v>89</v>
      </c>
      <c r="BI52" s="249">
        <v>0</v>
      </c>
      <c r="BJ52" s="159">
        <f t="shared" si="44"/>
        <v>93</v>
      </c>
      <c r="BK52" s="269">
        <v>218542</v>
      </c>
      <c r="BL52" s="152">
        <f t="shared" si="15"/>
        <v>4.7142240821433194</v>
      </c>
      <c r="BM52" s="269">
        <v>105</v>
      </c>
      <c r="BN52" s="249">
        <v>18167</v>
      </c>
      <c r="BO52" s="152">
        <f t="shared" si="16"/>
        <v>0.39188489581086328</v>
      </c>
      <c r="BP52" s="249">
        <v>33972</v>
      </c>
      <c r="BQ52" s="249">
        <v>0</v>
      </c>
      <c r="BR52" s="276">
        <f t="shared" si="45"/>
        <v>111975</v>
      </c>
      <c r="BS52" s="276">
        <v>30917</v>
      </c>
      <c r="BT52" s="269">
        <v>142892</v>
      </c>
      <c r="BU52" s="152">
        <f t="shared" si="17"/>
        <v>3.0823590318823073</v>
      </c>
      <c r="BV52" s="151">
        <f t="shared" si="60"/>
        <v>9687.5932203389839</v>
      </c>
      <c r="BW52" s="152">
        <f t="shared" si="57"/>
        <v>46.468943089430894</v>
      </c>
      <c r="BX52" s="152">
        <f t="shared" si="58"/>
        <v>1.4257548242900759</v>
      </c>
      <c r="BY52" s="152">
        <f t="shared" si="59"/>
        <v>0.6538422820327443</v>
      </c>
      <c r="BZ52" s="249">
        <v>276</v>
      </c>
      <c r="CA52" s="249">
        <v>128</v>
      </c>
      <c r="CB52" s="249">
        <v>150</v>
      </c>
      <c r="CC52" s="156">
        <f t="shared" si="48"/>
        <v>554</v>
      </c>
      <c r="CD52" s="249">
        <v>7160</v>
      </c>
      <c r="CE52" s="249">
        <v>2249</v>
      </c>
      <c r="CF52" s="249">
        <v>2485</v>
      </c>
      <c r="CG52" s="159">
        <f t="shared" si="49"/>
        <v>11894</v>
      </c>
      <c r="CH52" s="152">
        <f t="shared" si="23"/>
        <v>0.25656844557573666</v>
      </c>
      <c r="CI52" s="249">
        <v>100222</v>
      </c>
      <c r="CJ52" s="152">
        <f t="shared" si="24"/>
        <v>2.1619138012856465</v>
      </c>
      <c r="CK52" s="269">
        <v>18500</v>
      </c>
      <c r="CL52" s="252" t="s">
        <v>25</v>
      </c>
      <c r="CM52" s="252" t="s">
        <v>25</v>
      </c>
      <c r="CN52" s="252" t="s">
        <v>25</v>
      </c>
      <c r="CO52" s="253">
        <v>3</v>
      </c>
      <c r="CP52" s="253">
        <v>0</v>
      </c>
      <c r="CQ52" s="253">
        <v>1</v>
      </c>
      <c r="CR52" s="253">
        <v>10.75</v>
      </c>
      <c r="CS52" s="223">
        <f t="shared" si="50"/>
        <v>14.75</v>
      </c>
      <c r="CT52" s="151">
        <f t="shared" si="61"/>
        <v>3142.9152542372881</v>
      </c>
      <c r="CU52" s="249">
        <v>314</v>
      </c>
      <c r="CV52" s="251">
        <v>60384</v>
      </c>
      <c r="CW52" s="253">
        <v>40</v>
      </c>
      <c r="CX52" s="252" t="s">
        <v>25</v>
      </c>
      <c r="CY52" s="252" t="s">
        <v>25</v>
      </c>
      <c r="CZ52" s="249">
        <v>5637</v>
      </c>
      <c r="DA52" s="249">
        <v>6317</v>
      </c>
      <c r="DB52" s="249">
        <v>38</v>
      </c>
      <c r="DC52" s="249">
        <v>9073</v>
      </c>
      <c r="DD52" s="249">
        <v>12805</v>
      </c>
      <c r="DE52" s="249">
        <v>55266</v>
      </c>
      <c r="DF52" s="249">
        <v>4186</v>
      </c>
      <c r="DG52" s="249">
        <v>52</v>
      </c>
      <c r="DH52" s="253">
        <f t="shared" si="51"/>
        <v>9.0297251822770611E-2</v>
      </c>
      <c r="DI52" s="249">
        <v>40</v>
      </c>
      <c r="DJ52" s="249">
        <v>40</v>
      </c>
      <c r="DL52" s="151">
        <v>3075</v>
      </c>
      <c r="DM52" s="248"/>
      <c r="DN52" s="252" t="s">
        <v>3104</v>
      </c>
      <c r="DO52" s="252" t="s">
        <v>1950</v>
      </c>
      <c r="DP52" s="252"/>
      <c r="DQ52" s="250"/>
      <c r="DR52" s="261" t="s">
        <v>3164</v>
      </c>
      <c r="DS52" s="248" t="s">
        <v>3024</v>
      </c>
      <c r="DT52" s="275">
        <v>43282</v>
      </c>
      <c r="DU52" s="275">
        <v>43646</v>
      </c>
      <c r="DV52" s="261" t="s">
        <v>3164</v>
      </c>
      <c r="DW52" s="152">
        <f t="shared" si="27"/>
        <v>0.73281849950386124</v>
      </c>
      <c r="DX52" s="152">
        <f t="shared" si="28"/>
        <v>0</v>
      </c>
      <c r="DY52" s="152">
        <f t="shared" si="29"/>
        <v>2.4154407006341949</v>
      </c>
      <c r="DZ52" s="152">
        <f t="shared" si="30"/>
        <v>0.66691833124811251</v>
      </c>
      <c r="EA52" s="153">
        <f t="shared" si="62"/>
        <v>0.38050799262746066</v>
      </c>
      <c r="EB52" s="243">
        <f t="shared" si="52"/>
        <v>0.31697771452598894</v>
      </c>
    </row>
    <row r="53" spans="1:132" ht="15" thickBot="1" x14ac:dyDescent="0.35">
      <c r="A53" s="261" t="s">
        <v>3165</v>
      </c>
      <c r="B53" s="388" t="s">
        <v>3245</v>
      </c>
      <c r="C53" s="263">
        <v>41255</v>
      </c>
      <c r="D53" s="250">
        <v>0</v>
      </c>
      <c r="E53" s="250">
        <v>0</v>
      </c>
      <c r="F53" s="249">
        <v>34000</v>
      </c>
      <c r="H53" s="151">
        <f t="shared" si="0"/>
        <v>34000</v>
      </c>
      <c r="I53" s="152">
        <v>0.82413999999999998</v>
      </c>
      <c r="J53" s="251">
        <v>1252289</v>
      </c>
      <c r="K53" s="251">
        <v>467011</v>
      </c>
      <c r="L53" s="158">
        <f t="shared" si="32"/>
        <v>1719300</v>
      </c>
      <c r="M53" s="153">
        <f t="shared" si="33"/>
        <v>41.674948491091989</v>
      </c>
      <c r="N53" s="251">
        <v>169012</v>
      </c>
      <c r="O53" s="251">
        <v>133177</v>
      </c>
      <c r="P53" s="268">
        <v>41423</v>
      </c>
      <c r="Q53" s="158">
        <v>343612</v>
      </c>
      <c r="R53" s="153">
        <f t="shared" si="34"/>
        <v>8.3289783056599198</v>
      </c>
      <c r="S53" s="268">
        <v>370332</v>
      </c>
      <c r="T53" s="251">
        <v>2433244</v>
      </c>
      <c r="U53" s="251">
        <v>0</v>
      </c>
      <c r="V53" s="251">
        <v>2433244</v>
      </c>
      <c r="W53" s="153">
        <f t="shared" si="35"/>
        <v>58.980584171615561</v>
      </c>
      <c r="X53" s="154">
        <f t="shared" si="36"/>
        <v>0.70658758431131441</v>
      </c>
      <c r="Y53" s="154">
        <f t="shared" si="37"/>
        <v>0.14121559531226627</v>
      </c>
      <c r="Z53" s="154">
        <f t="shared" si="38"/>
        <v>0.1521968203764193</v>
      </c>
      <c r="AA53" s="154">
        <f t="shared" si="39"/>
        <v>0</v>
      </c>
      <c r="AB53" s="251">
        <v>407380</v>
      </c>
      <c r="AE53" s="251"/>
      <c r="AF53" s="251">
        <v>2433244</v>
      </c>
      <c r="AG53" s="251">
        <v>1357209</v>
      </c>
      <c r="AH53" s="251"/>
      <c r="AI53" s="158">
        <f t="shared" si="56"/>
        <v>3790453</v>
      </c>
      <c r="AJ53" s="153">
        <f t="shared" si="40"/>
        <v>91.878632892982665</v>
      </c>
      <c r="AK53" s="251">
        <v>25365</v>
      </c>
      <c r="AL53" s="251">
        <v>2239</v>
      </c>
      <c r="AM53" s="251">
        <v>70506</v>
      </c>
      <c r="AN53" s="251"/>
      <c r="AO53" s="158">
        <f t="shared" si="41"/>
        <v>70506</v>
      </c>
      <c r="AP53" s="251">
        <v>2983737</v>
      </c>
      <c r="AQ53" s="155">
        <f t="shared" si="42"/>
        <v>72.324251605865953</v>
      </c>
      <c r="AR53" s="251"/>
      <c r="AS53" s="268">
        <v>558409</v>
      </c>
      <c r="AT53" s="251">
        <v>0</v>
      </c>
      <c r="AU53" s="268">
        <v>0</v>
      </c>
      <c r="AV53" s="268">
        <v>0</v>
      </c>
      <c r="AW53" s="251"/>
      <c r="AX53" s="268">
        <v>0</v>
      </c>
      <c r="AY53" s="158">
        <f t="shared" si="43"/>
        <v>558409</v>
      </c>
      <c r="AZ53" s="249">
        <v>103920</v>
      </c>
      <c r="BA53" s="152">
        <f t="shared" si="13"/>
        <v>2.5189673978911649</v>
      </c>
      <c r="BB53" s="269">
        <v>5606</v>
      </c>
      <c r="BC53" s="269">
        <v>5606</v>
      </c>
      <c r="BD53" s="269">
        <v>10191</v>
      </c>
      <c r="BE53" s="269">
        <v>2292</v>
      </c>
      <c r="BF53" s="269">
        <v>147600</v>
      </c>
      <c r="BG53" s="269">
        <v>12</v>
      </c>
      <c r="BH53" s="269">
        <v>89</v>
      </c>
      <c r="BI53" s="249">
        <v>0</v>
      </c>
      <c r="BJ53" s="159">
        <f t="shared" si="44"/>
        <v>101</v>
      </c>
      <c r="BK53" s="269">
        <v>306832</v>
      </c>
      <c r="BL53" s="152">
        <f t="shared" si="15"/>
        <v>7.4374500060598718</v>
      </c>
      <c r="BM53" s="269">
        <v>146</v>
      </c>
      <c r="BN53" s="249">
        <v>25841</v>
      </c>
      <c r="BO53" s="152">
        <f t="shared" si="16"/>
        <v>0.6263725609017089</v>
      </c>
      <c r="BP53" s="249">
        <v>219734</v>
      </c>
      <c r="BQ53" s="249">
        <v>0</v>
      </c>
      <c r="BR53" s="276">
        <f t="shared" si="45"/>
        <v>357560</v>
      </c>
      <c r="BS53" s="276">
        <v>178547</v>
      </c>
      <c r="BT53" s="269">
        <v>536107</v>
      </c>
      <c r="BU53" s="152">
        <f t="shared" si="17"/>
        <v>12.994958186886437</v>
      </c>
      <c r="BV53" s="151">
        <f t="shared" si="60"/>
        <v>15639.060676779463</v>
      </c>
      <c r="BW53" s="152">
        <f t="shared" si="57"/>
        <v>221.62339809838775</v>
      </c>
      <c r="BX53" s="152">
        <f t="shared" si="58"/>
        <v>3.6831919205798496</v>
      </c>
      <c r="BY53" s="152">
        <f t="shared" si="59"/>
        <v>1.7472330135057621</v>
      </c>
      <c r="BZ53" s="249">
        <v>516</v>
      </c>
      <c r="CA53" s="249">
        <v>47</v>
      </c>
      <c r="CB53" s="249">
        <v>293</v>
      </c>
      <c r="CC53" s="156">
        <f t="shared" si="48"/>
        <v>856</v>
      </c>
      <c r="CD53" s="249">
        <v>28890</v>
      </c>
      <c r="CE53" s="249">
        <v>550</v>
      </c>
      <c r="CF53" s="249">
        <v>3541</v>
      </c>
      <c r="CG53" s="159">
        <f t="shared" si="49"/>
        <v>32981</v>
      </c>
      <c r="CH53" s="152">
        <f t="shared" si="23"/>
        <v>0.79944249181917348</v>
      </c>
      <c r="CI53" s="249">
        <v>145555</v>
      </c>
      <c r="CJ53" s="152">
        <f t="shared" si="24"/>
        <v>3.5281784026178644</v>
      </c>
      <c r="CK53" s="269">
        <v>55089</v>
      </c>
      <c r="CL53" s="252" t="s">
        <v>25</v>
      </c>
      <c r="CM53" s="252" t="s">
        <v>25</v>
      </c>
      <c r="CN53" s="252" t="s">
        <v>25</v>
      </c>
      <c r="CO53" s="253">
        <v>8</v>
      </c>
      <c r="CP53" s="253">
        <v>0</v>
      </c>
      <c r="CQ53" s="253">
        <v>0</v>
      </c>
      <c r="CR53" s="253">
        <v>26.28</v>
      </c>
      <c r="CS53" s="223">
        <f t="shared" si="50"/>
        <v>34.28</v>
      </c>
      <c r="CT53" s="151">
        <f t="shared" si="61"/>
        <v>1203.4714119019836</v>
      </c>
      <c r="CU53" s="249">
        <v>698</v>
      </c>
      <c r="CV53" s="251">
        <v>97534</v>
      </c>
      <c r="CW53" s="253">
        <v>30</v>
      </c>
      <c r="CX53" s="252" t="s">
        <v>25</v>
      </c>
      <c r="CY53" s="252" t="s">
        <v>25</v>
      </c>
      <c r="CZ53" s="249">
        <v>244</v>
      </c>
      <c r="DA53" s="249">
        <v>290</v>
      </c>
      <c r="DB53" s="249">
        <v>46</v>
      </c>
      <c r="DC53" s="249">
        <v>14926</v>
      </c>
      <c r="DD53" s="249">
        <v>28210</v>
      </c>
      <c r="DE53" s="249">
        <v>87568</v>
      </c>
      <c r="DF53" s="249">
        <v>3055</v>
      </c>
      <c r="DG53" s="249">
        <v>50</v>
      </c>
      <c r="DH53" s="253">
        <f t="shared" si="51"/>
        <v>7.405163010544176E-2</v>
      </c>
      <c r="DI53" s="249">
        <v>24</v>
      </c>
      <c r="DJ53" s="249">
        <v>24</v>
      </c>
      <c r="DL53" s="151">
        <v>2419</v>
      </c>
      <c r="DM53" s="248"/>
      <c r="DN53" s="252" t="s">
        <v>3105</v>
      </c>
      <c r="DO53" s="252" t="s">
        <v>3053</v>
      </c>
      <c r="DP53" s="252"/>
      <c r="DQ53" s="250"/>
      <c r="DR53" s="261" t="s">
        <v>3165</v>
      </c>
      <c r="DS53" s="248" t="s">
        <v>3020</v>
      </c>
      <c r="DT53" s="275">
        <v>43282</v>
      </c>
      <c r="DU53" s="275">
        <v>43646</v>
      </c>
      <c r="DV53" s="261" t="s">
        <v>3165</v>
      </c>
      <c r="DW53" s="152">
        <f t="shared" si="27"/>
        <v>5.3262392437280326</v>
      </c>
      <c r="DX53" s="152">
        <f t="shared" si="28"/>
        <v>0</v>
      </c>
      <c r="DY53" s="152">
        <f t="shared" si="29"/>
        <v>8.6670706581020482</v>
      </c>
      <c r="DZ53" s="152">
        <f t="shared" si="30"/>
        <v>4.3278875287843901</v>
      </c>
      <c r="EA53" s="153">
        <f t="shared" si="62"/>
        <v>0.29276590437454747</v>
      </c>
      <c r="EB53" s="243">
        <f t="shared" si="52"/>
        <v>0.7458932381949851</v>
      </c>
    </row>
    <row r="54" spans="1:132" ht="15" thickBot="1" x14ac:dyDescent="0.35">
      <c r="A54" s="261" t="s">
        <v>3166</v>
      </c>
      <c r="B54" s="388" t="s">
        <v>3246</v>
      </c>
      <c r="C54" s="263">
        <v>49709</v>
      </c>
      <c r="D54" s="250">
        <v>4</v>
      </c>
      <c r="E54" s="250">
        <v>1</v>
      </c>
      <c r="F54" s="249">
        <v>37868</v>
      </c>
      <c r="H54" s="151">
        <f t="shared" si="0"/>
        <v>37868</v>
      </c>
      <c r="I54" s="152">
        <v>0.76259999999999994</v>
      </c>
      <c r="J54" s="251">
        <v>533388</v>
      </c>
      <c r="K54" s="251">
        <v>251870</v>
      </c>
      <c r="L54" s="158">
        <f t="shared" si="32"/>
        <v>785258</v>
      </c>
      <c r="M54" s="153">
        <f t="shared" si="33"/>
        <v>15.797099116860126</v>
      </c>
      <c r="N54" s="251">
        <v>58550</v>
      </c>
      <c r="O54" s="251">
        <v>20267</v>
      </c>
      <c r="P54" s="268">
        <v>10089</v>
      </c>
      <c r="Q54" s="158">
        <v>88906</v>
      </c>
      <c r="R54" s="153">
        <f t="shared" si="34"/>
        <v>1.788529240177835</v>
      </c>
      <c r="S54" s="268">
        <v>229890</v>
      </c>
      <c r="T54" s="251">
        <v>1104054</v>
      </c>
      <c r="U54" s="251">
        <v>0</v>
      </c>
      <c r="V54" s="251">
        <v>1104054</v>
      </c>
      <c r="W54" s="153">
        <f t="shared" si="35"/>
        <v>22.210344203262991</v>
      </c>
      <c r="X54" s="154">
        <f t="shared" si="36"/>
        <v>0.71124963090573468</v>
      </c>
      <c r="Y54" s="154">
        <f t="shared" si="37"/>
        <v>8.0526858287728681E-2</v>
      </c>
      <c r="Z54" s="154">
        <f t="shared" si="38"/>
        <v>0.20822351080653664</v>
      </c>
      <c r="AA54" s="154">
        <f t="shared" si="39"/>
        <v>0</v>
      </c>
      <c r="AB54" s="251">
        <v>11581</v>
      </c>
      <c r="AE54" s="251"/>
      <c r="AF54" s="251">
        <v>1104054</v>
      </c>
      <c r="AG54" s="251">
        <v>456263</v>
      </c>
      <c r="AH54" s="251"/>
      <c r="AI54" s="158">
        <f t="shared" si="56"/>
        <v>1560317</v>
      </c>
      <c r="AJ54" s="153">
        <f t="shared" si="40"/>
        <v>31.389024120380615</v>
      </c>
      <c r="AK54" s="251">
        <v>295724</v>
      </c>
      <c r="AL54" s="251">
        <v>19099</v>
      </c>
      <c r="AM54" s="251">
        <v>19403</v>
      </c>
      <c r="AN54" s="251"/>
      <c r="AO54" s="158">
        <f t="shared" si="41"/>
        <v>19403</v>
      </c>
      <c r="AP54" s="251">
        <v>1107065</v>
      </c>
      <c r="AQ54" s="155">
        <f t="shared" si="42"/>
        <v>22.270916735400029</v>
      </c>
      <c r="AR54" s="251"/>
      <c r="AS54" s="268">
        <v>18557</v>
      </c>
      <c r="AT54" s="251">
        <v>0</v>
      </c>
      <c r="AU54" s="268">
        <v>0</v>
      </c>
      <c r="AV54" s="268">
        <v>0</v>
      </c>
      <c r="AW54" s="251"/>
      <c r="AX54" s="268">
        <v>0</v>
      </c>
      <c r="AY54" s="158">
        <f t="shared" si="43"/>
        <v>18557</v>
      </c>
      <c r="AZ54" s="249">
        <v>120819</v>
      </c>
      <c r="BA54" s="152">
        <f t="shared" si="13"/>
        <v>2.4305256593373432</v>
      </c>
      <c r="BB54" s="269">
        <v>7196</v>
      </c>
      <c r="BC54" s="269">
        <v>7196</v>
      </c>
      <c r="BD54" s="269">
        <v>10471</v>
      </c>
      <c r="BE54" s="269">
        <v>1752</v>
      </c>
      <c r="BF54" s="269">
        <v>72700</v>
      </c>
      <c r="BG54" s="269">
        <v>4</v>
      </c>
      <c r="BH54" s="269">
        <v>89</v>
      </c>
      <c r="BI54" s="249">
        <v>0</v>
      </c>
      <c r="BJ54" s="159">
        <f t="shared" si="44"/>
        <v>93</v>
      </c>
      <c r="BK54" s="269">
        <v>225530</v>
      </c>
      <c r="BL54" s="152">
        <f t="shared" si="15"/>
        <v>4.5370053712607374</v>
      </c>
      <c r="BM54" s="269">
        <v>219</v>
      </c>
      <c r="BN54" s="249">
        <v>96889</v>
      </c>
      <c r="BO54" s="152">
        <f t="shared" si="16"/>
        <v>1.9491239011044277</v>
      </c>
      <c r="BP54" s="249">
        <v>44023</v>
      </c>
      <c r="BQ54" s="249">
        <v>0</v>
      </c>
      <c r="BR54" s="276">
        <f t="shared" si="45"/>
        <v>152383</v>
      </c>
      <c r="BS54" s="276">
        <v>9708</v>
      </c>
      <c r="BT54" s="269">
        <v>162091</v>
      </c>
      <c r="BU54" s="152">
        <f t="shared" si="17"/>
        <v>3.2607978434488722</v>
      </c>
      <c r="BV54" s="151">
        <f t="shared" si="60"/>
        <v>9467.9322429906533</v>
      </c>
      <c r="BW54" s="152">
        <f t="shared" si="57"/>
        <v>18.760532407407407</v>
      </c>
      <c r="BX54" s="152">
        <f t="shared" si="58"/>
        <v>1.024899938666987</v>
      </c>
      <c r="BY54" s="152">
        <f t="shared" si="59"/>
        <v>0.71871147962577042</v>
      </c>
      <c r="BZ54" s="249">
        <v>343</v>
      </c>
      <c r="CA54" s="249">
        <v>56</v>
      </c>
      <c r="CB54" s="249">
        <v>274</v>
      </c>
      <c r="CC54" s="156">
        <f t="shared" si="48"/>
        <v>673</v>
      </c>
      <c r="CD54" s="249">
        <v>6569</v>
      </c>
      <c r="CE54" s="249">
        <v>1084</v>
      </c>
      <c r="CF54" s="249">
        <v>3100</v>
      </c>
      <c r="CG54" s="159">
        <f t="shared" si="49"/>
        <v>10753</v>
      </c>
      <c r="CH54" s="152">
        <f t="shared" si="23"/>
        <v>0.21631897644289766</v>
      </c>
      <c r="CI54" s="249">
        <v>158153</v>
      </c>
      <c r="CJ54" s="152">
        <f t="shared" si="24"/>
        <v>3.181576776841216</v>
      </c>
      <c r="CK54" s="269">
        <v>10461</v>
      </c>
      <c r="CL54" s="252" t="s">
        <v>25</v>
      </c>
      <c r="CM54" s="252" t="s">
        <v>25</v>
      </c>
      <c r="CN54" s="252" t="s">
        <v>25</v>
      </c>
      <c r="CO54" s="253">
        <v>1.88</v>
      </c>
      <c r="CP54" s="253">
        <v>0</v>
      </c>
      <c r="CQ54" s="253">
        <v>0</v>
      </c>
      <c r="CR54" s="253">
        <v>15.24</v>
      </c>
      <c r="CS54" s="223">
        <f t="shared" si="50"/>
        <v>17.12</v>
      </c>
      <c r="CT54" s="151">
        <f t="shared" si="61"/>
        <v>2903.5630841121492</v>
      </c>
      <c r="CU54" s="249">
        <v>1599</v>
      </c>
      <c r="CV54" s="251">
        <v>44000</v>
      </c>
      <c r="CW54" s="253">
        <v>30</v>
      </c>
      <c r="CX54" s="252" t="s">
        <v>25</v>
      </c>
      <c r="CY54" s="252" t="s">
        <v>25</v>
      </c>
      <c r="CZ54" s="249">
        <v>15</v>
      </c>
      <c r="DA54" s="249">
        <v>7</v>
      </c>
      <c r="DB54" s="249">
        <v>84</v>
      </c>
      <c r="DC54" s="249">
        <v>26462</v>
      </c>
      <c r="DD54" s="249">
        <v>11848</v>
      </c>
      <c r="DE54" s="249">
        <v>196853</v>
      </c>
      <c r="DF54" s="249">
        <v>11986</v>
      </c>
      <c r="DG54" s="249">
        <v>52</v>
      </c>
      <c r="DH54" s="253">
        <f t="shared" si="51"/>
        <v>0.24112333782614817</v>
      </c>
      <c r="DI54" s="249">
        <v>32</v>
      </c>
      <c r="DJ54" s="249">
        <v>32</v>
      </c>
      <c r="DL54" s="151">
        <v>8640</v>
      </c>
      <c r="DM54" s="248"/>
      <c r="DN54" s="252" t="s">
        <v>3106</v>
      </c>
      <c r="DO54" s="252" t="s">
        <v>3052</v>
      </c>
      <c r="DP54" s="252"/>
      <c r="DQ54" s="250"/>
      <c r="DR54" s="261" t="s">
        <v>3166</v>
      </c>
      <c r="DS54" s="248" t="s">
        <v>3025</v>
      </c>
      <c r="DT54" s="275">
        <v>43282</v>
      </c>
      <c r="DU54" s="275">
        <v>43646</v>
      </c>
      <c r="DV54" s="261" t="s">
        <v>3166</v>
      </c>
      <c r="DW54" s="152">
        <f t="shared" si="27"/>
        <v>0.88561427508097124</v>
      </c>
      <c r="DX54" s="152">
        <f t="shared" si="28"/>
        <v>0</v>
      </c>
      <c r="DY54" s="152">
        <f t="shared" si="29"/>
        <v>3.0655012170834257</v>
      </c>
      <c r="DZ54" s="152">
        <f t="shared" si="30"/>
        <v>0.1952966263654469</v>
      </c>
      <c r="EA54" s="153">
        <f t="shared" si="62"/>
        <v>0.29810698247507711</v>
      </c>
      <c r="EB54" s="243">
        <v>0</v>
      </c>
    </row>
    <row r="55" spans="1:132" ht="15" thickBot="1" x14ac:dyDescent="0.35">
      <c r="A55" s="261" t="s">
        <v>3167</v>
      </c>
      <c r="B55" s="388" t="s">
        <v>3247</v>
      </c>
      <c r="C55" s="263">
        <v>88633</v>
      </c>
      <c r="D55" s="250">
        <v>7</v>
      </c>
      <c r="E55" s="250">
        <v>0</v>
      </c>
      <c r="F55" s="249">
        <v>60942</v>
      </c>
      <c r="H55" s="151">
        <f t="shared" si="0"/>
        <v>60942</v>
      </c>
      <c r="I55" s="152">
        <v>0.68757999999999997</v>
      </c>
      <c r="J55" s="251">
        <v>935204</v>
      </c>
      <c r="K55" s="251">
        <v>266756</v>
      </c>
      <c r="L55" s="158">
        <f t="shared" si="32"/>
        <v>1201960</v>
      </c>
      <c r="M55" s="153">
        <f t="shared" si="33"/>
        <v>13.561088984915324</v>
      </c>
      <c r="N55" s="251">
        <v>114854</v>
      </c>
      <c r="O55" s="251">
        <v>44084</v>
      </c>
      <c r="P55" s="268">
        <v>9993</v>
      </c>
      <c r="Q55" s="158">
        <v>168931</v>
      </c>
      <c r="R55" s="153">
        <f t="shared" si="34"/>
        <v>1.905960533886927</v>
      </c>
      <c r="S55" s="268">
        <v>454606</v>
      </c>
      <c r="T55" s="251">
        <v>1825497</v>
      </c>
      <c r="U55" s="251">
        <v>0</v>
      </c>
      <c r="V55" s="251">
        <v>1825497</v>
      </c>
      <c r="W55" s="153">
        <f t="shared" si="35"/>
        <v>20.596132366048764</v>
      </c>
      <c r="X55" s="154">
        <f t="shared" si="36"/>
        <v>0.65842891004477133</v>
      </c>
      <c r="Y55" s="154">
        <f t="shared" si="37"/>
        <v>9.2539730276193277E-2</v>
      </c>
      <c r="Z55" s="154">
        <f t="shared" si="38"/>
        <v>0.24903135967903536</v>
      </c>
      <c r="AA55" s="154">
        <f t="shared" si="39"/>
        <v>0</v>
      </c>
      <c r="AB55" s="251">
        <v>55269</v>
      </c>
      <c r="AE55" s="251"/>
      <c r="AF55" s="251">
        <v>1825497</v>
      </c>
      <c r="AG55" s="251">
        <v>978220</v>
      </c>
      <c r="AH55" s="251"/>
      <c r="AI55" s="158">
        <f t="shared" si="56"/>
        <v>2803717</v>
      </c>
      <c r="AJ55" s="153">
        <f t="shared" si="40"/>
        <v>31.632879401577291</v>
      </c>
      <c r="AK55" s="251">
        <v>332291</v>
      </c>
      <c r="AL55" s="251">
        <v>38194</v>
      </c>
      <c r="AM55" s="251">
        <v>579454</v>
      </c>
      <c r="AN55" s="251"/>
      <c r="AO55" s="158">
        <f t="shared" si="41"/>
        <v>579454</v>
      </c>
      <c r="AP55" s="251">
        <v>2133659</v>
      </c>
      <c r="AQ55" s="155">
        <f t="shared" si="42"/>
        <v>24.072963794523485</v>
      </c>
      <c r="AR55" s="251"/>
      <c r="AS55" s="268">
        <v>0</v>
      </c>
      <c r="AT55" s="251">
        <v>0</v>
      </c>
      <c r="AU55" s="268">
        <v>0</v>
      </c>
      <c r="AV55" s="268">
        <v>0</v>
      </c>
      <c r="AW55" s="251"/>
      <c r="AX55" s="268">
        <v>0</v>
      </c>
      <c r="AY55" s="158">
        <f t="shared" si="43"/>
        <v>0</v>
      </c>
      <c r="AZ55" s="249">
        <v>106344</v>
      </c>
      <c r="BA55" s="152">
        <f t="shared" si="13"/>
        <v>1.1998239933207722</v>
      </c>
      <c r="BB55" s="269">
        <v>3668</v>
      </c>
      <c r="BC55" s="269">
        <v>3668</v>
      </c>
      <c r="BD55" s="269">
        <v>8216</v>
      </c>
      <c r="BE55" s="269">
        <v>2067</v>
      </c>
      <c r="BF55" s="269">
        <v>107919</v>
      </c>
      <c r="BG55" s="269">
        <v>3</v>
      </c>
      <c r="BH55" s="269">
        <v>89</v>
      </c>
      <c r="BI55" s="249">
        <v>0</v>
      </c>
      <c r="BJ55" s="159">
        <f t="shared" si="44"/>
        <v>92</v>
      </c>
      <c r="BK55" s="269">
        <v>247468</v>
      </c>
      <c r="BL55" s="152">
        <f t="shared" si="15"/>
        <v>2.7920526214840975</v>
      </c>
      <c r="BM55" s="269">
        <v>316</v>
      </c>
      <c r="BN55" s="249">
        <v>70067</v>
      </c>
      <c r="BO55" s="152">
        <f t="shared" si="16"/>
        <v>0.79052948676001034</v>
      </c>
      <c r="BP55" s="249">
        <v>56760</v>
      </c>
      <c r="BQ55" s="249">
        <v>0</v>
      </c>
      <c r="BR55" s="276">
        <f t="shared" si="45"/>
        <v>123869</v>
      </c>
      <c r="BS55" s="276">
        <v>38706</v>
      </c>
      <c r="BT55" s="269">
        <v>162575</v>
      </c>
      <c r="BU55" s="152">
        <f t="shared" si="17"/>
        <v>1.834249094581025</v>
      </c>
      <c r="BV55" s="151">
        <f t="shared" si="60"/>
        <v>5172.60579064588</v>
      </c>
      <c r="BW55" s="152">
        <f t="shared" si="57"/>
        <v>11.505661712668083</v>
      </c>
      <c r="BX55" s="152">
        <f t="shared" si="58"/>
        <v>0.72200362389639916</v>
      </c>
      <c r="BY55" s="152">
        <f t="shared" si="59"/>
        <v>0.65695362632744436</v>
      </c>
      <c r="BZ55" s="249">
        <v>993</v>
      </c>
      <c r="CA55" s="249">
        <v>180</v>
      </c>
      <c r="CB55" s="249">
        <v>341</v>
      </c>
      <c r="CC55" s="156">
        <f t="shared" si="48"/>
        <v>1514</v>
      </c>
      <c r="CD55" s="249">
        <v>22778</v>
      </c>
      <c r="CE55" s="249">
        <v>4319</v>
      </c>
      <c r="CF55" s="249">
        <v>4760</v>
      </c>
      <c r="CG55" s="159">
        <f t="shared" si="49"/>
        <v>31857</v>
      </c>
      <c r="CH55" s="152">
        <f t="shared" si="23"/>
        <v>0.35942594744621076</v>
      </c>
      <c r="CI55" s="249">
        <v>225172</v>
      </c>
      <c r="CJ55" s="152">
        <f t="shared" si="24"/>
        <v>2.5404984599415568</v>
      </c>
      <c r="CK55" s="269">
        <v>46578</v>
      </c>
      <c r="CL55" s="252" t="s">
        <v>25</v>
      </c>
      <c r="CM55" s="252" t="s">
        <v>25</v>
      </c>
      <c r="CN55" s="252" t="s">
        <v>25</v>
      </c>
      <c r="CO55" s="253">
        <v>6.73</v>
      </c>
      <c r="CP55" s="151">
        <f>C55/CO55</f>
        <v>13169.836552748884</v>
      </c>
      <c r="CQ55" s="253">
        <v>0</v>
      </c>
      <c r="CR55" s="253">
        <v>24.7</v>
      </c>
      <c r="CS55" s="223">
        <f t="shared" si="50"/>
        <v>31.43</v>
      </c>
      <c r="CT55" s="151">
        <f t="shared" si="61"/>
        <v>2820.0127266942413</v>
      </c>
      <c r="CU55" s="249">
        <v>962</v>
      </c>
      <c r="CV55" s="251">
        <v>96000</v>
      </c>
      <c r="CW55" s="253">
        <v>40</v>
      </c>
      <c r="CX55" s="252" t="s">
        <v>25</v>
      </c>
      <c r="CY55" s="252" t="s">
        <v>25</v>
      </c>
      <c r="CZ55" s="249">
        <v>14069</v>
      </c>
      <c r="DA55" s="249">
        <v>5231</v>
      </c>
      <c r="DB55" s="249">
        <v>140</v>
      </c>
      <c r="DC55" s="249">
        <v>52396</v>
      </c>
      <c r="DD55" s="249">
        <v>151577</v>
      </c>
      <c r="DE55" s="249">
        <v>125605</v>
      </c>
      <c r="DF55" s="249">
        <v>17368</v>
      </c>
      <c r="DG55" s="249">
        <v>52</v>
      </c>
      <c r="DH55" s="253">
        <f t="shared" si="51"/>
        <v>0.19595410287364751</v>
      </c>
      <c r="DI55" s="249">
        <v>54</v>
      </c>
      <c r="DJ55" s="249">
        <v>54</v>
      </c>
      <c r="DL55" s="151">
        <v>14130</v>
      </c>
      <c r="DM55" s="248"/>
      <c r="DN55" s="252" t="s">
        <v>3107</v>
      </c>
      <c r="DO55" s="252" t="s">
        <v>3052</v>
      </c>
      <c r="DP55" s="252"/>
      <c r="DQ55" s="250"/>
      <c r="DR55" s="261" t="s">
        <v>3167</v>
      </c>
      <c r="DS55" s="248" t="s">
        <v>3026</v>
      </c>
      <c r="DT55" s="275">
        <v>43282</v>
      </c>
      <c r="DU55" s="275">
        <v>43646</v>
      </c>
      <c r="DV55" s="261" t="s">
        <v>3167</v>
      </c>
      <c r="DW55" s="152">
        <f t="shared" si="27"/>
        <v>0.64039353288278633</v>
      </c>
      <c r="DX55" s="152">
        <f t="shared" si="28"/>
        <v>0</v>
      </c>
      <c r="DY55" s="152">
        <f t="shared" si="29"/>
        <v>1.3975494454661357</v>
      </c>
      <c r="DZ55" s="152">
        <f t="shared" si="30"/>
        <v>0.43669964911488951</v>
      </c>
      <c r="EA55" s="153">
        <f t="shared" si="62"/>
        <v>0.63585581495773102</v>
      </c>
      <c r="EB55" s="243">
        <f t="shared" si="52"/>
        <v>1.1389448664289774</v>
      </c>
    </row>
    <row r="56" spans="1:132" ht="15" thickBot="1" x14ac:dyDescent="0.35">
      <c r="A56" s="261" t="s">
        <v>3027</v>
      </c>
      <c r="B56" s="388" t="s">
        <v>3248</v>
      </c>
      <c r="C56" s="263">
        <v>233595</v>
      </c>
      <c r="D56" s="250">
        <v>3</v>
      </c>
      <c r="E56" s="250">
        <v>0</v>
      </c>
      <c r="F56" s="249">
        <v>142228</v>
      </c>
      <c r="H56" s="151">
        <f t="shared" si="0"/>
        <v>142228</v>
      </c>
      <c r="I56" s="152">
        <v>0.60887000000000002</v>
      </c>
      <c r="J56" s="251">
        <v>2529872</v>
      </c>
      <c r="K56" s="251">
        <v>862489</v>
      </c>
      <c r="L56" s="158">
        <f t="shared" si="32"/>
        <v>3392361</v>
      </c>
      <c r="M56" s="153">
        <f t="shared" si="33"/>
        <v>14.522404161047968</v>
      </c>
      <c r="N56" s="251">
        <v>371824</v>
      </c>
      <c r="O56" s="251">
        <v>177763</v>
      </c>
      <c r="P56" s="268">
        <v>54516.63</v>
      </c>
      <c r="Q56" s="158">
        <v>604103.63</v>
      </c>
      <c r="R56" s="153">
        <f t="shared" si="34"/>
        <v>2.5861154134292259</v>
      </c>
      <c r="S56" s="268">
        <v>324430.89</v>
      </c>
      <c r="T56" s="251">
        <v>4320895.5199999996</v>
      </c>
      <c r="U56" s="251">
        <v>0</v>
      </c>
      <c r="V56" s="251">
        <v>4320895.5199999996</v>
      </c>
      <c r="W56" s="153">
        <f t="shared" si="35"/>
        <v>18.497380166527535</v>
      </c>
      <c r="X56" s="154">
        <f t="shared" si="36"/>
        <v>0.7851060004339101</v>
      </c>
      <c r="Y56" s="154">
        <f t="shared" si="37"/>
        <v>0.13980982118262375</v>
      </c>
      <c r="Z56" s="154">
        <f t="shared" si="38"/>
        <v>7.5084178383466219E-2</v>
      </c>
      <c r="AA56" s="154">
        <f t="shared" si="39"/>
        <v>0</v>
      </c>
      <c r="AB56" s="251">
        <v>545200</v>
      </c>
      <c r="AE56" s="251"/>
      <c r="AF56" s="251">
        <v>4320895.5199999996</v>
      </c>
      <c r="AG56" s="251">
        <v>3967063</v>
      </c>
      <c r="AH56" s="251"/>
      <c r="AI56" s="158">
        <f t="shared" si="56"/>
        <v>8287958.5199999996</v>
      </c>
      <c r="AJ56" s="153">
        <f t="shared" si="40"/>
        <v>35.480033904835288</v>
      </c>
      <c r="AK56" s="251">
        <v>217818</v>
      </c>
      <c r="AL56" s="251">
        <v>24531</v>
      </c>
      <c r="AM56" s="251">
        <v>200200</v>
      </c>
      <c r="AN56" s="251"/>
      <c r="AO56" s="158">
        <f t="shared" si="41"/>
        <v>200200</v>
      </c>
      <c r="AP56" s="251">
        <v>4409612</v>
      </c>
      <c r="AQ56" s="155">
        <f t="shared" si="42"/>
        <v>18.877167747597337</v>
      </c>
      <c r="AR56" s="251"/>
      <c r="AS56" s="268">
        <v>0</v>
      </c>
      <c r="AT56" s="251">
        <v>0</v>
      </c>
      <c r="AU56" s="268">
        <v>0</v>
      </c>
      <c r="AV56" s="268">
        <v>0</v>
      </c>
      <c r="AW56" s="251"/>
      <c r="AX56" s="268">
        <v>0</v>
      </c>
      <c r="AY56" s="158">
        <f t="shared" si="43"/>
        <v>0</v>
      </c>
      <c r="AZ56" s="249">
        <v>353551</v>
      </c>
      <c r="BA56" s="152">
        <f t="shared" si="13"/>
        <v>1.5135212654380445</v>
      </c>
      <c r="BB56" s="269">
        <v>14460</v>
      </c>
      <c r="BC56" s="269">
        <v>14460</v>
      </c>
      <c r="BD56" s="269">
        <v>20496</v>
      </c>
      <c r="BE56" s="269">
        <v>2179</v>
      </c>
      <c r="BF56" s="269">
        <v>165018</v>
      </c>
      <c r="BG56" s="269">
        <v>43</v>
      </c>
      <c r="BH56" s="269">
        <v>89</v>
      </c>
      <c r="BI56" s="249">
        <v>0</v>
      </c>
      <c r="BJ56" s="159">
        <f t="shared" si="44"/>
        <v>132</v>
      </c>
      <c r="BK56" s="269">
        <v>591386</v>
      </c>
      <c r="BL56" s="152">
        <f t="shared" si="15"/>
        <v>2.5316723388771165</v>
      </c>
      <c r="BM56" s="269">
        <v>388</v>
      </c>
      <c r="BN56" s="249">
        <v>225004</v>
      </c>
      <c r="BO56" s="152">
        <f t="shared" si="16"/>
        <v>0.96322267171814469</v>
      </c>
      <c r="BP56" s="249">
        <v>292854</v>
      </c>
      <c r="BQ56" s="249">
        <v>0</v>
      </c>
      <c r="BR56" s="276">
        <f t="shared" si="45"/>
        <v>820134</v>
      </c>
      <c r="BS56" s="276">
        <v>843474</v>
      </c>
      <c r="BT56" s="269">
        <v>1663608</v>
      </c>
      <c r="BU56" s="152">
        <f t="shared" si="17"/>
        <v>7.1217620240159247</v>
      </c>
      <c r="BV56" s="151">
        <f t="shared" si="60"/>
        <v>34160.328542094452</v>
      </c>
      <c r="BW56" s="152">
        <f t="shared" si="57"/>
        <v>198.04857142857142</v>
      </c>
      <c r="BX56" s="152">
        <f t="shared" si="58"/>
        <v>3.589175568006524</v>
      </c>
      <c r="BY56" s="152">
        <f t="shared" si="59"/>
        <v>2.8130662545274996</v>
      </c>
      <c r="BZ56" s="249">
        <v>1207</v>
      </c>
      <c r="CA56" s="249">
        <v>134</v>
      </c>
      <c r="CB56" s="249">
        <v>597</v>
      </c>
      <c r="CC56" s="156">
        <f t="shared" si="48"/>
        <v>1938</v>
      </c>
      <c r="CD56" s="249">
        <v>34331</v>
      </c>
      <c r="CE56" s="249">
        <v>2127</v>
      </c>
      <c r="CF56" s="249">
        <v>5358</v>
      </c>
      <c r="CG56" s="159">
        <f t="shared" si="49"/>
        <v>41816</v>
      </c>
      <c r="CH56" s="152">
        <f t="shared" si="23"/>
        <v>0.17901068087929964</v>
      </c>
      <c r="CI56" s="249">
        <v>463507</v>
      </c>
      <c r="CJ56" s="152">
        <f t="shared" si="24"/>
        <v>1.9842333954065798</v>
      </c>
      <c r="CK56" s="269">
        <v>137611</v>
      </c>
      <c r="CL56" s="252" t="s">
        <v>25</v>
      </c>
      <c r="CM56" s="252" t="s">
        <v>25</v>
      </c>
      <c r="CN56" s="252" t="s">
        <v>25</v>
      </c>
      <c r="CO56" s="253">
        <v>19</v>
      </c>
      <c r="CP56" s="253">
        <v>0</v>
      </c>
      <c r="CQ56" s="253">
        <v>0</v>
      </c>
      <c r="CR56" s="253">
        <v>29.7</v>
      </c>
      <c r="CS56" s="223">
        <f t="shared" si="50"/>
        <v>48.7</v>
      </c>
      <c r="CT56" s="151">
        <f t="shared" si="61"/>
        <v>4796.6119096509237</v>
      </c>
      <c r="CU56" s="249">
        <v>7156.67</v>
      </c>
      <c r="CV56" s="251">
        <v>129455</v>
      </c>
      <c r="CW56" s="253">
        <v>35</v>
      </c>
      <c r="CX56" s="252" t="s">
        <v>25</v>
      </c>
      <c r="CY56" s="252" t="s">
        <v>25</v>
      </c>
      <c r="CZ56" s="249">
        <v>427</v>
      </c>
      <c r="DA56" s="249">
        <v>852</v>
      </c>
      <c r="DB56" s="249">
        <v>137</v>
      </c>
      <c r="DC56" s="249">
        <v>54340</v>
      </c>
      <c r="DD56" s="249" t="s">
        <v>3137</v>
      </c>
      <c r="DE56" s="249">
        <v>399147</v>
      </c>
      <c r="DF56" s="249">
        <v>11759</v>
      </c>
      <c r="DG56" s="249">
        <v>30</v>
      </c>
      <c r="DH56" s="253">
        <f t="shared" si="51"/>
        <v>5.033926239859586E-2</v>
      </c>
      <c r="DI56" s="249">
        <v>35</v>
      </c>
      <c r="DJ56" s="249">
        <v>35</v>
      </c>
      <c r="DL56" s="151">
        <v>8400</v>
      </c>
      <c r="DM56" s="248"/>
      <c r="DN56" s="252" t="s">
        <v>3108</v>
      </c>
      <c r="DO56" s="252" t="s">
        <v>1950</v>
      </c>
      <c r="DP56" s="252"/>
      <c r="DQ56" s="250"/>
      <c r="DR56" s="261" t="s">
        <v>3027</v>
      </c>
      <c r="DS56" s="248" t="s">
        <v>3027</v>
      </c>
      <c r="DT56" s="275">
        <v>43282</v>
      </c>
      <c r="DU56" s="275">
        <v>43646</v>
      </c>
      <c r="DV56" s="261" t="s">
        <v>3027</v>
      </c>
      <c r="DW56" s="152">
        <f t="shared" si="27"/>
        <v>1.2536826558787646</v>
      </c>
      <c r="DX56" s="152">
        <f t="shared" si="28"/>
        <v>0</v>
      </c>
      <c r="DY56" s="152">
        <f t="shared" si="29"/>
        <v>3.5109227509150451</v>
      </c>
      <c r="DZ56" s="152">
        <f t="shared" si="30"/>
        <v>3.6108392731008796</v>
      </c>
      <c r="EA56" s="153">
        <f t="shared" si="62"/>
        <v>0.33407727666425874</v>
      </c>
      <c r="EB56" s="243">
        <f t="shared" si="52"/>
        <v>0.2107510130721279</v>
      </c>
    </row>
    <row r="57" spans="1:132" ht="15" thickBot="1" x14ac:dyDescent="0.35">
      <c r="A57" s="261" t="s">
        <v>3286</v>
      </c>
      <c r="B57" s="388" t="s">
        <v>3249</v>
      </c>
      <c r="C57" s="263">
        <v>169664</v>
      </c>
      <c r="D57" s="250">
        <v>13</v>
      </c>
      <c r="E57" s="250">
        <v>1</v>
      </c>
      <c r="F57" s="249">
        <v>98120</v>
      </c>
      <c r="H57" s="151">
        <f t="shared" si="0"/>
        <v>98120</v>
      </c>
      <c r="I57" s="152">
        <v>0.61075000000000002</v>
      </c>
      <c r="J57" s="251">
        <v>1320844</v>
      </c>
      <c r="K57" s="251">
        <v>454512</v>
      </c>
      <c r="L57" s="158">
        <f t="shared" si="32"/>
        <v>1775356</v>
      </c>
      <c r="M57" s="153">
        <f t="shared" si="33"/>
        <v>10.463952282157676</v>
      </c>
      <c r="N57" s="251">
        <v>99263</v>
      </c>
      <c r="O57" s="251">
        <v>38024</v>
      </c>
      <c r="P57" s="268">
        <v>8953</v>
      </c>
      <c r="Q57" s="158">
        <v>146240</v>
      </c>
      <c r="R57" s="153">
        <f t="shared" si="34"/>
        <v>0.86193889098453413</v>
      </c>
      <c r="S57" s="268">
        <v>505993</v>
      </c>
      <c r="T57" s="251">
        <v>2427589</v>
      </c>
      <c r="U57" s="251">
        <v>19008</v>
      </c>
      <c r="V57" s="251">
        <v>2427589</v>
      </c>
      <c r="W57" s="153">
        <f t="shared" si="35"/>
        <v>14.308215060354582</v>
      </c>
      <c r="X57" s="154">
        <f t="shared" si="36"/>
        <v>0.73132478356097341</v>
      </c>
      <c r="Y57" s="154">
        <f t="shared" si="37"/>
        <v>6.0240839779715595E-2</v>
      </c>
      <c r="Z57" s="154">
        <f t="shared" si="38"/>
        <v>0.20843437665931094</v>
      </c>
      <c r="AA57" s="154">
        <f t="shared" si="39"/>
        <v>7.8299909910615022E-3</v>
      </c>
      <c r="AB57" s="251">
        <v>0</v>
      </c>
      <c r="AE57" s="251"/>
      <c r="AF57" s="251">
        <v>2427589</v>
      </c>
      <c r="AG57" s="251">
        <v>1639491</v>
      </c>
      <c r="AH57" s="251"/>
      <c r="AI57" s="158">
        <f t="shared" si="56"/>
        <v>4067080</v>
      </c>
      <c r="AJ57" s="153">
        <f t="shared" si="40"/>
        <v>23.97137872500943</v>
      </c>
      <c r="AK57" s="251">
        <v>454548</v>
      </c>
      <c r="AL57" s="251">
        <v>4000</v>
      </c>
      <c r="AM57" s="251">
        <v>133559</v>
      </c>
      <c r="AN57" s="251"/>
      <c r="AO57" s="158">
        <f t="shared" si="41"/>
        <v>133559</v>
      </c>
      <c r="AP57" s="251">
        <v>2534448</v>
      </c>
      <c r="AQ57" s="155">
        <f t="shared" si="42"/>
        <v>14.938042248208223</v>
      </c>
      <c r="AR57" s="251"/>
      <c r="AS57" s="268">
        <v>0</v>
      </c>
      <c r="AT57" s="251">
        <v>0</v>
      </c>
      <c r="AU57" s="268">
        <v>0</v>
      </c>
      <c r="AV57" s="268">
        <v>0</v>
      </c>
      <c r="AW57" s="251"/>
      <c r="AX57" s="268">
        <v>0</v>
      </c>
      <c r="AY57" s="158">
        <f t="shared" si="43"/>
        <v>0</v>
      </c>
      <c r="AZ57" s="249">
        <v>332109</v>
      </c>
      <c r="BA57" s="152">
        <f t="shared" si="13"/>
        <v>1.9574511976612599</v>
      </c>
      <c r="BB57" s="269">
        <v>6601</v>
      </c>
      <c r="BC57" s="269">
        <v>6601</v>
      </c>
      <c r="BD57" s="269">
        <v>15248</v>
      </c>
      <c r="BE57" s="269">
        <v>1760</v>
      </c>
      <c r="BF57" s="269">
        <v>73451</v>
      </c>
      <c r="BG57" s="269">
        <v>1</v>
      </c>
      <c r="BH57" s="269">
        <v>89</v>
      </c>
      <c r="BI57" s="249">
        <v>0</v>
      </c>
      <c r="BJ57" s="159">
        <f t="shared" si="44"/>
        <v>90</v>
      </c>
      <c r="BK57" s="269">
        <v>442369</v>
      </c>
      <c r="BL57" s="152">
        <f t="shared" si="15"/>
        <v>2.6073238872123725</v>
      </c>
      <c r="BM57" s="269">
        <v>0</v>
      </c>
      <c r="BN57" s="249">
        <v>129530</v>
      </c>
      <c r="BO57" s="152">
        <f t="shared" si="16"/>
        <v>0.76345011316484346</v>
      </c>
      <c r="BP57" s="249">
        <v>139514</v>
      </c>
      <c r="BQ57" s="249">
        <v>0</v>
      </c>
      <c r="BR57" s="276">
        <f t="shared" si="45"/>
        <v>338250</v>
      </c>
      <c r="BS57" s="276">
        <v>53559</v>
      </c>
      <c r="BT57" s="269">
        <v>391809</v>
      </c>
      <c r="BU57" s="152">
        <f t="shared" si="17"/>
        <v>2.3093231327800829</v>
      </c>
      <c r="BV57" s="151">
        <f t="shared" si="60"/>
        <v>8130.5042539946053</v>
      </c>
      <c r="BW57" s="152">
        <f t="shared" si="57"/>
        <v>15.29966027568433</v>
      </c>
      <c r="BX57" s="152">
        <f t="shared" si="58"/>
        <v>1.6023073022312373</v>
      </c>
      <c r="BY57" s="152">
        <f t="shared" si="59"/>
        <v>0.88570627688649073</v>
      </c>
      <c r="BZ57" s="249">
        <v>1975</v>
      </c>
      <c r="CA57" s="249">
        <v>305</v>
      </c>
      <c r="CB57" s="249">
        <v>1371</v>
      </c>
      <c r="CC57" s="156">
        <f t="shared" si="48"/>
        <v>3651</v>
      </c>
      <c r="CD57" s="249">
        <v>91359</v>
      </c>
      <c r="CE57" s="249">
        <v>12376</v>
      </c>
      <c r="CF57" s="249">
        <v>37136</v>
      </c>
      <c r="CG57" s="159">
        <f t="shared" si="49"/>
        <v>140871</v>
      </c>
      <c r="CH57" s="152">
        <f t="shared" si="23"/>
        <v>0.83029399283289329</v>
      </c>
      <c r="CI57" s="249">
        <v>244528</v>
      </c>
      <c r="CJ57" s="152">
        <f t="shared" si="24"/>
        <v>1.4412485854394568</v>
      </c>
      <c r="CK57" s="269">
        <v>67633</v>
      </c>
      <c r="CL57" s="252" t="s">
        <v>25</v>
      </c>
      <c r="CM57" s="252" t="s">
        <v>25</v>
      </c>
      <c r="CN57" s="252" t="s">
        <v>25</v>
      </c>
      <c r="CO57" s="253">
        <v>2</v>
      </c>
      <c r="CP57" s="253">
        <v>0</v>
      </c>
      <c r="CQ57" s="253">
        <v>0</v>
      </c>
      <c r="CR57" s="253">
        <v>46.19</v>
      </c>
      <c r="CS57" s="223">
        <f t="shared" si="50"/>
        <v>48.19</v>
      </c>
      <c r="CT57" s="151">
        <f t="shared" si="61"/>
        <v>3520.7304420004152</v>
      </c>
      <c r="CU57" s="249">
        <v>4751</v>
      </c>
      <c r="CV57" s="251">
        <v>67121</v>
      </c>
      <c r="CW57" s="253">
        <v>40</v>
      </c>
      <c r="CX57" s="252" t="s">
        <v>25</v>
      </c>
      <c r="CY57" s="252" t="s">
        <v>25</v>
      </c>
      <c r="CZ57" s="249">
        <v>18271</v>
      </c>
      <c r="DA57" s="249">
        <v>22602</v>
      </c>
      <c r="DB57" s="249">
        <v>158</v>
      </c>
      <c r="DC57" s="249">
        <v>55105</v>
      </c>
      <c r="DD57" s="249">
        <v>120740</v>
      </c>
      <c r="DE57" s="249">
        <v>89374</v>
      </c>
      <c r="DF57" s="249">
        <v>33258</v>
      </c>
      <c r="DG57" s="249">
        <v>52</v>
      </c>
      <c r="DH57" s="253">
        <f t="shared" si="51"/>
        <v>0.19602272727272727</v>
      </c>
      <c r="DI57" s="249">
        <v>46</v>
      </c>
      <c r="DJ57" s="249">
        <v>46</v>
      </c>
      <c r="DL57" s="151">
        <v>25609</v>
      </c>
      <c r="DM57" s="248"/>
      <c r="DN57" s="252" t="s">
        <v>3109</v>
      </c>
      <c r="DO57" s="252" t="s">
        <v>3052</v>
      </c>
      <c r="DP57" s="252"/>
      <c r="DQ57" s="250"/>
      <c r="DR57" s="261" t="s">
        <v>3168</v>
      </c>
      <c r="DS57" s="248" t="s">
        <v>3028</v>
      </c>
      <c r="DT57" s="275">
        <v>43282</v>
      </c>
      <c r="DU57" s="275">
        <v>43646</v>
      </c>
      <c r="DV57" s="261" t="s">
        <v>3168</v>
      </c>
      <c r="DW57" s="152">
        <f t="shared" si="27"/>
        <v>0.82229583176159937</v>
      </c>
      <c r="DX57" s="152">
        <f t="shared" si="28"/>
        <v>0</v>
      </c>
      <c r="DY57" s="152">
        <f t="shared" si="29"/>
        <v>1.9936462655601659</v>
      </c>
      <c r="DZ57" s="152">
        <f t="shared" si="30"/>
        <v>0.315676867219917</v>
      </c>
      <c r="EA57" s="153">
        <f t="shared" si="62"/>
        <v>0.20776575882653361</v>
      </c>
      <c r="EB57" s="243">
        <f t="shared" si="52"/>
        <v>0.70994604081480239</v>
      </c>
    </row>
    <row r="58" spans="1:132" ht="15" thickBot="1" x14ac:dyDescent="0.35">
      <c r="A58" s="261" t="s">
        <v>3029</v>
      </c>
      <c r="B58" s="388" t="s">
        <v>3250</v>
      </c>
      <c r="C58" s="263">
        <v>198783</v>
      </c>
      <c r="D58" s="250">
        <v>3</v>
      </c>
      <c r="E58" s="250">
        <v>0</v>
      </c>
      <c r="F58" s="249">
        <v>34136</v>
      </c>
      <c r="H58" s="151">
        <f t="shared" si="0"/>
        <v>34136</v>
      </c>
      <c r="I58" s="152">
        <v>0.17172000000000001</v>
      </c>
      <c r="J58" s="251">
        <v>1243504</v>
      </c>
      <c r="K58" s="251">
        <v>409911</v>
      </c>
      <c r="L58" s="158">
        <f t="shared" si="32"/>
        <v>1653415</v>
      </c>
      <c r="M58" s="153">
        <f t="shared" si="33"/>
        <v>8.3176881322849532</v>
      </c>
      <c r="N58" s="251">
        <v>114014</v>
      </c>
      <c r="O58" s="251">
        <v>42027</v>
      </c>
      <c r="P58" s="268">
        <v>32839</v>
      </c>
      <c r="Q58" s="158">
        <v>188880</v>
      </c>
      <c r="R58" s="153">
        <f t="shared" si="34"/>
        <v>0.95018185659739518</v>
      </c>
      <c r="S58" s="268">
        <v>347848</v>
      </c>
      <c r="T58" s="251">
        <v>2190143</v>
      </c>
      <c r="U58" s="251">
        <v>0</v>
      </c>
      <c r="V58" s="251">
        <v>2190143</v>
      </c>
      <c r="W58" s="153">
        <f t="shared" si="35"/>
        <v>11.017758057781601</v>
      </c>
      <c r="X58" s="154">
        <f t="shared" si="36"/>
        <v>0.75493472344043289</v>
      </c>
      <c r="Y58" s="154">
        <f t="shared" si="37"/>
        <v>8.6240944084473026E-2</v>
      </c>
      <c r="Z58" s="154">
        <f t="shared" si="38"/>
        <v>0.15882433247509409</v>
      </c>
      <c r="AA58" s="154">
        <f t="shared" si="39"/>
        <v>0</v>
      </c>
      <c r="AB58" s="251">
        <v>0</v>
      </c>
      <c r="AE58" s="251"/>
      <c r="AF58" s="251">
        <v>2190143</v>
      </c>
      <c r="AG58" s="251">
        <v>1849690</v>
      </c>
      <c r="AH58" s="251"/>
      <c r="AI58" s="158">
        <f t="shared" si="56"/>
        <v>4039833</v>
      </c>
      <c r="AJ58" s="153">
        <f t="shared" si="40"/>
        <v>20.32282941700246</v>
      </c>
      <c r="AK58" s="251">
        <v>222469</v>
      </c>
      <c r="AL58" s="251">
        <v>9490</v>
      </c>
      <c r="AM58" s="251">
        <v>115557</v>
      </c>
      <c r="AN58" s="251"/>
      <c r="AO58" s="158">
        <f t="shared" si="41"/>
        <v>115557</v>
      </c>
      <c r="AP58" s="251">
        <v>2197206</v>
      </c>
      <c r="AQ58" s="155">
        <f t="shared" si="42"/>
        <v>11.053289265178611</v>
      </c>
      <c r="AR58" s="251"/>
      <c r="AS58" s="268">
        <v>0</v>
      </c>
      <c r="AT58" s="251">
        <v>0</v>
      </c>
      <c r="AU58" s="268">
        <v>0</v>
      </c>
      <c r="AV58" s="268">
        <v>0</v>
      </c>
      <c r="AW58" s="251"/>
      <c r="AX58" s="268">
        <v>0</v>
      </c>
      <c r="AY58" s="158">
        <f t="shared" si="43"/>
        <v>0</v>
      </c>
      <c r="AZ58" s="249">
        <v>96019</v>
      </c>
      <c r="BA58" s="152">
        <f t="shared" si="13"/>
        <v>0.4830342634933571</v>
      </c>
      <c r="BB58" s="269">
        <v>8556</v>
      </c>
      <c r="BC58" s="269">
        <v>8556</v>
      </c>
      <c r="BD58" s="269">
        <v>11817</v>
      </c>
      <c r="BE58" s="269">
        <v>2185</v>
      </c>
      <c r="BF58" s="269">
        <v>145458</v>
      </c>
      <c r="BG58" s="269">
        <v>7</v>
      </c>
      <c r="BH58" s="269">
        <v>89</v>
      </c>
      <c r="BI58" s="249">
        <v>0</v>
      </c>
      <c r="BJ58" s="159">
        <f t="shared" si="44"/>
        <v>96</v>
      </c>
      <c r="BK58" s="269">
        <v>301352</v>
      </c>
      <c r="BL58" s="152">
        <f t="shared" si="15"/>
        <v>1.5159847673090758</v>
      </c>
      <c r="BM58" s="269">
        <v>84</v>
      </c>
      <c r="BN58" s="249">
        <v>64649</v>
      </c>
      <c r="BO58" s="152">
        <f t="shared" si="16"/>
        <v>0.32522398796677782</v>
      </c>
      <c r="BP58" s="249">
        <v>231811</v>
      </c>
      <c r="BQ58" s="249">
        <v>0</v>
      </c>
      <c r="BR58" s="276">
        <f t="shared" si="45"/>
        <v>482891</v>
      </c>
      <c r="BS58" s="276">
        <v>269312</v>
      </c>
      <c r="BT58" s="269">
        <v>752203</v>
      </c>
      <c r="BU58" s="152">
        <f t="shared" si="17"/>
        <v>3.784040888808399</v>
      </c>
      <c r="BV58" s="151">
        <f t="shared" si="60"/>
        <v>23506.34375</v>
      </c>
      <c r="BW58" s="152">
        <f t="shared" si="57"/>
        <v>71.768247304646508</v>
      </c>
      <c r="BX58" s="152">
        <f t="shared" si="58"/>
        <v>2.6334689390544477</v>
      </c>
      <c r="BY58" s="152">
        <f t="shared" si="59"/>
        <v>2.4960942684966416</v>
      </c>
      <c r="BZ58" s="249">
        <v>994</v>
      </c>
      <c r="CA58" s="249">
        <v>126</v>
      </c>
      <c r="CB58" s="249">
        <v>418</v>
      </c>
      <c r="CC58" s="156">
        <f t="shared" si="48"/>
        <v>1538</v>
      </c>
      <c r="CD58" s="249">
        <v>24582</v>
      </c>
      <c r="CE58" s="249">
        <v>655</v>
      </c>
      <c r="CF58" s="249">
        <v>10991</v>
      </c>
      <c r="CG58" s="159">
        <f t="shared" si="49"/>
        <v>36228</v>
      </c>
      <c r="CH58" s="152">
        <f t="shared" si="23"/>
        <v>0.18224898507417636</v>
      </c>
      <c r="CI58" s="249">
        <v>285632</v>
      </c>
      <c r="CJ58" s="152">
        <f t="shared" si="24"/>
        <v>1.436903558151351</v>
      </c>
      <c r="CK58" s="269">
        <v>62803</v>
      </c>
      <c r="CL58" s="252" t="s">
        <v>25</v>
      </c>
      <c r="CM58" s="252" t="s">
        <v>25</v>
      </c>
      <c r="CN58" s="252" t="s">
        <v>25</v>
      </c>
      <c r="CO58" s="253">
        <v>4</v>
      </c>
      <c r="CP58" s="253">
        <v>0</v>
      </c>
      <c r="CQ58" s="253">
        <v>1</v>
      </c>
      <c r="CR58" s="253">
        <v>27</v>
      </c>
      <c r="CS58" s="223">
        <f t="shared" si="50"/>
        <v>32</v>
      </c>
      <c r="CT58" s="151">
        <f t="shared" si="61"/>
        <v>6211.96875</v>
      </c>
      <c r="CU58" s="249">
        <v>3219</v>
      </c>
      <c r="CV58" s="251">
        <v>99715</v>
      </c>
      <c r="CW58" s="253">
        <v>40</v>
      </c>
      <c r="CX58" s="252" t="s">
        <v>25</v>
      </c>
      <c r="CY58" s="252" t="s">
        <v>25</v>
      </c>
      <c r="CZ58" s="249">
        <v>167</v>
      </c>
      <c r="DA58" s="249">
        <v>466</v>
      </c>
      <c r="DB58" s="249">
        <v>110</v>
      </c>
      <c r="DC58" s="249">
        <v>45952</v>
      </c>
      <c r="DD58" s="249" t="s">
        <v>3137</v>
      </c>
      <c r="DE58" s="249" t="s">
        <v>3137</v>
      </c>
      <c r="DF58" s="249">
        <v>11125</v>
      </c>
      <c r="DG58" s="249">
        <v>52</v>
      </c>
      <c r="DH58" s="253">
        <f t="shared" si="51"/>
        <v>5.5965550374025945E-2</v>
      </c>
      <c r="DI58" s="249">
        <v>40</v>
      </c>
      <c r="DJ58" s="249">
        <v>40</v>
      </c>
      <c r="DL58" s="151">
        <v>10481</v>
      </c>
      <c r="DM58" s="248"/>
      <c r="DN58" s="252" t="s">
        <v>3110</v>
      </c>
      <c r="DO58" s="252" t="s">
        <v>1950</v>
      </c>
      <c r="DP58" s="252"/>
      <c r="DQ58" s="250"/>
      <c r="DR58" s="261" t="s">
        <v>3029</v>
      </c>
      <c r="DS58" s="248" t="s">
        <v>3029</v>
      </c>
      <c r="DT58" s="275">
        <v>43282</v>
      </c>
      <c r="DU58" s="275">
        <v>43646</v>
      </c>
      <c r="DV58" s="261" t="s">
        <v>3029</v>
      </c>
      <c r="DW58" s="152">
        <f t="shared" si="27"/>
        <v>1.1661510290115351</v>
      </c>
      <c r="DX58" s="152">
        <f t="shared" si="28"/>
        <v>0</v>
      </c>
      <c r="DY58" s="152">
        <f t="shared" si="29"/>
        <v>2.4292369065765183</v>
      </c>
      <c r="DZ58" s="152">
        <f t="shared" si="30"/>
        <v>1.3548039822318809</v>
      </c>
      <c r="EA58" s="153">
        <f t="shared" si="62"/>
        <v>0.15952662788127078</v>
      </c>
      <c r="EB58" s="243">
        <f t="shared" si="52"/>
        <v>0.15605320223384031</v>
      </c>
    </row>
    <row r="59" spans="1:132" ht="15" thickBot="1" x14ac:dyDescent="0.35">
      <c r="A59" s="261" t="s">
        <v>2994</v>
      </c>
      <c r="B59" s="388" t="s">
        <v>3274</v>
      </c>
      <c r="C59" s="263">
        <v>84498</v>
      </c>
      <c r="D59" s="250">
        <v>2</v>
      </c>
      <c r="E59" s="250">
        <v>0</v>
      </c>
      <c r="F59" s="249">
        <v>31560</v>
      </c>
      <c r="H59" s="151">
        <f t="shared" si="0"/>
        <v>31560</v>
      </c>
      <c r="I59" s="152">
        <v>0.3735</v>
      </c>
      <c r="J59" s="251">
        <v>1508831</v>
      </c>
      <c r="K59" s="251">
        <v>551859</v>
      </c>
      <c r="L59" s="158">
        <f t="shared" si="32"/>
        <v>2060690</v>
      </c>
      <c r="M59" s="153">
        <f t="shared" si="33"/>
        <v>24.387441122866814</v>
      </c>
      <c r="N59" s="251">
        <v>168917</v>
      </c>
      <c r="O59" s="251">
        <v>89000</v>
      </c>
      <c r="P59" s="268">
        <v>41000</v>
      </c>
      <c r="Q59" s="158">
        <v>298917</v>
      </c>
      <c r="R59" s="153">
        <f t="shared" si="34"/>
        <v>3.5375630192430592</v>
      </c>
      <c r="S59" s="268">
        <v>172520</v>
      </c>
      <c r="T59" s="251">
        <v>2532127</v>
      </c>
      <c r="U59" s="251">
        <v>0</v>
      </c>
      <c r="V59" s="251">
        <v>2532127</v>
      </c>
      <c r="W59" s="153">
        <f t="shared" si="35"/>
        <v>29.966709271225355</v>
      </c>
      <c r="X59" s="154">
        <f t="shared" si="36"/>
        <v>0.81381779033989998</v>
      </c>
      <c r="Y59" s="154">
        <f t="shared" si="37"/>
        <v>0.11804976606623602</v>
      </c>
      <c r="Z59" s="154">
        <f t="shared" si="38"/>
        <v>6.8132443593863973E-2</v>
      </c>
      <c r="AA59" s="154">
        <f t="shared" si="39"/>
        <v>0</v>
      </c>
      <c r="AB59" s="251">
        <v>7884</v>
      </c>
      <c r="AE59" s="251"/>
      <c r="AF59" s="251">
        <v>2532127</v>
      </c>
      <c r="AG59" s="251">
        <v>2311001</v>
      </c>
      <c r="AH59" s="251"/>
      <c r="AI59" s="158">
        <f t="shared" si="56"/>
        <v>4843128</v>
      </c>
      <c r="AJ59" s="153">
        <f t="shared" si="40"/>
        <v>57.316480863452391</v>
      </c>
      <c r="AK59" s="251">
        <v>104180</v>
      </c>
      <c r="AL59" s="251">
        <v>31508</v>
      </c>
      <c r="AM59" s="251">
        <v>91862</v>
      </c>
      <c r="AN59" s="251"/>
      <c r="AO59" s="158">
        <f t="shared" si="41"/>
        <v>91862</v>
      </c>
      <c r="AP59" s="251">
        <v>2542551</v>
      </c>
      <c r="AQ59" s="155">
        <f t="shared" si="42"/>
        <v>30.090073137825748</v>
      </c>
      <c r="AR59" s="251"/>
      <c r="AS59" s="268">
        <v>0</v>
      </c>
      <c r="AT59" s="251">
        <v>0</v>
      </c>
      <c r="AU59" s="268">
        <v>0</v>
      </c>
      <c r="AV59" s="268">
        <v>0</v>
      </c>
      <c r="AW59" s="251"/>
      <c r="AX59" s="268">
        <v>6424</v>
      </c>
      <c r="AY59" s="158">
        <f t="shared" si="43"/>
        <v>6424</v>
      </c>
      <c r="AZ59" s="249">
        <v>88480</v>
      </c>
      <c r="BA59" s="152">
        <f t="shared" si="13"/>
        <v>1.0471253757485384</v>
      </c>
      <c r="BB59" s="269">
        <v>3005</v>
      </c>
      <c r="BC59" s="269">
        <v>3005</v>
      </c>
      <c r="BD59" s="269">
        <v>6359</v>
      </c>
      <c r="BE59" s="269">
        <v>1752</v>
      </c>
      <c r="BF59" s="269">
        <v>74066</v>
      </c>
      <c r="BG59" s="269">
        <v>8</v>
      </c>
      <c r="BH59" s="269">
        <v>89</v>
      </c>
      <c r="BI59" s="249">
        <v>0</v>
      </c>
      <c r="BJ59" s="159">
        <f t="shared" si="44"/>
        <v>97</v>
      </c>
      <c r="BK59" s="269">
        <v>187446</v>
      </c>
      <c r="BL59" s="152">
        <f t="shared" si="15"/>
        <v>2.2183483632748704</v>
      </c>
      <c r="BM59" s="269">
        <v>111</v>
      </c>
      <c r="BN59" s="249">
        <v>30007</v>
      </c>
      <c r="BO59" s="152">
        <f t="shared" si="16"/>
        <v>0.35512083126227839</v>
      </c>
      <c r="BP59" s="249">
        <v>192300</v>
      </c>
      <c r="BQ59" s="249">
        <v>0</v>
      </c>
      <c r="BR59" s="276">
        <f t="shared" si="45"/>
        <v>300308</v>
      </c>
      <c r="BS59" s="276">
        <v>58780</v>
      </c>
      <c r="BT59" s="269">
        <v>359088</v>
      </c>
      <c r="BU59" s="152">
        <f t="shared" si="17"/>
        <v>4.2496627139103884</v>
      </c>
      <c r="BV59" s="151">
        <f t="shared" si="60"/>
        <v>11352.766361049637</v>
      </c>
      <c r="BW59" s="152">
        <f t="shared" si="57"/>
        <v>73.523341523341529</v>
      </c>
      <c r="BX59" s="152">
        <f t="shared" si="58"/>
        <v>2.3281573163378435</v>
      </c>
      <c r="BY59" s="152">
        <f t="shared" si="59"/>
        <v>1.915687718062802</v>
      </c>
      <c r="BZ59" s="249">
        <v>217</v>
      </c>
      <c r="CA59" s="249">
        <v>26</v>
      </c>
      <c r="CB59" s="249">
        <v>94</v>
      </c>
      <c r="CC59" s="156">
        <f t="shared" si="48"/>
        <v>337</v>
      </c>
      <c r="CD59" s="249">
        <v>6565</v>
      </c>
      <c r="CE59" s="249">
        <v>392</v>
      </c>
      <c r="CF59" s="249">
        <v>1336</v>
      </c>
      <c r="CG59" s="159">
        <f t="shared" si="49"/>
        <v>8293</v>
      </c>
      <c r="CH59" s="152">
        <f t="shared" si="23"/>
        <v>9.8144334777154493E-2</v>
      </c>
      <c r="CI59" s="249">
        <v>154237</v>
      </c>
      <c r="CJ59" s="152">
        <f t="shared" si="24"/>
        <v>1.8253331439797391</v>
      </c>
      <c r="CK59" s="269">
        <v>39451</v>
      </c>
      <c r="CL59" s="252" t="s">
        <v>25</v>
      </c>
      <c r="CM59" s="252" t="s">
        <v>25</v>
      </c>
      <c r="CN59" s="252" t="s">
        <v>25</v>
      </c>
      <c r="CO59" s="253">
        <v>13</v>
      </c>
      <c r="CP59" s="151">
        <f t="shared" ref="CP59:CP62" si="64">C59/CO59</f>
        <v>6499.8461538461543</v>
      </c>
      <c r="CQ59" s="253">
        <v>0</v>
      </c>
      <c r="CR59" s="253">
        <v>18.63</v>
      </c>
      <c r="CS59" s="223">
        <f t="shared" si="50"/>
        <v>31.63</v>
      </c>
      <c r="CT59" s="151">
        <f t="shared" si="61"/>
        <v>2671.4511539677524</v>
      </c>
      <c r="CU59" s="249">
        <v>420</v>
      </c>
      <c r="CV59" s="251">
        <v>100500</v>
      </c>
      <c r="CW59" s="253">
        <v>40</v>
      </c>
      <c r="CX59" s="252" t="s">
        <v>25</v>
      </c>
      <c r="CY59" s="252" t="s">
        <v>25</v>
      </c>
      <c r="CZ59" s="249">
        <v>138</v>
      </c>
      <c r="DA59" s="249">
        <v>3</v>
      </c>
      <c r="DB59" s="249">
        <v>33</v>
      </c>
      <c r="DC59" s="249">
        <v>17872</v>
      </c>
      <c r="DD59" s="249">
        <v>48324</v>
      </c>
      <c r="DE59" s="249">
        <v>71048</v>
      </c>
      <c r="DF59" s="249">
        <v>6916</v>
      </c>
      <c r="DG59" s="249">
        <v>52</v>
      </c>
      <c r="DH59" s="253">
        <f t="shared" si="51"/>
        <v>8.1848091079078797E-2</v>
      </c>
      <c r="DI59" s="249">
        <v>67</v>
      </c>
      <c r="DJ59" s="249">
        <v>67</v>
      </c>
      <c r="DK59" s="151">
        <v>2504</v>
      </c>
      <c r="DL59" s="151">
        <v>4884</v>
      </c>
      <c r="DM59" s="248"/>
      <c r="DN59" s="252" t="s">
        <v>3111</v>
      </c>
      <c r="DO59" s="252" t="s">
        <v>1950</v>
      </c>
      <c r="DP59" s="252"/>
      <c r="DQ59" s="250"/>
      <c r="DR59" s="261" t="s">
        <v>2994</v>
      </c>
      <c r="DS59" s="248" t="s">
        <v>2994</v>
      </c>
      <c r="DT59" s="275">
        <v>43282</v>
      </c>
      <c r="DU59" s="275">
        <v>43646</v>
      </c>
      <c r="DV59" s="261" t="s">
        <v>2994</v>
      </c>
      <c r="DW59" s="152">
        <f t="shared" si="27"/>
        <v>2.2757935099055597</v>
      </c>
      <c r="DX59" s="152">
        <f t="shared" si="28"/>
        <v>0</v>
      </c>
      <c r="DY59" s="152">
        <f t="shared" si="29"/>
        <v>3.5540249473360315</v>
      </c>
      <c r="DZ59" s="152">
        <f t="shared" si="30"/>
        <v>0.69563776657435683</v>
      </c>
      <c r="EA59" s="153">
        <f t="shared" si="62"/>
        <v>0.34290348512407431</v>
      </c>
      <c r="EB59" s="243">
        <f t="shared" si="52"/>
        <v>1.5141204491323579</v>
      </c>
    </row>
    <row r="60" spans="1:132" ht="15" thickBot="1" x14ac:dyDescent="0.35">
      <c r="A60" s="261" t="s">
        <v>3030</v>
      </c>
      <c r="B60" s="388" t="s">
        <v>3251</v>
      </c>
      <c r="C60" s="263">
        <v>62359</v>
      </c>
      <c r="D60" s="250">
        <v>1</v>
      </c>
      <c r="E60" s="250">
        <v>0</v>
      </c>
      <c r="F60" s="249">
        <v>21000</v>
      </c>
      <c r="H60" s="151">
        <f t="shared" si="0"/>
        <v>21000</v>
      </c>
      <c r="I60" s="152">
        <v>0.33676</v>
      </c>
      <c r="J60" s="251">
        <v>524615</v>
      </c>
      <c r="K60" s="251">
        <v>152988</v>
      </c>
      <c r="L60" s="158">
        <f t="shared" si="32"/>
        <v>677603</v>
      </c>
      <c r="M60" s="153">
        <f t="shared" si="33"/>
        <v>10.866162061610995</v>
      </c>
      <c r="N60" s="251">
        <v>67012</v>
      </c>
      <c r="O60" s="251">
        <v>13903</v>
      </c>
      <c r="P60" s="268">
        <v>5905</v>
      </c>
      <c r="Q60" s="158">
        <v>86820</v>
      </c>
      <c r="R60" s="153">
        <f t="shared" si="34"/>
        <v>1.3922609406821791</v>
      </c>
      <c r="S60" s="268">
        <v>82271</v>
      </c>
      <c r="T60" s="251">
        <v>846694</v>
      </c>
      <c r="U60" s="251">
        <v>0</v>
      </c>
      <c r="V60" s="251">
        <v>846694</v>
      </c>
      <c r="W60" s="153">
        <f t="shared" si="35"/>
        <v>13.577735370996969</v>
      </c>
      <c r="X60" s="154">
        <f t="shared" si="36"/>
        <v>0.80029266771702645</v>
      </c>
      <c r="Y60" s="154">
        <f t="shared" si="37"/>
        <v>0.10253999674026272</v>
      </c>
      <c r="Z60" s="154">
        <f t="shared" si="38"/>
        <v>9.7167335542710828E-2</v>
      </c>
      <c r="AA60" s="154">
        <f t="shared" si="39"/>
        <v>0</v>
      </c>
      <c r="AB60" s="251">
        <v>0</v>
      </c>
      <c r="AE60" s="251"/>
      <c r="AF60" s="251">
        <v>846694</v>
      </c>
      <c r="AG60" s="251">
        <v>708561</v>
      </c>
      <c r="AH60" s="251"/>
      <c r="AI60" s="158">
        <f t="shared" si="56"/>
        <v>1555255</v>
      </c>
      <c r="AJ60" s="153">
        <f t="shared" si="40"/>
        <v>24.940345419265864</v>
      </c>
      <c r="AK60" s="251">
        <v>107796</v>
      </c>
      <c r="AL60" s="251">
        <v>7938</v>
      </c>
      <c r="AM60" s="251">
        <v>0</v>
      </c>
      <c r="AN60" s="251"/>
      <c r="AO60" s="158">
        <f t="shared" si="41"/>
        <v>0</v>
      </c>
      <c r="AP60" s="251">
        <v>824295</v>
      </c>
      <c r="AQ60" s="155">
        <f t="shared" si="42"/>
        <v>13.218541028560432</v>
      </c>
      <c r="AR60" s="251"/>
      <c r="AS60" s="268">
        <v>0</v>
      </c>
      <c r="AT60" s="251">
        <v>0</v>
      </c>
      <c r="AU60" s="268">
        <v>0</v>
      </c>
      <c r="AV60" s="268">
        <v>0</v>
      </c>
      <c r="AW60" s="251"/>
      <c r="AX60" s="268">
        <v>0</v>
      </c>
      <c r="AY60" s="158">
        <f t="shared" si="43"/>
        <v>0</v>
      </c>
      <c r="AZ60" s="249">
        <v>104427</v>
      </c>
      <c r="BA60" s="152">
        <f t="shared" si="13"/>
        <v>1.6746099199794737</v>
      </c>
      <c r="BB60" s="269">
        <v>2705</v>
      </c>
      <c r="BC60" s="269">
        <v>2705</v>
      </c>
      <c r="BD60" s="269">
        <v>1973</v>
      </c>
      <c r="BE60" s="269">
        <v>2067</v>
      </c>
      <c r="BF60" s="269">
        <v>107636</v>
      </c>
      <c r="BG60" s="269">
        <v>2</v>
      </c>
      <c r="BH60" s="269">
        <v>89</v>
      </c>
      <c r="BI60" s="249">
        <v>0</v>
      </c>
      <c r="BJ60" s="159">
        <f t="shared" si="44"/>
        <v>91</v>
      </c>
      <c r="BK60" s="269">
        <v>237296</v>
      </c>
      <c r="BL60" s="152">
        <f t="shared" si="15"/>
        <v>3.8053208037332222</v>
      </c>
      <c r="BM60" s="269">
        <v>112</v>
      </c>
      <c r="BN60" s="249">
        <v>18811</v>
      </c>
      <c r="BO60" s="152">
        <f t="shared" si="16"/>
        <v>0.30165653714780544</v>
      </c>
      <c r="BP60" s="249">
        <v>64633</v>
      </c>
      <c r="BQ60" s="249">
        <v>0</v>
      </c>
      <c r="BR60" s="276">
        <f t="shared" si="45"/>
        <v>151279</v>
      </c>
      <c r="BS60" s="276">
        <v>170433</v>
      </c>
      <c r="BT60" s="269">
        <v>321712</v>
      </c>
      <c r="BU60" s="152">
        <f t="shared" si="17"/>
        <v>5.1590307734248464</v>
      </c>
      <c r="BV60" s="151">
        <f t="shared" si="60"/>
        <v>23830.518518518518</v>
      </c>
      <c r="BW60" s="152">
        <f t="shared" si="57"/>
        <v>72.068100358422939</v>
      </c>
      <c r="BX60" s="152">
        <f t="shared" si="58"/>
        <v>3.4963375138565871</v>
      </c>
      <c r="BY60" s="152">
        <f t="shared" si="59"/>
        <v>1.3557413525723148</v>
      </c>
      <c r="BZ60" s="249">
        <v>356</v>
      </c>
      <c r="CA60" s="249">
        <v>0</v>
      </c>
      <c r="CB60" s="249">
        <v>4</v>
      </c>
      <c r="CC60" s="156">
        <f t="shared" si="48"/>
        <v>360</v>
      </c>
      <c r="CD60" s="249">
        <v>6985</v>
      </c>
      <c r="CE60" s="249">
        <v>0</v>
      </c>
      <c r="CF60" s="249">
        <v>41</v>
      </c>
      <c r="CG60" s="159">
        <f t="shared" si="49"/>
        <v>7026</v>
      </c>
      <c r="CH60" s="152">
        <f t="shared" si="23"/>
        <v>0.11267018393495726</v>
      </c>
      <c r="CI60" s="249">
        <v>92014</v>
      </c>
      <c r="CJ60" s="152">
        <f t="shared" si="24"/>
        <v>1.4755528472233359</v>
      </c>
      <c r="CK60" s="269">
        <v>25414</v>
      </c>
      <c r="CL60" s="252" t="s">
        <v>25</v>
      </c>
      <c r="CM60" s="252" t="s">
        <v>25</v>
      </c>
      <c r="CN60" s="252" t="s">
        <v>25</v>
      </c>
      <c r="CO60" s="253">
        <v>2</v>
      </c>
      <c r="CP60" s="151">
        <f t="shared" si="64"/>
        <v>31179.5</v>
      </c>
      <c r="CQ60" s="253">
        <v>0</v>
      </c>
      <c r="CR60" s="253">
        <v>11.5</v>
      </c>
      <c r="CS60" s="223">
        <f t="shared" si="50"/>
        <v>13.5</v>
      </c>
      <c r="CT60" s="151">
        <f t="shared" si="61"/>
        <v>4619.1851851851852</v>
      </c>
      <c r="CU60" s="249">
        <v>1224</v>
      </c>
      <c r="CV60" s="251">
        <v>90499</v>
      </c>
      <c r="CW60" s="253">
        <v>40</v>
      </c>
      <c r="CX60" s="252" t="s">
        <v>25</v>
      </c>
      <c r="CY60" s="252" t="s">
        <v>25</v>
      </c>
      <c r="CZ60" s="249">
        <v>80</v>
      </c>
      <c r="DA60" s="249">
        <v>6</v>
      </c>
      <c r="DB60" s="249">
        <v>27</v>
      </c>
      <c r="DC60" s="249">
        <v>6921</v>
      </c>
      <c r="DD60" s="249">
        <v>40731</v>
      </c>
      <c r="DE60" s="249">
        <v>42534</v>
      </c>
      <c r="DF60" s="249">
        <v>4556</v>
      </c>
      <c r="DG60" s="249">
        <v>52</v>
      </c>
      <c r="DH60" s="253">
        <f t="shared" si="51"/>
        <v>7.3060825221700154E-2</v>
      </c>
      <c r="DI60" s="249">
        <v>53</v>
      </c>
      <c r="DJ60" s="249">
        <v>53</v>
      </c>
      <c r="DK60" s="151">
        <v>1872</v>
      </c>
      <c r="DL60" s="151">
        <v>4464</v>
      </c>
      <c r="DM60" s="248"/>
      <c r="DN60" s="252" t="s">
        <v>3112</v>
      </c>
      <c r="DO60" s="252" t="s">
        <v>1950</v>
      </c>
      <c r="DP60" s="252"/>
      <c r="DQ60" s="250"/>
      <c r="DR60" s="261" t="s">
        <v>3030</v>
      </c>
      <c r="DS60" s="248" t="s">
        <v>3030</v>
      </c>
      <c r="DT60" s="275">
        <v>43282</v>
      </c>
      <c r="DU60" s="275">
        <v>43646</v>
      </c>
      <c r="DV60" s="261" t="s">
        <v>3030</v>
      </c>
      <c r="DW60" s="152">
        <f t="shared" si="27"/>
        <v>1.0364662679003833</v>
      </c>
      <c r="DX60" s="152">
        <f t="shared" si="28"/>
        <v>0</v>
      </c>
      <c r="DY60" s="152">
        <f t="shared" si="29"/>
        <v>2.4259369136772557</v>
      </c>
      <c r="DZ60" s="152">
        <f t="shared" si="30"/>
        <v>2.7330938597475907</v>
      </c>
      <c r="EA60" s="153">
        <f t="shared" si="62"/>
        <v>0.31036718663159063</v>
      </c>
      <c r="EB60" s="243">
        <f t="shared" si="52"/>
        <v>8.1574577693287104E-2</v>
      </c>
    </row>
    <row r="61" spans="1:132" ht="29.4" thickBot="1" x14ac:dyDescent="0.35">
      <c r="A61" s="261" t="s">
        <v>3169</v>
      </c>
      <c r="B61" s="388" t="s">
        <v>3275</v>
      </c>
      <c r="C61" s="263">
        <v>45157</v>
      </c>
      <c r="D61" s="250">
        <v>0</v>
      </c>
      <c r="E61" s="250">
        <v>0</v>
      </c>
      <c r="F61" s="249">
        <v>38000</v>
      </c>
      <c r="H61" s="151">
        <f t="shared" si="0"/>
        <v>38000</v>
      </c>
      <c r="I61" s="152">
        <v>0.84150999999999998</v>
      </c>
      <c r="J61" s="251">
        <v>410306</v>
      </c>
      <c r="K61" s="251">
        <v>180536</v>
      </c>
      <c r="L61" s="158">
        <f t="shared" si="32"/>
        <v>590842</v>
      </c>
      <c r="M61" s="153">
        <f t="shared" si="33"/>
        <v>13.084172996434662</v>
      </c>
      <c r="N61" s="251">
        <v>28388</v>
      </c>
      <c r="O61" s="251">
        <v>11000</v>
      </c>
      <c r="P61" s="268">
        <v>2000</v>
      </c>
      <c r="Q61" s="158">
        <v>41388</v>
      </c>
      <c r="R61" s="153">
        <f t="shared" si="34"/>
        <v>0.91653564231459128</v>
      </c>
      <c r="S61" s="268">
        <v>275794</v>
      </c>
      <c r="T61" s="251">
        <v>908024</v>
      </c>
      <c r="U61" s="251">
        <v>6777</v>
      </c>
      <c r="V61" s="251">
        <v>908024</v>
      </c>
      <c r="W61" s="153">
        <f t="shared" si="35"/>
        <v>20.108155989104681</v>
      </c>
      <c r="X61" s="154">
        <f t="shared" si="36"/>
        <v>0.65068984960749932</v>
      </c>
      <c r="Y61" s="154">
        <f t="shared" si="37"/>
        <v>4.5580293031902239E-2</v>
      </c>
      <c r="Z61" s="154">
        <f t="shared" si="38"/>
        <v>0.30372985736059838</v>
      </c>
      <c r="AA61" s="154">
        <f t="shared" si="39"/>
        <v>7.4634591156180893E-3</v>
      </c>
      <c r="AB61" s="251">
        <v>15000</v>
      </c>
      <c r="AE61" s="251"/>
      <c r="AF61" s="251">
        <v>908024</v>
      </c>
      <c r="AG61" s="251">
        <v>684500</v>
      </c>
      <c r="AH61" s="251"/>
      <c r="AI61" s="158">
        <f t="shared" si="56"/>
        <v>1592524</v>
      </c>
      <c r="AJ61" s="153">
        <f t="shared" si="40"/>
        <v>35.266381734836237</v>
      </c>
      <c r="AK61" s="251">
        <v>137842</v>
      </c>
      <c r="AL61" s="251">
        <v>0</v>
      </c>
      <c r="AM61" s="251">
        <v>64770</v>
      </c>
      <c r="AN61" s="251"/>
      <c r="AO61" s="158">
        <f t="shared" si="41"/>
        <v>64770</v>
      </c>
      <c r="AP61" s="251">
        <v>1007912</v>
      </c>
      <c r="AQ61" s="155">
        <f t="shared" si="42"/>
        <v>22.320171844896695</v>
      </c>
      <c r="AR61" s="251"/>
      <c r="AS61" s="268">
        <v>0</v>
      </c>
      <c r="AT61" s="251">
        <v>0</v>
      </c>
      <c r="AU61" s="268">
        <v>0</v>
      </c>
      <c r="AV61" s="268">
        <v>0</v>
      </c>
      <c r="AW61" s="251"/>
      <c r="AX61" s="268">
        <v>0</v>
      </c>
      <c r="AY61" s="158">
        <f t="shared" si="43"/>
        <v>0</v>
      </c>
      <c r="AZ61" s="249">
        <v>68112</v>
      </c>
      <c r="BA61" s="152">
        <f t="shared" si="13"/>
        <v>1.5083375777841752</v>
      </c>
      <c r="BB61" s="269">
        <v>2093</v>
      </c>
      <c r="BC61" s="269">
        <v>2093</v>
      </c>
      <c r="BD61" s="269">
        <v>1525</v>
      </c>
      <c r="BE61" s="269">
        <v>2067</v>
      </c>
      <c r="BF61" s="269">
        <v>107778</v>
      </c>
      <c r="BG61" s="269">
        <v>3</v>
      </c>
      <c r="BH61" s="269">
        <v>89</v>
      </c>
      <c r="BI61" s="249">
        <v>0</v>
      </c>
      <c r="BJ61" s="159">
        <f t="shared" si="44"/>
        <v>92</v>
      </c>
      <c r="BK61" s="269">
        <v>209203</v>
      </c>
      <c r="BL61" s="152">
        <f t="shared" si="15"/>
        <v>4.6327922581216647</v>
      </c>
      <c r="BM61" s="269">
        <v>37</v>
      </c>
      <c r="BN61" s="249">
        <v>11250</v>
      </c>
      <c r="BO61" s="152">
        <f t="shared" si="16"/>
        <v>0.24913081028411985</v>
      </c>
      <c r="BP61" s="249">
        <v>22918</v>
      </c>
      <c r="BQ61" s="249">
        <v>0</v>
      </c>
      <c r="BR61" s="276">
        <f t="shared" si="45"/>
        <v>45994</v>
      </c>
      <c r="BS61" s="276">
        <v>10977</v>
      </c>
      <c r="BT61" s="269">
        <v>56971</v>
      </c>
      <c r="BU61" s="152">
        <f t="shared" si="17"/>
        <v>1.261620568239697</v>
      </c>
      <c r="BV61" s="151">
        <f t="shared" si="60"/>
        <v>3798.0666666666666</v>
      </c>
      <c r="BW61" s="152">
        <f t="shared" si="57"/>
        <v>31.650555555555556</v>
      </c>
      <c r="BX61" s="152">
        <f t="shared" si="58"/>
        <v>0.79126388888888888</v>
      </c>
      <c r="BY61" s="152">
        <f t="shared" si="59"/>
        <v>0.27232401064994288</v>
      </c>
      <c r="BZ61" s="249">
        <v>165</v>
      </c>
      <c r="CA61" s="249">
        <v>10</v>
      </c>
      <c r="CB61" s="249">
        <v>33</v>
      </c>
      <c r="CC61" s="156">
        <f t="shared" si="48"/>
        <v>208</v>
      </c>
      <c r="CD61" s="249">
        <v>2648</v>
      </c>
      <c r="CE61" s="249">
        <v>89</v>
      </c>
      <c r="CF61" s="249">
        <v>190</v>
      </c>
      <c r="CG61" s="159">
        <f t="shared" si="49"/>
        <v>2927</v>
      </c>
      <c r="CH61" s="152">
        <f t="shared" si="23"/>
        <v>6.4818300595699443E-2</v>
      </c>
      <c r="CI61" s="249">
        <v>72000</v>
      </c>
      <c r="CJ61" s="152">
        <f t="shared" si="24"/>
        <v>1.594437185818367</v>
      </c>
      <c r="CK61" s="269">
        <v>18401</v>
      </c>
      <c r="CL61" s="252" t="s">
        <v>25</v>
      </c>
      <c r="CM61" s="252" t="s">
        <v>25</v>
      </c>
      <c r="CN61" s="252" t="s">
        <v>25</v>
      </c>
      <c r="CO61" s="253">
        <v>3</v>
      </c>
      <c r="CP61" s="151">
        <f t="shared" si="64"/>
        <v>15052.333333333334</v>
      </c>
      <c r="CQ61" s="253">
        <v>0</v>
      </c>
      <c r="CR61" s="253">
        <v>12</v>
      </c>
      <c r="CS61" s="223">
        <f t="shared" si="50"/>
        <v>15</v>
      </c>
      <c r="CT61" s="151">
        <f t="shared" si="61"/>
        <v>3010.4666666666667</v>
      </c>
      <c r="CU61" s="249">
        <v>0</v>
      </c>
      <c r="CV61" s="251">
        <v>64200</v>
      </c>
      <c r="CW61" s="253">
        <v>40</v>
      </c>
      <c r="CX61" s="252" t="s">
        <v>25</v>
      </c>
      <c r="CY61" s="252" t="s">
        <v>25</v>
      </c>
      <c r="CZ61" s="249">
        <v>4683</v>
      </c>
      <c r="DA61" s="249">
        <v>1778</v>
      </c>
      <c r="DB61" s="249">
        <v>35</v>
      </c>
      <c r="DC61" s="249">
        <v>20843</v>
      </c>
      <c r="DD61" s="249" t="s">
        <v>3137</v>
      </c>
      <c r="DE61" s="249">
        <v>41716</v>
      </c>
      <c r="DF61" s="249">
        <v>2500</v>
      </c>
      <c r="DG61" s="249">
        <v>52</v>
      </c>
      <c r="DH61" s="253">
        <f t="shared" si="51"/>
        <v>5.5362402285359963E-2</v>
      </c>
      <c r="DI61" s="249">
        <v>56</v>
      </c>
      <c r="DJ61" s="249">
        <v>56</v>
      </c>
      <c r="DK61" s="151">
        <v>7096</v>
      </c>
      <c r="DL61" s="151">
        <v>1800</v>
      </c>
      <c r="DM61" s="248"/>
      <c r="DN61" s="252" t="s">
        <v>3113</v>
      </c>
      <c r="DO61" s="252" t="s">
        <v>1950</v>
      </c>
      <c r="DP61" s="252"/>
      <c r="DQ61" s="250"/>
      <c r="DR61" s="261" t="s">
        <v>3169</v>
      </c>
      <c r="DS61" s="248" t="s">
        <v>3031</v>
      </c>
      <c r="DT61" s="275">
        <v>43282</v>
      </c>
      <c r="DU61" s="275">
        <v>43646</v>
      </c>
      <c r="DV61" s="261" t="s">
        <v>3169</v>
      </c>
      <c r="DW61" s="152">
        <f t="shared" si="27"/>
        <v>0.50751821423035193</v>
      </c>
      <c r="DX61" s="152">
        <f t="shared" si="28"/>
        <v>0</v>
      </c>
      <c r="DY61" s="152">
        <f t="shared" si="29"/>
        <v>1.0185353322851385</v>
      </c>
      <c r="DZ61" s="152">
        <f t="shared" si="30"/>
        <v>0.24308523595455855</v>
      </c>
      <c r="EA61" s="153">
        <f t="shared" si="62"/>
        <v>0.41194566983979569</v>
      </c>
      <c r="EB61" s="243">
        <f t="shared" si="52"/>
        <v>1.0020952901521363</v>
      </c>
    </row>
    <row r="62" spans="1:132" ht="15" thickBot="1" x14ac:dyDescent="0.35">
      <c r="A62" s="261" t="s">
        <v>3032</v>
      </c>
      <c r="B62" s="388" t="s">
        <v>3252</v>
      </c>
      <c r="C62" s="263">
        <v>40014</v>
      </c>
      <c r="D62" s="250">
        <v>0</v>
      </c>
      <c r="E62" s="250">
        <v>0</v>
      </c>
      <c r="F62" s="249">
        <v>12700</v>
      </c>
      <c r="H62" s="151">
        <f t="shared" si="0"/>
        <v>12700</v>
      </c>
      <c r="I62" s="152">
        <v>0.31739000000000001</v>
      </c>
      <c r="J62" s="251">
        <v>348994</v>
      </c>
      <c r="K62" s="251">
        <v>105441</v>
      </c>
      <c r="L62" s="158">
        <f t="shared" si="32"/>
        <v>454435</v>
      </c>
      <c r="M62" s="153">
        <f t="shared" si="33"/>
        <v>11.35690008497026</v>
      </c>
      <c r="N62" s="251">
        <v>73956</v>
      </c>
      <c r="O62" s="251">
        <v>12500</v>
      </c>
      <c r="P62" s="268">
        <v>4186</v>
      </c>
      <c r="Q62" s="158">
        <v>90642</v>
      </c>
      <c r="R62" s="153">
        <f t="shared" si="34"/>
        <v>2.2652571599940021</v>
      </c>
      <c r="S62" s="268">
        <v>41409</v>
      </c>
      <c r="T62" s="251">
        <v>586486</v>
      </c>
      <c r="U62" s="251">
        <v>0</v>
      </c>
      <c r="V62" s="251">
        <v>586486</v>
      </c>
      <c r="W62" s="153">
        <f t="shared" si="35"/>
        <v>14.657020042984955</v>
      </c>
      <c r="X62" s="154">
        <f t="shared" si="36"/>
        <v>0.77484373028512188</v>
      </c>
      <c r="Y62" s="154">
        <f t="shared" si="37"/>
        <v>0.15455100377502617</v>
      </c>
      <c r="Z62" s="154">
        <f t="shared" si="38"/>
        <v>7.0605265939851933E-2</v>
      </c>
      <c r="AA62" s="154">
        <f t="shared" si="39"/>
        <v>0</v>
      </c>
      <c r="AB62" s="251">
        <v>0</v>
      </c>
      <c r="AE62" s="251"/>
      <c r="AF62" s="251">
        <v>586486</v>
      </c>
      <c r="AG62" s="251">
        <v>488820</v>
      </c>
      <c r="AH62" s="251"/>
      <c r="AI62" s="158">
        <f t="shared" si="56"/>
        <v>1075306</v>
      </c>
      <c r="AJ62" s="153">
        <f t="shared" si="40"/>
        <v>26.873244364472434</v>
      </c>
      <c r="AK62" s="251">
        <v>93646</v>
      </c>
      <c r="AL62" s="251">
        <v>63667</v>
      </c>
      <c r="AM62" s="251">
        <v>10153</v>
      </c>
      <c r="AN62" s="251"/>
      <c r="AO62" s="158">
        <f t="shared" si="41"/>
        <v>10153</v>
      </c>
      <c r="AP62" s="251">
        <v>656286</v>
      </c>
      <c r="AQ62" s="155">
        <f t="shared" si="42"/>
        <v>16.401409506672664</v>
      </c>
      <c r="AR62" s="251"/>
      <c r="AS62" s="268">
        <v>51249</v>
      </c>
      <c r="AT62" s="251">
        <v>0</v>
      </c>
      <c r="AU62" s="268">
        <v>0</v>
      </c>
      <c r="AV62" s="268">
        <v>100000</v>
      </c>
      <c r="AW62" s="251"/>
      <c r="AX62" s="268">
        <v>10764</v>
      </c>
      <c r="AY62" s="158">
        <f t="shared" si="43"/>
        <v>162013</v>
      </c>
      <c r="AZ62" s="249">
        <v>80572</v>
      </c>
      <c r="BA62" s="152">
        <f t="shared" si="13"/>
        <v>2.013595241665417</v>
      </c>
      <c r="BB62" s="269">
        <v>3426</v>
      </c>
      <c r="BC62" s="269">
        <v>3426</v>
      </c>
      <c r="BD62" s="269">
        <v>2124</v>
      </c>
      <c r="BE62" s="269">
        <v>2067</v>
      </c>
      <c r="BF62" s="269">
        <v>107992</v>
      </c>
      <c r="BG62" s="269">
        <v>7</v>
      </c>
      <c r="BH62" s="269">
        <v>89</v>
      </c>
      <c r="BI62" s="249">
        <v>0</v>
      </c>
      <c r="BJ62" s="159">
        <f t="shared" si="44"/>
        <v>96</v>
      </c>
      <c r="BK62" s="269">
        <v>214519</v>
      </c>
      <c r="BL62" s="152">
        <f t="shared" si="15"/>
        <v>5.3610986154845808</v>
      </c>
      <c r="BM62" s="269">
        <v>92</v>
      </c>
      <c r="BN62" s="249">
        <v>5210</v>
      </c>
      <c r="BO62" s="152">
        <f t="shared" si="16"/>
        <v>0.13020442845004249</v>
      </c>
      <c r="BP62" s="249">
        <v>42434</v>
      </c>
      <c r="BQ62" s="249">
        <v>0</v>
      </c>
      <c r="BR62" s="276">
        <f t="shared" si="45"/>
        <v>116717</v>
      </c>
      <c r="BS62" s="276">
        <v>19757</v>
      </c>
      <c r="BT62" s="269">
        <v>136474</v>
      </c>
      <c r="BU62" s="152">
        <f t="shared" si="17"/>
        <v>3.4106562703053931</v>
      </c>
      <c r="BV62" s="151">
        <f t="shared" si="60"/>
        <v>19496.285714285714</v>
      </c>
      <c r="BW62" s="152">
        <f t="shared" si="57"/>
        <v>55.252631578947366</v>
      </c>
      <c r="BX62" s="152">
        <f t="shared" si="58"/>
        <v>1.9804097980032505</v>
      </c>
      <c r="BY62" s="152">
        <f t="shared" si="59"/>
        <v>0.63618607209617795</v>
      </c>
      <c r="BZ62" s="249">
        <v>100</v>
      </c>
      <c r="CA62" s="249">
        <v>23</v>
      </c>
      <c r="CB62" s="249">
        <v>33</v>
      </c>
      <c r="CC62" s="156">
        <f t="shared" si="48"/>
        <v>156</v>
      </c>
      <c r="CD62" s="249">
        <v>1986</v>
      </c>
      <c r="CE62" s="249">
        <v>267</v>
      </c>
      <c r="CF62" s="249">
        <v>377</v>
      </c>
      <c r="CG62" s="159">
        <f t="shared" si="49"/>
        <v>2630</v>
      </c>
      <c r="CH62" s="152">
        <f t="shared" si="23"/>
        <v>6.5726995551556949E-2</v>
      </c>
      <c r="CI62" s="249">
        <v>68912</v>
      </c>
      <c r="CJ62" s="152">
        <f t="shared" si="24"/>
        <v>1.7221972309691609</v>
      </c>
      <c r="CK62" s="269">
        <v>34557</v>
      </c>
      <c r="CL62" s="252" t="s">
        <v>25</v>
      </c>
      <c r="CM62" s="252" t="s">
        <v>25</v>
      </c>
      <c r="CN62" s="252" t="s">
        <v>25</v>
      </c>
      <c r="CO62" s="253">
        <v>4</v>
      </c>
      <c r="CP62" s="151">
        <f t="shared" si="64"/>
        <v>10003.5</v>
      </c>
      <c r="CQ62" s="253">
        <v>0</v>
      </c>
      <c r="CR62" s="253">
        <v>3</v>
      </c>
      <c r="CS62" s="223">
        <f t="shared" si="50"/>
        <v>7</v>
      </c>
      <c r="CT62" s="151">
        <f t="shared" si="61"/>
        <v>5716.2857142857147</v>
      </c>
      <c r="CU62" s="249">
        <v>478</v>
      </c>
      <c r="CV62" s="251">
        <v>64894</v>
      </c>
      <c r="CW62" s="253">
        <v>40</v>
      </c>
      <c r="CX62" s="252" t="s">
        <v>25</v>
      </c>
      <c r="CY62" s="252" t="s">
        <v>25</v>
      </c>
      <c r="CZ62" s="249">
        <v>84</v>
      </c>
      <c r="DA62" s="249">
        <v>11</v>
      </c>
      <c r="DB62" s="249">
        <v>12</v>
      </c>
      <c r="DC62" s="249">
        <v>8436</v>
      </c>
      <c r="DD62" s="249" t="s">
        <v>3137</v>
      </c>
      <c r="DE62" s="249" t="s">
        <v>3137</v>
      </c>
      <c r="DF62" s="249">
        <v>3020</v>
      </c>
      <c r="DG62" s="249">
        <v>49</v>
      </c>
      <c r="DH62" s="253">
        <f t="shared" si="51"/>
        <v>7.5473584245514064E-2</v>
      </c>
      <c r="DI62" s="249">
        <v>54</v>
      </c>
      <c r="DJ62" s="249">
        <v>54</v>
      </c>
      <c r="DL62" s="151">
        <v>2470</v>
      </c>
      <c r="DM62" s="248"/>
      <c r="DN62" s="252" t="s">
        <v>3114</v>
      </c>
      <c r="DO62" s="252" t="s">
        <v>1950</v>
      </c>
      <c r="DP62" s="252"/>
      <c r="DQ62" s="250"/>
      <c r="DR62" s="261" t="s">
        <v>3032</v>
      </c>
      <c r="DS62" s="248" t="s">
        <v>3032</v>
      </c>
      <c r="DT62" s="275">
        <v>43282</v>
      </c>
      <c r="DU62" s="275">
        <v>43646</v>
      </c>
      <c r="DV62" s="261" t="s">
        <v>3032</v>
      </c>
      <c r="DW62" s="152">
        <f t="shared" si="27"/>
        <v>1.0604788324086569</v>
      </c>
      <c r="DX62" s="152">
        <f t="shared" si="28"/>
        <v>0</v>
      </c>
      <c r="DY62" s="152">
        <f t="shared" si="29"/>
        <v>2.91690408357075</v>
      </c>
      <c r="DZ62" s="152">
        <f t="shared" si="30"/>
        <v>0.49375218673464288</v>
      </c>
      <c r="EA62" s="153">
        <f t="shared" si="62"/>
        <v>0.46469076537376452</v>
      </c>
      <c r="EB62" s="243">
        <f t="shared" si="52"/>
        <v>0.63268714885863242</v>
      </c>
    </row>
    <row r="63" spans="1:132" ht="29.4" thickBot="1" x14ac:dyDescent="0.35">
      <c r="A63" s="261" t="s">
        <v>3170</v>
      </c>
      <c r="B63" s="388" t="s">
        <v>3253</v>
      </c>
      <c r="C63" s="263">
        <v>44400</v>
      </c>
      <c r="D63" s="250">
        <v>4</v>
      </c>
      <c r="E63" s="250">
        <v>0</v>
      </c>
      <c r="F63" s="249">
        <v>31639</v>
      </c>
      <c r="H63" s="151">
        <f t="shared" si="0"/>
        <v>31639</v>
      </c>
      <c r="I63" s="152">
        <v>0.92396</v>
      </c>
      <c r="J63" s="251">
        <v>631821</v>
      </c>
      <c r="K63" s="251">
        <v>172886</v>
      </c>
      <c r="L63" s="158">
        <f t="shared" si="32"/>
        <v>804707</v>
      </c>
      <c r="M63" s="153">
        <f t="shared" si="33"/>
        <v>18.124031531531532</v>
      </c>
      <c r="N63" s="251">
        <v>53146</v>
      </c>
      <c r="O63" s="251">
        <v>6000</v>
      </c>
      <c r="P63" s="268">
        <v>5650</v>
      </c>
      <c r="Q63" s="158">
        <v>64796</v>
      </c>
      <c r="R63" s="153">
        <f t="shared" si="34"/>
        <v>1.4593693693693695</v>
      </c>
      <c r="S63" s="268">
        <v>355313</v>
      </c>
      <c r="T63" s="251">
        <v>1224816</v>
      </c>
      <c r="U63" s="251">
        <v>0</v>
      </c>
      <c r="V63" s="251">
        <v>1224816</v>
      </c>
      <c r="W63" s="153">
        <f t="shared" si="35"/>
        <v>27.585945945945944</v>
      </c>
      <c r="X63" s="154">
        <f t="shared" si="36"/>
        <v>0.65700235790518735</v>
      </c>
      <c r="Y63" s="154">
        <f t="shared" si="37"/>
        <v>5.2902640070018679E-2</v>
      </c>
      <c r="Z63" s="154">
        <f t="shared" si="38"/>
        <v>0.29009500202479394</v>
      </c>
      <c r="AA63" s="154">
        <f t="shared" si="39"/>
        <v>0</v>
      </c>
      <c r="AB63" s="251">
        <v>53080</v>
      </c>
      <c r="AE63" s="251"/>
      <c r="AF63" s="251">
        <v>1224816</v>
      </c>
      <c r="AG63" s="251">
        <v>708605</v>
      </c>
      <c r="AH63" s="251"/>
      <c r="AI63" s="158">
        <f t="shared" si="56"/>
        <v>1933421</v>
      </c>
      <c r="AJ63" s="153">
        <f t="shared" si="40"/>
        <v>43.545518018018015</v>
      </c>
      <c r="AK63" s="251">
        <v>352562</v>
      </c>
      <c r="AL63" s="251">
        <v>186244</v>
      </c>
      <c r="AM63" s="251">
        <v>51247</v>
      </c>
      <c r="AN63" s="251"/>
      <c r="AO63" s="158">
        <f t="shared" si="41"/>
        <v>51247</v>
      </c>
      <c r="AP63" s="251">
        <v>1298658</v>
      </c>
      <c r="AQ63" s="155">
        <f t="shared" si="42"/>
        <v>29.249054054054053</v>
      </c>
      <c r="AR63" s="251"/>
      <c r="AS63" s="268">
        <v>0</v>
      </c>
      <c r="AT63" s="251">
        <v>0</v>
      </c>
      <c r="AU63" s="268">
        <v>0</v>
      </c>
      <c r="AV63" s="268">
        <v>0</v>
      </c>
      <c r="AW63" s="251"/>
      <c r="AX63" s="268">
        <v>0</v>
      </c>
      <c r="AY63" s="158">
        <f t="shared" si="43"/>
        <v>0</v>
      </c>
      <c r="AZ63" s="249">
        <v>117928</v>
      </c>
      <c r="BA63" s="152">
        <f t="shared" si="13"/>
        <v>2.6560360360360362</v>
      </c>
      <c r="BB63" s="269">
        <v>5049</v>
      </c>
      <c r="BC63" s="269">
        <v>5049</v>
      </c>
      <c r="BD63" s="269">
        <v>11862</v>
      </c>
      <c r="BE63" s="269">
        <v>2067</v>
      </c>
      <c r="BF63" s="269">
        <v>107580</v>
      </c>
      <c r="BG63" s="269">
        <v>3</v>
      </c>
      <c r="BH63" s="269">
        <v>89</v>
      </c>
      <c r="BI63" s="249">
        <v>0</v>
      </c>
      <c r="BJ63" s="159">
        <f t="shared" si="44"/>
        <v>92</v>
      </c>
      <c r="BK63" s="269">
        <v>262495</v>
      </c>
      <c r="BL63" s="152">
        <f t="shared" si="15"/>
        <v>5.9120495495495495</v>
      </c>
      <c r="BM63" s="269">
        <v>150</v>
      </c>
      <c r="BN63" s="249">
        <v>15229</v>
      </c>
      <c r="BO63" s="152">
        <f t="shared" si="16"/>
        <v>0.34299549549549552</v>
      </c>
      <c r="BP63" s="249">
        <v>27333</v>
      </c>
      <c r="BQ63" s="249">
        <v>0</v>
      </c>
      <c r="BR63" s="276">
        <f t="shared" si="45"/>
        <v>83614</v>
      </c>
      <c r="BS63" s="276">
        <v>21397</v>
      </c>
      <c r="BT63" s="269">
        <v>105011</v>
      </c>
      <c r="BU63" s="152">
        <f t="shared" si="17"/>
        <v>2.3651126126126125</v>
      </c>
      <c r="BV63" s="151">
        <f t="shared" si="60"/>
        <v>13126.375</v>
      </c>
      <c r="BW63" s="152">
        <f t="shared" si="57"/>
        <v>14.876186428672616</v>
      </c>
      <c r="BX63" s="152">
        <f t="shared" si="58"/>
        <v>0.7381210110495684</v>
      </c>
      <c r="BY63" s="152">
        <f t="shared" si="59"/>
        <v>0.40004952475285244</v>
      </c>
      <c r="BZ63" s="249">
        <v>531</v>
      </c>
      <c r="CA63" s="249">
        <v>53</v>
      </c>
      <c r="CB63" s="249">
        <v>259</v>
      </c>
      <c r="CC63" s="156">
        <f t="shared" si="48"/>
        <v>843</v>
      </c>
      <c r="CD63" s="249">
        <v>8529</v>
      </c>
      <c r="CE63" s="249">
        <v>235</v>
      </c>
      <c r="CF63" s="249">
        <v>2761</v>
      </c>
      <c r="CG63" s="159">
        <f t="shared" si="49"/>
        <v>11525</v>
      </c>
      <c r="CH63" s="152">
        <f t="shared" si="23"/>
        <v>0.25957207207207206</v>
      </c>
      <c r="CI63" s="249">
        <v>142268</v>
      </c>
      <c r="CJ63" s="152">
        <f t="shared" si="24"/>
        <v>3.2042342342342343</v>
      </c>
      <c r="CK63" s="269">
        <v>20603</v>
      </c>
      <c r="CL63" s="252" t="s">
        <v>25</v>
      </c>
      <c r="CM63" s="252" t="s">
        <v>25</v>
      </c>
      <c r="CN63" s="252" t="s">
        <v>25</v>
      </c>
      <c r="CO63" s="253">
        <v>4</v>
      </c>
      <c r="CP63" s="253">
        <v>0</v>
      </c>
      <c r="CQ63" s="253">
        <v>0</v>
      </c>
      <c r="CR63" s="253">
        <v>4</v>
      </c>
      <c r="CS63" s="223">
        <f t="shared" si="50"/>
        <v>8</v>
      </c>
      <c r="CT63" s="151">
        <f t="shared" si="61"/>
        <v>5550</v>
      </c>
      <c r="CU63" s="249">
        <v>225</v>
      </c>
      <c r="CV63" s="251">
        <v>63065</v>
      </c>
      <c r="CW63" s="253">
        <v>40</v>
      </c>
      <c r="CX63" s="252" t="s">
        <v>25</v>
      </c>
      <c r="CY63" s="252" t="s">
        <v>25</v>
      </c>
      <c r="CZ63" s="249">
        <v>32</v>
      </c>
      <c r="DA63" s="249">
        <v>102</v>
      </c>
      <c r="DB63" s="249">
        <v>103</v>
      </c>
      <c r="DC63" s="249">
        <v>19115</v>
      </c>
      <c r="DD63" s="249">
        <v>58550</v>
      </c>
      <c r="DE63" s="249">
        <v>13024</v>
      </c>
      <c r="DF63" s="249">
        <v>9334</v>
      </c>
      <c r="DG63" s="249">
        <v>50</v>
      </c>
      <c r="DH63" s="253">
        <f t="shared" si="51"/>
        <v>0.21022522522522522</v>
      </c>
      <c r="DI63" s="249">
        <v>37</v>
      </c>
      <c r="DJ63" s="249">
        <v>37</v>
      </c>
      <c r="DL63" s="151">
        <v>7059</v>
      </c>
      <c r="DM63" s="248"/>
      <c r="DN63" s="252" t="s">
        <v>3115</v>
      </c>
      <c r="DO63" s="252" t="s">
        <v>3052</v>
      </c>
      <c r="DP63" s="252"/>
      <c r="DQ63" s="250"/>
      <c r="DR63" s="261" t="s">
        <v>3170</v>
      </c>
      <c r="DS63" s="248" t="s">
        <v>3033</v>
      </c>
      <c r="DT63" s="275">
        <v>43282</v>
      </c>
      <c r="DU63" s="275">
        <v>43646</v>
      </c>
      <c r="DV63" s="261" t="s">
        <v>3170</v>
      </c>
      <c r="DW63" s="152">
        <f t="shared" si="27"/>
        <v>0.61560810810810807</v>
      </c>
      <c r="DX63" s="152">
        <f t="shared" si="28"/>
        <v>0</v>
      </c>
      <c r="DY63" s="152">
        <f t="shared" si="29"/>
        <v>1.8831981981981982</v>
      </c>
      <c r="DZ63" s="152">
        <f t="shared" si="30"/>
        <v>0.4819144144144144</v>
      </c>
      <c r="EA63" s="153">
        <f t="shared" si="62"/>
        <v>0.47902151477732613</v>
      </c>
      <c r="EB63" s="243">
        <v>0</v>
      </c>
    </row>
    <row r="64" spans="1:132" ht="15" thickBot="1" x14ac:dyDescent="0.35">
      <c r="A64" s="261" t="s">
        <v>3034</v>
      </c>
      <c r="B64" s="388" t="s">
        <v>3254</v>
      </c>
      <c r="C64" s="263">
        <v>21468</v>
      </c>
      <c r="D64" s="250">
        <v>1</v>
      </c>
      <c r="E64" s="250">
        <v>0</v>
      </c>
      <c r="F64" s="249">
        <v>24370</v>
      </c>
      <c r="H64" s="151">
        <f t="shared" si="0"/>
        <v>24370</v>
      </c>
      <c r="I64" s="152">
        <v>1.1351800000000001</v>
      </c>
      <c r="J64" s="251">
        <v>336795</v>
      </c>
      <c r="K64" s="251">
        <v>98753</v>
      </c>
      <c r="L64" s="158">
        <f t="shared" si="32"/>
        <v>435548</v>
      </c>
      <c r="M64" s="153">
        <f t="shared" si="33"/>
        <v>20.288242966275387</v>
      </c>
      <c r="N64" s="251">
        <v>42921</v>
      </c>
      <c r="O64" s="251">
        <v>8894</v>
      </c>
      <c r="P64" s="268">
        <v>13891</v>
      </c>
      <c r="Q64" s="158">
        <v>65706</v>
      </c>
      <c r="R64" s="153">
        <f t="shared" si="34"/>
        <v>3.0606484069312465</v>
      </c>
      <c r="S64" s="268">
        <v>92275</v>
      </c>
      <c r="T64" s="251">
        <v>593529</v>
      </c>
      <c r="U64" s="251">
        <v>0</v>
      </c>
      <c r="V64" s="251">
        <v>593529</v>
      </c>
      <c r="W64" s="153">
        <f t="shared" si="35"/>
        <v>27.647149245388484</v>
      </c>
      <c r="X64" s="154">
        <f t="shared" si="36"/>
        <v>0.73382766469709149</v>
      </c>
      <c r="Y64" s="154">
        <f t="shared" si="37"/>
        <v>0.11070394201462776</v>
      </c>
      <c r="Z64" s="154">
        <f t="shared" si="38"/>
        <v>0.15546839328828077</v>
      </c>
      <c r="AA64" s="154">
        <f t="shared" si="39"/>
        <v>0</v>
      </c>
      <c r="AB64" s="251">
        <v>8536</v>
      </c>
      <c r="AE64" s="251"/>
      <c r="AF64" s="251">
        <v>593529</v>
      </c>
      <c r="AG64" s="251">
        <v>547716</v>
      </c>
      <c r="AH64" s="251"/>
      <c r="AI64" s="158">
        <f t="shared" si="56"/>
        <v>1141245</v>
      </c>
      <c r="AJ64" s="153">
        <f t="shared" si="40"/>
        <v>53.160285075461154</v>
      </c>
      <c r="AK64" s="251">
        <v>76743</v>
      </c>
      <c r="AL64" s="251">
        <v>10549</v>
      </c>
      <c r="AM64" s="251">
        <v>14054</v>
      </c>
      <c r="AN64" s="251"/>
      <c r="AO64" s="158">
        <f t="shared" si="41"/>
        <v>14054</v>
      </c>
      <c r="AP64" s="251">
        <v>649062</v>
      </c>
      <c r="AQ64" s="155">
        <f t="shared" si="42"/>
        <v>30.23392956959195</v>
      </c>
      <c r="AR64" s="251"/>
      <c r="AS64" s="268">
        <v>0</v>
      </c>
      <c r="AT64" s="251">
        <v>0</v>
      </c>
      <c r="AU64" s="268">
        <v>0</v>
      </c>
      <c r="AV64" s="268">
        <v>0</v>
      </c>
      <c r="AW64" s="251"/>
      <c r="AX64" s="268">
        <v>0</v>
      </c>
      <c r="AY64" s="158">
        <f t="shared" si="43"/>
        <v>0</v>
      </c>
      <c r="AZ64" s="249">
        <v>37878</v>
      </c>
      <c r="BA64" s="152">
        <f t="shared" si="13"/>
        <v>1.7643935159306876</v>
      </c>
      <c r="BB64" s="269">
        <v>3264</v>
      </c>
      <c r="BC64" s="269">
        <v>3264</v>
      </c>
      <c r="BD64" s="269">
        <v>7970</v>
      </c>
      <c r="BE64" s="269">
        <v>2179</v>
      </c>
      <c r="BF64" s="269">
        <v>144058</v>
      </c>
      <c r="BG64" s="269">
        <v>1</v>
      </c>
      <c r="BH64" s="269">
        <v>89</v>
      </c>
      <c r="BI64" s="249">
        <v>0</v>
      </c>
      <c r="BJ64" s="159">
        <f t="shared" si="44"/>
        <v>90</v>
      </c>
      <c r="BK64" s="269">
        <v>230902</v>
      </c>
      <c r="BL64" s="152">
        <f t="shared" si="15"/>
        <v>10.755636295882244</v>
      </c>
      <c r="BM64" s="269">
        <v>0</v>
      </c>
      <c r="BN64" s="249">
        <v>9648</v>
      </c>
      <c r="BO64" s="152">
        <f t="shared" si="16"/>
        <v>0.4494130799329234</v>
      </c>
      <c r="BP64" s="249">
        <v>35473</v>
      </c>
      <c r="BQ64" s="249">
        <v>0</v>
      </c>
      <c r="BR64" s="276">
        <f t="shared" si="45"/>
        <v>109399</v>
      </c>
      <c r="BS64" s="276">
        <v>26659</v>
      </c>
      <c r="BT64" s="269">
        <v>136058</v>
      </c>
      <c r="BU64" s="152">
        <f t="shared" si="17"/>
        <v>6.3377119433575553</v>
      </c>
      <c r="BV64" s="151">
        <f t="shared" si="60"/>
        <v>12763.414634146342</v>
      </c>
      <c r="BW64" s="152">
        <f t="shared" si="57"/>
        <v>29.571397522277767</v>
      </c>
      <c r="BX64" s="152">
        <f t="shared" si="58"/>
        <v>1.9078187223063547</v>
      </c>
      <c r="BY64" s="152">
        <f t="shared" si="59"/>
        <v>0.58924565400039841</v>
      </c>
      <c r="BZ64" s="249">
        <v>271</v>
      </c>
      <c r="CA64" s="249">
        <v>87</v>
      </c>
      <c r="CB64" s="249">
        <v>140</v>
      </c>
      <c r="CC64" s="156">
        <f t="shared" si="48"/>
        <v>498</v>
      </c>
      <c r="CD64" s="249">
        <v>6917</v>
      </c>
      <c r="CE64" s="249">
        <v>2110</v>
      </c>
      <c r="CF64" s="249">
        <v>4887</v>
      </c>
      <c r="CG64" s="159">
        <f t="shared" si="49"/>
        <v>13914</v>
      </c>
      <c r="CH64" s="152">
        <f t="shared" si="23"/>
        <v>0.64812744550027945</v>
      </c>
      <c r="CI64" s="249">
        <v>71316</v>
      </c>
      <c r="CJ64" s="152">
        <f t="shared" si="24"/>
        <v>3.3219675796534376</v>
      </c>
      <c r="CK64" s="269">
        <v>9619</v>
      </c>
      <c r="CL64" s="252" t="s">
        <v>25</v>
      </c>
      <c r="CM64" s="252" t="s">
        <v>25</v>
      </c>
      <c r="CN64" s="252" t="s">
        <v>25</v>
      </c>
      <c r="CO64" s="253">
        <v>2.81</v>
      </c>
      <c r="CP64" s="253">
        <v>0</v>
      </c>
      <c r="CQ64" s="253">
        <v>0</v>
      </c>
      <c r="CR64" s="253">
        <v>7.85</v>
      </c>
      <c r="CS64" s="223">
        <f t="shared" si="50"/>
        <v>10.66</v>
      </c>
      <c r="CT64" s="151">
        <f t="shared" si="61"/>
        <v>2013.8836772983113</v>
      </c>
      <c r="CU64" s="249">
        <v>691</v>
      </c>
      <c r="CV64" s="251">
        <v>56292</v>
      </c>
      <c r="CW64" s="253">
        <v>30</v>
      </c>
      <c r="CX64" s="252" t="s">
        <v>25</v>
      </c>
      <c r="CY64" s="252" t="s">
        <v>25</v>
      </c>
      <c r="CZ64" s="249">
        <v>9852</v>
      </c>
      <c r="DA64" s="249">
        <v>11245</v>
      </c>
      <c r="DB64" s="249">
        <v>30</v>
      </c>
      <c r="DC64" s="249">
        <v>9879</v>
      </c>
      <c r="DD64" s="249" t="s">
        <v>3137</v>
      </c>
      <c r="DE64" s="249">
        <v>21902</v>
      </c>
      <c r="DF64" s="249">
        <v>5344</v>
      </c>
      <c r="DG64" s="249">
        <v>52</v>
      </c>
      <c r="DH64" s="253">
        <f t="shared" si="51"/>
        <v>0.24892863797279671</v>
      </c>
      <c r="DI64" s="249">
        <v>30</v>
      </c>
      <c r="DJ64" s="249">
        <v>30</v>
      </c>
      <c r="DL64" s="151">
        <v>4601</v>
      </c>
      <c r="DM64" s="248"/>
      <c r="DN64" s="252" t="s">
        <v>3116</v>
      </c>
      <c r="DO64" s="252" t="s">
        <v>1950</v>
      </c>
      <c r="DP64" s="252"/>
      <c r="DQ64" s="250"/>
      <c r="DR64" s="261" t="s">
        <v>3034</v>
      </c>
      <c r="DS64" s="248" t="s">
        <v>3034</v>
      </c>
      <c r="DT64" s="275">
        <v>43282</v>
      </c>
      <c r="DU64" s="275">
        <v>43646</v>
      </c>
      <c r="DV64" s="261" t="s">
        <v>3034</v>
      </c>
      <c r="DW64" s="152">
        <f t="shared" si="27"/>
        <v>1.6523663126513881</v>
      </c>
      <c r="DX64" s="152">
        <f t="shared" si="28"/>
        <v>0</v>
      </c>
      <c r="DY64" s="152">
        <f t="shared" si="29"/>
        <v>5.0959101919135454</v>
      </c>
      <c r="DZ64" s="152">
        <f t="shared" si="30"/>
        <v>1.2418017514440096</v>
      </c>
      <c r="EA64" s="153">
        <f t="shared" si="62"/>
        <v>0.29626843006239989</v>
      </c>
      <c r="EB64" s="243">
        <f t="shared" si="52"/>
        <v>0.33362091601335386</v>
      </c>
    </row>
    <row r="65" spans="1:132" ht="15" thickBot="1" x14ac:dyDescent="0.35">
      <c r="A65" s="261" t="s">
        <v>3035</v>
      </c>
      <c r="B65" s="388" t="s">
        <v>3255</v>
      </c>
      <c r="C65" s="263">
        <v>178610</v>
      </c>
      <c r="D65" s="250">
        <v>5</v>
      </c>
      <c r="E65" s="250">
        <v>0</v>
      </c>
      <c r="F65" s="249">
        <v>53627</v>
      </c>
      <c r="H65" s="151">
        <f t="shared" si="0"/>
        <v>53627</v>
      </c>
      <c r="I65" s="152">
        <v>0.30025000000000002</v>
      </c>
      <c r="J65" s="251">
        <v>588297</v>
      </c>
      <c r="K65" s="251">
        <v>316962</v>
      </c>
      <c r="L65" s="158">
        <f t="shared" si="32"/>
        <v>905259</v>
      </c>
      <c r="M65" s="153">
        <f t="shared" si="33"/>
        <v>5.0683556351828001</v>
      </c>
      <c r="N65" s="251">
        <v>70000</v>
      </c>
      <c r="O65" s="251">
        <v>9373</v>
      </c>
      <c r="P65" s="268">
        <v>17000</v>
      </c>
      <c r="Q65" s="158">
        <v>96373</v>
      </c>
      <c r="R65" s="153">
        <f t="shared" si="34"/>
        <v>0.53957225239348305</v>
      </c>
      <c r="S65" s="268">
        <v>166681</v>
      </c>
      <c r="T65" s="251">
        <v>1168313</v>
      </c>
      <c r="U65" s="251">
        <v>0</v>
      </c>
      <c r="V65" s="251">
        <v>1168313</v>
      </c>
      <c r="W65" s="153">
        <f t="shared" si="35"/>
        <v>6.5411399137786237</v>
      </c>
      <c r="X65" s="154">
        <f t="shared" si="36"/>
        <v>0.7748428717304352</v>
      </c>
      <c r="Y65" s="154">
        <f t="shared" si="37"/>
        <v>8.2489024773327008E-2</v>
      </c>
      <c r="Z65" s="154">
        <f t="shared" si="38"/>
        <v>0.14266810349623774</v>
      </c>
      <c r="AA65" s="154">
        <f t="shared" si="39"/>
        <v>0</v>
      </c>
      <c r="AB65" s="251">
        <v>4000</v>
      </c>
      <c r="AE65" s="251"/>
      <c r="AF65" s="251">
        <v>1168313</v>
      </c>
      <c r="AG65" s="251">
        <v>551000</v>
      </c>
      <c r="AH65" s="251"/>
      <c r="AI65" s="158">
        <f t="shared" si="56"/>
        <v>1719313</v>
      </c>
      <c r="AJ65" s="153">
        <f t="shared" si="40"/>
        <v>9.6260735681092893</v>
      </c>
      <c r="AK65" s="251">
        <v>196375</v>
      </c>
      <c r="AL65" s="251">
        <v>0</v>
      </c>
      <c r="AM65" s="251">
        <v>45000</v>
      </c>
      <c r="AN65" s="251"/>
      <c r="AO65" s="158">
        <f t="shared" si="41"/>
        <v>45000</v>
      </c>
      <c r="AP65" s="251">
        <v>1494770</v>
      </c>
      <c r="AQ65" s="155">
        <f t="shared" si="42"/>
        <v>8.3689043166675994</v>
      </c>
      <c r="AR65" s="251"/>
      <c r="AS65" s="268">
        <v>4000</v>
      </c>
      <c r="AT65" s="251">
        <v>0</v>
      </c>
      <c r="AU65" s="268">
        <v>0</v>
      </c>
      <c r="AV65" s="268">
        <v>0</v>
      </c>
      <c r="AW65" s="251"/>
      <c r="AX65" s="268">
        <v>0</v>
      </c>
      <c r="AY65" s="158">
        <f t="shared" si="43"/>
        <v>4000</v>
      </c>
      <c r="AZ65" s="249">
        <v>226008</v>
      </c>
      <c r="BA65" s="152">
        <f t="shared" si="13"/>
        <v>1.2653714797603717</v>
      </c>
      <c r="BB65" s="269">
        <v>7027</v>
      </c>
      <c r="BC65" s="269">
        <v>7027</v>
      </c>
      <c r="BD65" s="269">
        <v>7126</v>
      </c>
      <c r="BE65" s="269">
        <v>1752</v>
      </c>
      <c r="BF65" s="269">
        <v>74796</v>
      </c>
      <c r="BG65" s="269">
        <v>0</v>
      </c>
      <c r="BH65" s="269">
        <v>89</v>
      </c>
      <c r="BI65" s="249">
        <v>0</v>
      </c>
      <c r="BJ65" s="159">
        <f t="shared" si="44"/>
        <v>89</v>
      </c>
      <c r="BK65" s="269">
        <v>332843</v>
      </c>
      <c r="BL65" s="152">
        <f t="shared" si="15"/>
        <v>1.8635182800515089</v>
      </c>
      <c r="BM65" s="269">
        <v>0</v>
      </c>
      <c r="BN65" s="249">
        <v>64631</v>
      </c>
      <c r="BO65" s="152">
        <f t="shared" si="16"/>
        <v>0.36185543922512736</v>
      </c>
      <c r="BP65" s="249">
        <v>65324</v>
      </c>
      <c r="BQ65" s="249">
        <v>0</v>
      </c>
      <c r="BR65" s="276">
        <f t="shared" si="45"/>
        <v>167710</v>
      </c>
      <c r="BS65" s="276">
        <v>68867</v>
      </c>
      <c r="BT65" s="269">
        <v>236577</v>
      </c>
      <c r="BU65" s="152">
        <f t="shared" si="17"/>
        <v>1.3245450982587761</v>
      </c>
      <c r="BV65" s="151">
        <f t="shared" si="60"/>
        <v>10753.5</v>
      </c>
      <c r="BW65" s="152">
        <f t="shared" si="57"/>
        <v>25.90070067878257</v>
      </c>
      <c r="BX65" s="152">
        <f t="shared" si="58"/>
        <v>1.488027322988672</v>
      </c>
      <c r="BY65" s="152">
        <f t="shared" si="59"/>
        <v>0.71077655230844572</v>
      </c>
      <c r="BZ65" s="249">
        <v>300</v>
      </c>
      <c r="CA65" s="249">
        <v>20</v>
      </c>
      <c r="CB65" s="249">
        <v>40</v>
      </c>
      <c r="CC65" s="156">
        <f t="shared" si="48"/>
        <v>360</v>
      </c>
      <c r="CD65" s="249">
        <v>4463</v>
      </c>
      <c r="CE65" s="249">
        <v>145</v>
      </c>
      <c r="CF65" s="249">
        <v>307</v>
      </c>
      <c r="CG65" s="159">
        <f t="shared" si="49"/>
        <v>4915</v>
      </c>
      <c r="CH65" s="152">
        <f t="shared" si="23"/>
        <v>2.7518056099882424E-2</v>
      </c>
      <c r="CI65" s="249">
        <v>158987</v>
      </c>
      <c r="CJ65" s="152">
        <f t="shared" si="24"/>
        <v>0.89013493085493534</v>
      </c>
      <c r="CK65" s="269">
        <v>79062</v>
      </c>
      <c r="CL65" s="252" t="s">
        <v>25</v>
      </c>
      <c r="CM65" s="252" t="s">
        <v>25</v>
      </c>
      <c r="CN65" s="252" t="s">
        <v>25</v>
      </c>
      <c r="CO65" s="253">
        <v>4</v>
      </c>
      <c r="CP65" s="151">
        <f>C65/CO65</f>
        <v>44652.5</v>
      </c>
      <c r="CQ65" s="253">
        <v>0</v>
      </c>
      <c r="CR65" s="253">
        <v>18</v>
      </c>
      <c r="CS65" s="223">
        <f t="shared" si="50"/>
        <v>22</v>
      </c>
      <c r="CT65" s="151">
        <f t="shared" si="61"/>
        <v>8118.636363636364</v>
      </c>
      <c r="CU65" s="249">
        <v>547</v>
      </c>
      <c r="CV65" s="251">
        <v>66999</v>
      </c>
      <c r="CW65" s="253">
        <v>40</v>
      </c>
      <c r="CX65" s="252" t="s">
        <v>25</v>
      </c>
      <c r="CY65" s="252" t="s">
        <v>25</v>
      </c>
      <c r="CZ65" s="249">
        <v>12450</v>
      </c>
      <c r="DA65" s="249">
        <v>9410</v>
      </c>
      <c r="DB65" s="249">
        <v>48</v>
      </c>
      <c r="DC65" s="249">
        <v>25296</v>
      </c>
      <c r="DD65" s="249">
        <v>23756</v>
      </c>
      <c r="DE65" s="249">
        <v>48288</v>
      </c>
      <c r="DF65" s="249">
        <v>12558</v>
      </c>
      <c r="DG65" s="249">
        <v>52</v>
      </c>
      <c r="DH65" s="253">
        <f t="shared" si="51"/>
        <v>7.0309613123565304E-2</v>
      </c>
      <c r="DI65" s="249">
        <v>63</v>
      </c>
      <c r="DJ65" s="249">
        <v>63</v>
      </c>
      <c r="DL65" s="151">
        <v>9134</v>
      </c>
      <c r="DM65" s="248"/>
      <c r="DN65" s="252" t="s">
        <v>3117</v>
      </c>
      <c r="DO65" s="254" t="s">
        <v>1950</v>
      </c>
      <c r="DP65" s="252"/>
      <c r="DQ65" s="250"/>
      <c r="DR65" s="261" t="s">
        <v>3035</v>
      </c>
      <c r="DS65" s="248" t="s">
        <v>3035</v>
      </c>
      <c r="DT65" s="275">
        <v>43282</v>
      </c>
      <c r="DU65" s="275">
        <v>43646</v>
      </c>
      <c r="DV65" s="261" t="s">
        <v>3035</v>
      </c>
      <c r="DW65" s="152">
        <f t="shared" si="27"/>
        <v>0.3657354011533509</v>
      </c>
      <c r="DX65" s="152">
        <f t="shared" si="28"/>
        <v>0</v>
      </c>
      <c r="DY65" s="152">
        <f t="shared" si="29"/>
        <v>0.93897318179273281</v>
      </c>
      <c r="DZ65" s="152">
        <f t="shared" si="30"/>
        <v>0.38557191646604333</v>
      </c>
      <c r="EA65" s="153">
        <f t="shared" si="62"/>
        <v>0.30038535149377343</v>
      </c>
      <c r="EB65" s="243">
        <f t="shared" si="52"/>
        <v>0.136102923025542</v>
      </c>
    </row>
    <row r="66" spans="1:132" ht="15" thickBot="1" x14ac:dyDescent="0.35">
      <c r="A66" s="261" t="s">
        <v>3036</v>
      </c>
      <c r="B66" s="388" t="s">
        <v>3256</v>
      </c>
      <c r="C66" s="263">
        <v>143899</v>
      </c>
      <c r="D66" s="250">
        <v>6</v>
      </c>
      <c r="E66" s="250">
        <v>1</v>
      </c>
      <c r="F66" s="249">
        <v>66712</v>
      </c>
      <c r="H66" s="151">
        <f t="shared" ref="H66:H83" si="65">G66+F66</f>
        <v>66712</v>
      </c>
      <c r="I66" s="152">
        <v>0.46360000000000001</v>
      </c>
      <c r="J66" s="251">
        <v>1779577</v>
      </c>
      <c r="K66" s="251">
        <v>588658</v>
      </c>
      <c r="L66" s="158">
        <f t="shared" si="32"/>
        <v>2368235</v>
      </c>
      <c r="M66" s="153">
        <f t="shared" si="33"/>
        <v>16.457619580400142</v>
      </c>
      <c r="N66" s="251">
        <v>187143</v>
      </c>
      <c r="O66" s="251">
        <v>56577</v>
      </c>
      <c r="P66" s="268">
        <v>28187</v>
      </c>
      <c r="Q66" s="158">
        <v>271907</v>
      </c>
      <c r="R66" s="153">
        <f t="shared" si="34"/>
        <v>1.8895683778205548</v>
      </c>
      <c r="S66" s="268">
        <v>706150</v>
      </c>
      <c r="T66" s="251">
        <v>3346292</v>
      </c>
      <c r="U66" s="251">
        <v>0</v>
      </c>
      <c r="V66" s="251">
        <v>3346292</v>
      </c>
      <c r="W66" s="153">
        <f t="shared" si="35"/>
        <v>23.254449301246012</v>
      </c>
      <c r="X66" s="154">
        <f t="shared" si="36"/>
        <v>0.70771917095101089</v>
      </c>
      <c r="Y66" s="154">
        <f t="shared" si="37"/>
        <v>8.1256208364362703E-2</v>
      </c>
      <c r="Z66" s="154">
        <f t="shared" si="38"/>
        <v>0.21102462068462643</v>
      </c>
      <c r="AA66" s="154">
        <f t="shared" si="39"/>
        <v>0</v>
      </c>
      <c r="AB66" s="251">
        <v>83507</v>
      </c>
      <c r="AE66" s="251"/>
      <c r="AF66" s="251">
        <v>3346292</v>
      </c>
      <c r="AG66" s="251">
        <v>2289090</v>
      </c>
      <c r="AH66" s="251"/>
      <c r="AI66" s="158">
        <f t="shared" ref="AI66:AI83" si="66">SUM(AF66:AH66)</f>
        <v>5635382</v>
      </c>
      <c r="AJ66" s="153">
        <f t="shared" si="40"/>
        <v>39.162065059520913</v>
      </c>
      <c r="AK66" s="251">
        <v>182623</v>
      </c>
      <c r="AL66" s="251">
        <v>7532</v>
      </c>
      <c r="AM66" s="251">
        <v>169511</v>
      </c>
      <c r="AN66" s="251"/>
      <c r="AO66" s="158">
        <f t="shared" si="41"/>
        <v>169511</v>
      </c>
      <c r="AP66" s="251">
        <v>3436852</v>
      </c>
      <c r="AQ66" s="155">
        <f t="shared" si="42"/>
        <v>23.883779595410669</v>
      </c>
      <c r="AR66" s="251"/>
      <c r="AS66" s="268">
        <v>0</v>
      </c>
      <c r="AT66" s="251">
        <v>0</v>
      </c>
      <c r="AU66" s="268">
        <v>0</v>
      </c>
      <c r="AV66" s="268">
        <v>0</v>
      </c>
      <c r="AW66" s="251"/>
      <c r="AX66" s="268">
        <v>0</v>
      </c>
      <c r="AY66" s="158">
        <f t="shared" si="43"/>
        <v>0</v>
      </c>
      <c r="AZ66" s="249">
        <v>251405</v>
      </c>
      <c r="BA66" s="152">
        <f t="shared" ref="BA66:BA83" si="67">AZ66/C66</f>
        <v>1.7470934474874737</v>
      </c>
      <c r="BB66" s="269">
        <v>8397</v>
      </c>
      <c r="BC66" s="269">
        <v>8397</v>
      </c>
      <c r="BD66" s="269">
        <v>28906</v>
      </c>
      <c r="BE66" s="269">
        <v>1752</v>
      </c>
      <c r="BF66" s="269">
        <v>81163</v>
      </c>
      <c r="BG66" s="269">
        <v>6</v>
      </c>
      <c r="BH66" s="269">
        <v>89</v>
      </c>
      <c r="BI66" s="249">
        <v>0</v>
      </c>
      <c r="BJ66" s="159">
        <f t="shared" si="44"/>
        <v>95</v>
      </c>
      <c r="BK66" s="269">
        <v>395709</v>
      </c>
      <c r="BL66" s="152">
        <f t="shared" ref="BL66:BL83" si="68">BK66/C66</f>
        <v>2.749907921528294</v>
      </c>
      <c r="BM66" s="269">
        <v>235</v>
      </c>
      <c r="BN66" s="249">
        <v>98144</v>
      </c>
      <c r="BO66" s="152">
        <f t="shared" ref="BO66:BO83" si="69">BN66/C66</f>
        <v>0.68203392657349948</v>
      </c>
      <c r="BP66" s="249">
        <v>124791</v>
      </c>
      <c r="BQ66" s="249">
        <v>0</v>
      </c>
      <c r="BR66" s="276">
        <f t="shared" si="45"/>
        <v>345772</v>
      </c>
      <c r="BS66" s="276">
        <v>99060</v>
      </c>
      <c r="BT66" s="269">
        <v>444832</v>
      </c>
      <c r="BU66" s="152">
        <f t="shared" ref="BU66:BU83" si="70">BT66/C66</f>
        <v>3.0912793000646288</v>
      </c>
      <c r="BV66" s="151">
        <f t="shared" si="60"/>
        <v>9802.3799030409864</v>
      </c>
      <c r="BW66" s="152">
        <f t="shared" ref="BW66:BW83" si="71">BT66/DL66</f>
        <v>38.019829059829057</v>
      </c>
      <c r="BX66" s="152">
        <f t="shared" ref="BX66:BX83" si="72">BT66/CI66</f>
        <v>1.4700136151537984</v>
      </c>
      <c r="BY66" s="152">
        <f t="shared" si="59"/>
        <v>1.1241392033034376</v>
      </c>
      <c r="BZ66" s="249">
        <v>1126</v>
      </c>
      <c r="CA66" s="249">
        <v>73</v>
      </c>
      <c r="CB66" s="249">
        <v>202</v>
      </c>
      <c r="CC66" s="156">
        <f t="shared" si="48"/>
        <v>1401</v>
      </c>
      <c r="CD66" s="249">
        <v>31569</v>
      </c>
      <c r="CE66" s="249">
        <v>1072</v>
      </c>
      <c r="CF66" s="249">
        <v>5113</v>
      </c>
      <c r="CG66" s="159">
        <f t="shared" si="49"/>
        <v>37754</v>
      </c>
      <c r="CH66" s="152">
        <f t="shared" ref="CH66:CH83" si="73">CG66/C66</f>
        <v>0.26236457515340622</v>
      </c>
      <c r="CI66" s="249">
        <v>302604</v>
      </c>
      <c r="CJ66" s="152">
        <f t="shared" ref="CJ66:CJ83" si="74">CI66/C66</f>
        <v>2.1028916114774945</v>
      </c>
      <c r="CK66" s="269">
        <v>142501</v>
      </c>
      <c r="CL66" s="252" t="s">
        <v>25</v>
      </c>
      <c r="CM66" s="252" t="s">
        <v>25</v>
      </c>
      <c r="CN66" s="252" t="s">
        <v>25</v>
      </c>
      <c r="CO66" s="253">
        <v>12.75</v>
      </c>
      <c r="CP66" s="253">
        <v>0</v>
      </c>
      <c r="CQ66" s="253">
        <v>0</v>
      </c>
      <c r="CR66" s="253">
        <v>32.630000000000003</v>
      </c>
      <c r="CS66" s="223">
        <f t="shared" si="50"/>
        <v>45.38</v>
      </c>
      <c r="CT66" s="151">
        <f t="shared" si="61"/>
        <v>3170.9784045835167</v>
      </c>
      <c r="CU66" s="249">
        <v>490</v>
      </c>
      <c r="CV66" s="251">
        <v>78190</v>
      </c>
      <c r="CW66" s="253">
        <v>39.200000000000003</v>
      </c>
      <c r="CX66" s="252" t="s">
        <v>25</v>
      </c>
      <c r="CY66" s="252" t="s">
        <v>25</v>
      </c>
      <c r="CZ66" s="249">
        <v>138</v>
      </c>
      <c r="DA66" s="249">
        <v>219</v>
      </c>
      <c r="DB66" s="249">
        <v>149</v>
      </c>
      <c r="DC66" s="249">
        <v>47340</v>
      </c>
      <c r="DD66" s="249">
        <v>26722</v>
      </c>
      <c r="DE66" s="249">
        <v>236524</v>
      </c>
      <c r="DF66" s="249">
        <v>16302</v>
      </c>
      <c r="DG66" s="249">
        <v>52</v>
      </c>
      <c r="DH66" s="253">
        <f t="shared" si="51"/>
        <v>0.11328779213198147</v>
      </c>
      <c r="DI66" s="249">
        <v>35</v>
      </c>
      <c r="DJ66" s="249">
        <v>35</v>
      </c>
      <c r="DL66" s="151">
        <v>11700</v>
      </c>
      <c r="DM66" s="248"/>
      <c r="DN66" s="252" t="s">
        <v>3118</v>
      </c>
      <c r="DO66" s="252" t="s">
        <v>1950</v>
      </c>
      <c r="DP66" s="252"/>
      <c r="DQ66" s="250"/>
      <c r="DR66" s="261" t="s">
        <v>3036</v>
      </c>
      <c r="DS66" s="248" t="s">
        <v>3036</v>
      </c>
      <c r="DT66" s="275">
        <v>43282</v>
      </c>
      <c r="DU66" s="275">
        <v>43646</v>
      </c>
      <c r="DV66" s="261" t="s">
        <v>3036</v>
      </c>
      <c r="DW66" s="152">
        <f t="shared" ref="DW66:DW83" si="75">BP66/C66</f>
        <v>0.8672124198222364</v>
      </c>
      <c r="DX66" s="152">
        <f t="shared" ref="DX66:DX83" si="76">BQ66/C66</f>
        <v>0</v>
      </c>
      <c r="DY66" s="152">
        <f t="shared" ref="DY66:DY83" si="77">BR66/C66</f>
        <v>2.4028797976358418</v>
      </c>
      <c r="DZ66" s="152">
        <f t="shared" ref="DZ66:DZ83" si="78">BS66/C66</f>
        <v>0.68839950242878689</v>
      </c>
      <c r="EA66" s="153">
        <f t="shared" si="62"/>
        <v>0.39770020167331471</v>
      </c>
      <c r="EB66" s="243">
        <v>0</v>
      </c>
    </row>
    <row r="67" spans="1:132" ht="15" thickBot="1" x14ac:dyDescent="0.35">
      <c r="A67" s="261" t="s">
        <v>3171</v>
      </c>
      <c r="B67" s="388" t="s">
        <v>3257</v>
      </c>
      <c r="C67" s="263">
        <v>14738</v>
      </c>
      <c r="D67" s="250">
        <v>0</v>
      </c>
      <c r="E67" s="250">
        <v>0</v>
      </c>
      <c r="F67" s="249">
        <v>7550</v>
      </c>
      <c r="H67" s="151">
        <f t="shared" si="65"/>
        <v>7550</v>
      </c>
      <c r="I67" s="152">
        <v>0.51227999999999996</v>
      </c>
      <c r="J67" s="251">
        <v>152523</v>
      </c>
      <c r="K67" s="251">
        <v>15822</v>
      </c>
      <c r="L67" s="158">
        <f t="shared" ref="L67:L83" si="79">J67+K67</f>
        <v>168345</v>
      </c>
      <c r="M67" s="153">
        <f t="shared" ref="M67:M83" si="80">L67/C67</f>
        <v>11.42251323110327</v>
      </c>
      <c r="N67" s="251">
        <v>17722</v>
      </c>
      <c r="O67" s="251">
        <v>3652</v>
      </c>
      <c r="P67" s="268">
        <v>6735</v>
      </c>
      <c r="Q67" s="158">
        <v>28109</v>
      </c>
      <c r="R67" s="153">
        <f t="shared" ref="R67:R83" si="81">Q67/C67</f>
        <v>1.907246573483512</v>
      </c>
      <c r="S67" s="268">
        <v>54254</v>
      </c>
      <c r="T67" s="251">
        <v>250708</v>
      </c>
      <c r="U67" s="251">
        <v>0</v>
      </c>
      <c r="V67" s="251">
        <v>250708</v>
      </c>
      <c r="W67" s="153">
        <f t="shared" ref="W67:W83" si="82">V67/C67</f>
        <v>17.010991993486225</v>
      </c>
      <c r="X67" s="154">
        <f t="shared" ref="X67:X83" si="83">L67/V67</f>
        <v>0.67147837324696458</v>
      </c>
      <c r="Y67" s="154">
        <f t="shared" ref="Y67:Y83" si="84">Q67/V67</f>
        <v>0.11211848046332785</v>
      </c>
      <c r="Z67" s="154">
        <f t="shared" ref="Z67:Z83" si="85">S67/V67</f>
        <v>0.21640314628970755</v>
      </c>
      <c r="AA67" s="154">
        <f t="shared" ref="AA67:AA83" si="86">U67/V67</f>
        <v>0</v>
      </c>
      <c r="AB67" s="251">
        <v>0</v>
      </c>
      <c r="AE67" s="251"/>
      <c r="AF67" s="251">
        <v>250708</v>
      </c>
      <c r="AG67" s="251">
        <v>0</v>
      </c>
      <c r="AH67" s="251"/>
      <c r="AI67" s="158">
        <f t="shared" si="66"/>
        <v>250708</v>
      </c>
      <c r="AJ67" s="153">
        <f t="shared" ref="AJ67:AJ83" si="87">AI67/C67</f>
        <v>17.010991993486225</v>
      </c>
      <c r="AK67" s="251">
        <v>13315</v>
      </c>
      <c r="AL67" s="251">
        <v>0</v>
      </c>
      <c r="AM67" s="251">
        <v>1692</v>
      </c>
      <c r="AN67" s="251"/>
      <c r="AO67" s="158">
        <f t="shared" ref="AO67:AO83" si="88">AM67+AN67</f>
        <v>1692</v>
      </c>
      <c r="AP67" s="251">
        <v>340791</v>
      </c>
      <c r="AQ67" s="155">
        <f t="shared" ref="AQ67:AQ83" si="89">AP67/C67</f>
        <v>23.123286741756004</v>
      </c>
      <c r="AR67" s="251"/>
      <c r="AS67" s="268">
        <v>0</v>
      </c>
      <c r="AT67" s="251">
        <v>0</v>
      </c>
      <c r="AU67" s="268">
        <v>0</v>
      </c>
      <c r="AV67" s="268">
        <v>0</v>
      </c>
      <c r="AW67" s="251"/>
      <c r="AX67" s="268">
        <v>0</v>
      </c>
      <c r="AY67" s="158">
        <f t="shared" ref="AY67:AY83" si="90">SUM(AR67:AX67)</f>
        <v>0</v>
      </c>
      <c r="AZ67" s="249">
        <v>36966</v>
      </c>
      <c r="BA67" s="152">
        <f t="shared" si="67"/>
        <v>2.508210069208848</v>
      </c>
      <c r="BB67" s="269">
        <v>1189</v>
      </c>
      <c r="BC67" s="269">
        <v>1189</v>
      </c>
      <c r="BD67" s="269">
        <v>3342</v>
      </c>
      <c r="BE67" s="269">
        <v>2067</v>
      </c>
      <c r="BF67" s="269">
        <v>107580</v>
      </c>
      <c r="BG67" s="269">
        <v>0</v>
      </c>
      <c r="BH67" s="269">
        <v>89</v>
      </c>
      <c r="BI67" s="249">
        <v>0</v>
      </c>
      <c r="BJ67" s="159">
        <f t="shared" ref="BJ67:BJ83" si="91">SUM(BG67:BI67)</f>
        <v>89</v>
      </c>
      <c r="BK67" s="269">
        <v>168363</v>
      </c>
      <c r="BL67" s="152">
        <f t="shared" si="68"/>
        <v>11.423734563712852</v>
      </c>
      <c r="BM67" s="269">
        <v>39</v>
      </c>
      <c r="BN67" s="249">
        <v>11606</v>
      </c>
      <c r="BO67" s="152">
        <f t="shared" si="69"/>
        <v>0.78748812593296236</v>
      </c>
      <c r="BP67" s="249">
        <v>5469</v>
      </c>
      <c r="BQ67" s="249">
        <v>0</v>
      </c>
      <c r="BR67" s="276">
        <f t="shared" ref="BR67:BR83" si="92">BT67-BS67</f>
        <v>15086</v>
      </c>
      <c r="BS67" s="276">
        <v>3784</v>
      </c>
      <c r="BT67" s="269">
        <v>18870</v>
      </c>
      <c r="BU67" s="152">
        <f t="shared" si="70"/>
        <v>1.2803636857104084</v>
      </c>
      <c r="BV67" s="151">
        <f t="shared" si="60"/>
        <v>6290</v>
      </c>
      <c r="BW67" s="152">
        <f t="shared" si="71"/>
        <v>11.958174904942966</v>
      </c>
      <c r="BX67" s="152">
        <f t="shared" si="72"/>
        <v>1.2227838258164851</v>
      </c>
      <c r="BY67" s="152">
        <f t="shared" ref="BY67:BY83" si="93">BT67/BK67</f>
        <v>0.11207925731900714</v>
      </c>
      <c r="BZ67" s="249">
        <v>36</v>
      </c>
      <c r="CA67" s="249">
        <v>31</v>
      </c>
      <c r="CB67" s="249">
        <v>34</v>
      </c>
      <c r="CC67" s="156">
        <f t="shared" ref="CC67:CC83" si="94">SUM(BZ67:CB67)</f>
        <v>101</v>
      </c>
      <c r="CD67" s="249">
        <v>933</v>
      </c>
      <c r="CE67" s="249">
        <v>210</v>
      </c>
      <c r="CF67" s="249">
        <v>544</v>
      </c>
      <c r="CG67" s="159">
        <f t="shared" ref="CG67:CG83" si="95">SUM(CD67:CF67)</f>
        <v>1687</v>
      </c>
      <c r="CH67" s="152">
        <f t="shared" si="73"/>
        <v>0.11446600624236668</v>
      </c>
      <c r="CI67" s="249">
        <v>15432</v>
      </c>
      <c r="CJ67" s="152">
        <f t="shared" si="74"/>
        <v>1.0470891572804994</v>
      </c>
      <c r="CK67" s="269">
        <v>-1</v>
      </c>
      <c r="CL67" s="252" t="s">
        <v>25</v>
      </c>
      <c r="CM67" s="252" t="s">
        <v>25</v>
      </c>
      <c r="CN67" s="252" t="s">
        <v>25</v>
      </c>
      <c r="CO67" s="253">
        <v>1</v>
      </c>
      <c r="CP67" s="253">
        <v>0</v>
      </c>
      <c r="CQ67" s="253">
        <v>0</v>
      </c>
      <c r="CR67" s="253">
        <v>2</v>
      </c>
      <c r="CS67" s="223">
        <f t="shared" ref="CS67:CS83" si="96">CO67+CQ67+CR67</f>
        <v>3</v>
      </c>
      <c r="CT67" s="151">
        <f t="shared" si="61"/>
        <v>4912.666666666667</v>
      </c>
      <c r="CU67" s="249">
        <v>172</v>
      </c>
      <c r="CV67" s="251">
        <v>49861</v>
      </c>
      <c r="CW67" s="253">
        <v>40</v>
      </c>
      <c r="CX67" s="252" t="s">
        <v>25</v>
      </c>
      <c r="CY67" s="252" t="s">
        <v>25</v>
      </c>
      <c r="CZ67" s="249">
        <v>0</v>
      </c>
      <c r="DA67" s="249">
        <v>0</v>
      </c>
      <c r="DB67" s="249">
        <v>13</v>
      </c>
      <c r="DC67" s="249">
        <v>3741</v>
      </c>
      <c r="DD67" s="249" t="s">
        <v>3137</v>
      </c>
      <c r="DE67" s="249">
        <v>11886</v>
      </c>
      <c r="DF67" s="249">
        <v>2299</v>
      </c>
      <c r="DG67" s="249">
        <v>51</v>
      </c>
      <c r="DH67" s="253">
        <f t="shared" ref="DH67:DH83" si="97">DF67/C67</f>
        <v>0.15599131496810964</v>
      </c>
      <c r="DI67" s="249">
        <v>40</v>
      </c>
      <c r="DJ67" s="249">
        <v>40</v>
      </c>
      <c r="DL67" s="151">
        <v>1578</v>
      </c>
      <c r="DM67" s="248"/>
      <c r="DN67" s="252" t="s">
        <v>3119</v>
      </c>
      <c r="DO67" s="252" t="s">
        <v>3053</v>
      </c>
      <c r="DP67" s="252"/>
      <c r="DQ67" s="250"/>
      <c r="DR67" s="261" t="s">
        <v>3171</v>
      </c>
      <c r="DS67" s="248" t="s">
        <v>3015</v>
      </c>
      <c r="DT67" s="275">
        <v>43282</v>
      </c>
      <c r="DU67" s="275">
        <v>43646</v>
      </c>
      <c r="DV67" s="261" t="s">
        <v>3171</v>
      </c>
      <c r="DW67" s="152">
        <f t="shared" si="75"/>
        <v>0.37108155787759534</v>
      </c>
      <c r="DX67" s="152">
        <f t="shared" si="76"/>
        <v>0</v>
      </c>
      <c r="DY67" s="152">
        <f t="shared" si="77"/>
        <v>1.023612430451893</v>
      </c>
      <c r="DZ67" s="152">
        <f t="shared" si="78"/>
        <v>0.25675125525851539</v>
      </c>
      <c r="EA67" s="153">
        <f t="shared" si="62"/>
        <v>0.86217465336901</v>
      </c>
      <c r="EB67" s="243">
        <f t="shared" ref="EB67:EB83" si="98">O67/(BQ67+BS67)</f>
        <v>0.96511627906976749</v>
      </c>
    </row>
    <row r="68" spans="1:132" ht="15" thickBot="1" x14ac:dyDescent="0.35">
      <c r="A68" s="261" t="s">
        <v>3037</v>
      </c>
      <c r="B68" s="388" t="s">
        <v>3258</v>
      </c>
      <c r="C68" s="263">
        <v>131303</v>
      </c>
      <c r="D68" s="250">
        <v>6</v>
      </c>
      <c r="E68" s="250">
        <v>0</v>
      </c>
      <c r="F68" s="249">
        <v>38108</v>
      </c>
      <c r="H68" s="151">
        <f t="shared" si="65"/>
        <v>38108</v>
      </c>
      <c r="I68" s="152">
        <v>0.29022999999999999</v>
      </c>
      <c r="J68" s="251">
        <v>671506</v>
      </c>
      <c r="K68" s="251">
        <v>264750</v>
      </c>
      <c r="L68" s="158">
        <f t="shared" si="79"/>
        <v>936256</v>
      </c>
      <c r="M68" s="153">
        <f t="shared" si="80"/>
        <v>7.1304996839371526</v>
      </c>
      <c r="N68" s="251">
        <v>79908</v>
      </c>
      <c r="O68" s="251">
        <v>9278</v>
      </c>
      <c r="P68" s="268">
        <v>6301</v>
      </c>
      <c r="Q68" s="158">
        <v>95487</v>
      </c>
      <c r="R68" s="153">
        <f t="shared" si="81"/>
        <v>0.72722633907831502</v>
      </c>
      <c r="S68" s="268">
        <v>274920</v>
      </c>
      <c r="T68" s="251">
        <v>1306663</v>
      </c>
      <c r="U68" s="251">
        <v>0</v>
      </c>
      <c r="V68" s="251">
        <v>1306663</v>
      </c>
      <c r="W68" s="153">
        <f t="shared" si="82"/>
        <v>9.9515091048947859</v>
      </c>
      <c r="X68" s="154">
        <f t="shared" si="83"/>
        <v>0.71652445963496325</v>
      </c>
      <c r="Y68" s="154">
        <f t="shared" si="84"/>
        <v>7.3076990777270034E-2</v>
      </c>
      <c r="Z68" s="154">
        <f t="shared" si="85"/>
        <v>0.21039854958776669</v>
      </c>
      <c r="AA68" s="154">
        <f t="shared" si="86"/>
        <v>0</v>
      </c>
      <c r="AB68" s="251">
        <v>0</v>
      </c>
      <c r="AE68" s="251"/>
      <c r="AF68" s="251">
        <v>1306663</v>
      </c>
      <c r="AG68" s="251">
        <v>617500</v>
      </c>
      <c r="AH68" s="251"/>
      <c r="AI68" s="158">
        <f t="shared" si="66"/>
        <v>1924163</v>
      </c>
      <c r="AJ68" s="153">
        <f t="shared" si="87"/>
        <v>14.65437194885113</v>
      </c>
      <c r="AK68" s="251">
        <v>205080</v>
      </c>
      <c r="AL68" s="251">
        <v>4000</v>
      </c>
      <c r="AM68" s="251">
        <v>66610</v>
      </c>
      <c r="AN68" s="251"/>
      <c r="AO68" s="158">
        <f t="shared" si="88"/>
        <v>66610</v>
      </c>
      <c r="AP68" s="251">
        <v>1267110</v>
      </c>
      <c r="AQ68" s="155">
        <f t="shared" si="89"/>
        <v>9.6502745557984202</v>
      </c>
      <c r="AR68" s="251"/>
      <c r="AS68" s="268">
        <v>10000</v>
      </c>
      <c r="AT68" s="251">
        <v>0</v>
      </c>
      <c r="AU68" s="268">
        <v>0</v>
      </c>
      <c r="AV68" s="268">
        <v>0</v>
      </c>
      <c r="AW68" s="251"/>
      <c r="AX68" s="268">
        <v>0</v>
      </c>
      <c r="AY68" s="158">
        <f t="shared" si="90"/>
        <v>10000</v>
      </c>
      <c r="AZ68" s="249">
        <v>107676</v>
      </c>
      <c r="BA68" s="152">
        <f t="shared" si="67"/>
        <v>0.82005742443051566</v>
      </c>
      <c r="BB68" s="269">
        <v>980</v>
      </c>
      <c r="BC68" s="269">
        <v>980</v>
      </c>
      <c r="BD68" s="269">
        <v>5614</v>
      </c>
      <c r="BE68" s="269">
        <v>2067</v>
      </c>
      <c r="BF68" s="269">
        <v>107580</v>
      </c>
      <c r="BG68" s="269">
        <v>1</v>
      </c>
      <c r="BH68" s="269">
        <v>89</v>
      </c>
      <c r="BI68" s="249">
        <v>0</v>
      </c>
      <c r="BJ68" s="159">
        <f t="shared" si="91"/>
        <v>90</v>
      </c>
      <c r="BK68" s="269">
        <v>241003</v>
      </c>
      <c r="BL68" s="152">
        <f t="shared" si="68"/>
        <v>1.8354721521975887</v>
      </c>
      <c r="BM68" s="269">
        <v>114</v>
      </c>
      <c r="BN68" s="249">
        <v>13536</v>
      </c>
      <c r="BO68" s="152">
        <f t="shared" si="69"/>
        <v>0.10308979992840986</v>
      </c>
      <c r="BP68" s="249">
        <v>53088</v>
      </c>
      <c r="BQ68" s="249">
        <v>0</v>
      </c>
      <c r="BR68" s="276">
        <f t="shared" si="92"/>
        <v>104168</v>
      </c>
      <c r="BS68" s="276">
        <v>32191</v>
      </c>
      <c r="BT68" s="269">
        <v>136359</v>
      </c>
      <c r="BU68" s="152">
        <f t="shared" si="70"/>
        <v>1.038506355528815</v>
      </c>
      <c r="BV68" s="151">
        <f t="shared" si="60"/>
        <v>6289.6217712177122</v>
      </c>
      <c r="BW68" s="152">
        <f t="shared" si="71"/>
        <v>15.853854202999651</v>
      </c>
      <c r="BX68" s="152">
        <f t="shared" si="72"/>
        <v>1.5781743689455228</v>
      </c>
      <c r="BY68" s="152">
        <f t="shared" si="93"/>
        <v>0.5657979361252764</v>
      </c>
      <c r="BZ68" s="249">
        <v>304</v>
      </c>
      <c r="CA68" s="249">
        <v>1</v>
      </c>
      <c r="CB68" s="249">
        <v>29</v>
      </c>
      <c r="CC68" s="156">
        <f t="shared" si="94"/>
        <v>334</v>
      </c>
      <c r="CD68" s="249">
        <v>3012</v>
      </c>
      <c r="CE68" s="249">
        <v>1000</v>
      </c>
      <c r="CF68" s="249">
        <v>722</v>
      </c>
      <c r="CG68" s="159">
        <f t="shared" si="95"/>
        <v>4734</v>
      </c>
      <c r="CH68" s="152">
        <f t="shared" si="73"/>
        <v>3.6054012474962489E-2</v>
      </c>
      <c r="CI68" s="249">
        <v>86403</v>
      </c>
      <c r="CJ68" s="152">
        <f t="shared" si="74"/>
        <v>0.65804284745969244</v>
      </c>
      <c r="CK68" s="269">
        <v>29154</v>
      </c>
      <c r="CL68" s="252" t="s">
        <v>25</v>
      </c>
      <c r="CM68" s="252" t="s">
        <v>25</v>
      </c>
      <c r="CN68" s="252" t="s">
        <v>25</v>
      </c>
      <c r="CO68" s="253">
        <v>4</v>
      </c>
      <c r="CP68" s="151">
        <f t="shared" ref="CP68:CP69" si="99">C68/CO68</f>
        <v>32825.75</v>
      </c>
      <c r="CQ68" s="253">
        <v>0</v>
      </c>
      <c r="CR68" s="253">
        <v>17.68</v>
      </c>
      <c r="CS68" s="223">
        <f t="shared" si="96"/>
        <v>21.68</v>
      </c>
      <c r="CT68" s="151">
        <f t="shared" si="61"/>
        <v>6056.4114391143912</v>
      </c>
      <c r="CU68" s="249">
        <v>0</v>
      </c>
      <c r="CV68" s="251">
        <v>71400</v>
      </c>
      <c r="CW68" s="253">
        <v>40</v>
      </c>
      <c r="CX68" s="252" t="s">
        <v>25</v>
      </c>
      <c r="CY68" s="252" t="s">
        <v>25</v>
      </c>
      <c r="CZ68" s="249">
        <v>56</v>
      </c>
      <c r="DA68" s="249">
        <v>4</v>
      </c>
      <c r="DB68" s="249">
        <v>64</v>
      </c>
      <c r="DC68" s="249">
        <v>20836</v>
      </c>
      <c r="DD68" s="249">
        <v>31687</v>
      </c>
      <c r="DE68" s="249">
        <v>39812</v>
      </c>
      <c r="DF68" s="249">
        <v>10820</v>
      </c>
      <c r="DG68" s="249">
        <v>51</v>
      </c>
      <c r="DH68" s="253">
        <f t="shared" si="97"/>
        <v>8.2404819387218872E-2</v>
      </c>
      <c r="DI68" s="249">
        <v>54</v>
      </c>
      <c r="DJ68" s="249">
        <v>54</v>
      </c>
      <c r="DL68" s="151">
        <v>8601</v>
      </c>
      <c r="DM68" s="248"/>
      <c r="DN68" s="252" t="s">
        <v>3120</v>
      </c>
      <c r="DO68" s="252" t="s">
        <v>1950</v>
      </c>
      <c r="DP68" s="252"/>
      <c r="DQ68" s="250"/>
      <c r="DR68" s="261" t="s">
        <v>3037</v>
      </c>
      <c r="DS68" s="248" t="s">
        <v>3037</v>
      </c>
      <c r="DT68" s="275">
        <v>43282</v>
      </c>
      <c r="DU68" s="275">
        <v>43646</v>
      </c>
      <c r="DV68" s="261" t="s">
        <v>3037</v>
      </c>
      <c r="DW68" s="152">
        <f t="shared" si="75"/>
        <v>0.40431673305255783</v>
      </c>
      <c r="DX68" s="152">
        <f t="shared" si="76"/>
        <v>0</v>
      </c>
      <c r="DY68" s="152">
        <f t="shared" si="77"/>
        <v>0.79334059389351352</v>
      </c>
      <c r="DZ68" s="152">
        <f t="shared" si="78"/>
        <v>0.24516576163530154</v>
      </c>
      <c r="EA68" s="153">
        <f t="shared" si="62"/>
        <v>0.50813959403774733</v>
      </c>
      <c r="EB68" s="243">
        <f t="shared" si="98"/>
        <v>0.28821720356621416</v>
      </c>
    </row>
    <row r="69" spans="1:132" ht="15" thickBot="1" x14ac:dyDescent="0.35">
      <c r="A69" s="261" t="s">
        <v>3038</v>
      </c>
      <c r="B69" s="388" t="s">
        <v>3259</v>
      </c>
      <c r="C69" s="263">
        <v>91273</v>
      </c>
      <c r="D69" s="250">
        <v>4</v>
      </c>
      <c r="E69" s="250">
        <v>1</v>
      </c>
      <c r="F69" s="249">
        <v>49690</v>
      </c>
      <c r="H69" s="151">
        <f t="shared" si="65"/>
        <v>49690</v>
      </c>
      <c r="I69" s="152">
        <v>0.48415000000000002</v>
      </c>
      <c r="J69" s="251">
        <v>999775</v>
      </c>
      <c r="K69" s="251">
        <v>355018</v>
      </c>
      <c r="L69" s="158">
        <f t="shared" si="79"/>
        <v>1354793</v>
      </c>
      <c r="M69" s="153">
        <f t="shared" si="80"/>
        <v>14.843305249087901</v>
      </c>
      <c r="N69" s="251">
        <v>189337</v>
      </c>
      <c r="O69" s="251">
        <v>29100</v>
      </c>
      <c r="P69" s="268">
        <v>14300</v>
      </c>
      <c r="Q69" s="158">
        <v>232737</v>
      </c>
      <c r="R69" s="153">
        <f t="shared" si="81"/>
        <v>2.5498997512955639</v>
      </c>
      <c r="S69" s="268">
        <v>270141</v>
      </c>
      <c r="T69" s="251">
        <v>1857671</v>
      </c>
      <c r="U69" s="251">
        <v>0</v>
      </c>
      <c r="V69" s="251">
        <v>1857671</v>
      </c>
      <c r="W69" s="153">
        <f t="shared" si="82"/>
        <v>20.352908308042903</v>
      </c>
      <c r="X69" s="154">
        <f t="shared" si="83"/>
        <v>0.72929652236590869</v>
      </c>
      <c r="Y69" s="154">
        <f t="shared" si="84"/>
        <v>0.12528429415111716</v>
      </c>
      <c r="Z69" s="154">
        <f t="shared" si="85"/>
        <v>0.14541918348297411</v>
      </c>
      <c r="AA69" s="154">
        <f t="shared" si="86"/>
        <v>0</v>
      </c>
      <c r="AB69" s="251">
        <v>36693</v>
      </c>
      <c r="AE69" s="251"/>
      <c r="AF69" s="251">
        <v>1857671</v>
      </c>
      <c r="AG69" s="251">
        <v>1654250</v>
      </c>
      <c r="AH69" s="251"/>
      <c r="AI69" s="158">
        <f t="shared" si="66"/>
        <v>3511921</v>
      </c>
      <c r="AJ69" s="153">
        <f t="shared" si="87"/>
        <v>38.477107140118108</v>
      </c>
      <c r="AK69" s="251">
        <v>137249</v>
      </c>
      <c r="AL69" s="251">
        <v>0</v>
      </c>
      <c r="AM69" s="251">
        <v>101625</v>
      </c>
      <c r="AN69" s="251"/>
      <c r="AO69" s="158">
        <f t="shared" si="88"/>
        <v>101625</v>
      </c>
      <c r="AP69" s="251">
        <v>1895724</v>
      </c>
      <c r="AQ69" s="155">
        <f t="shared" si="89"/>
        <v>20.76982240092908</v>
      </c>
      <c r="AR69" s="251"/>
      <c r="AS69" s="268">
        <v>109219</v>
      </c>
      <c r="AT69" s="251">
        <v>0</v>
      </c>
      <c r="AU69" s="268">
        <v>0</v>
      </c>
      <c r="AV69" s="268">
        <v>0</v>
      </c>
      <c r="AW69" s="251"/>
      <c r="AX69" s="268">
        <v>0</v>
      </c>
      <c r="AY69" s="158">
        <f t="shared" si="90"/>
        <v>109219</v>
      </c>
      <c r="AZ69" s="249">
        <v>204815</v>
      </c>
      <c r="BA69" s="152">
        <f t="shared" si="67"/>
        <v>2.2439823386981912</v>
      </c>
      <c r="BB69" s="269">
        <v>6647</v>
      </c>
      <c r="BC69" s="269">
        <v>6647</v>
      </c>
      <c r="BD69" s="269">
        <v>11551</v>
      </c>
      <c r="BE69" s="269">
        <v>1752</v>
      </c>
      <c r="BF69" s="269">
        <v>73947</v>
      </c>
      <c r="BG69" s="269">
        <v>3</v>
      </c>
      <c r="BH69" s="269">
        <v>89</v>
      </c>
      <c r="BI69" s="249">
        <v>0</v>
      </c>
      <c r="BJ69" s="159">
        <f t="shared" si="91"/>
        <v>92</v>
      </c>
      <c r="BK69" s="269">
        <v>315008</v>
      </c>
      <c r="BL69" s="152">
        <f t="shared" si="68"/>
        <v>3.4512725559584982</v>
      </c>
      <c r="BM69" s="269">
        <v>219</v>
      </c>
      <c r="BN69" s="249">
        <v>172273</v>
      </c>
      <c r="BO69" s="152">
        <f t="shared" si="69"/>
        <v>1.8874475474674877</v>
      </c>
      <c r="BP69" s="249">
        <v>68536</v>
      </c>
      <c r="BQ69" s="249">
        <v>0</v>
      </c>
      <c r="BR69" s="276">
        <f t="shared" si="92"/>
        <v>214122</v>
      </c>
      <c r="BS69" s="276">
        <v>97131</v>
      </c>
      <c r="BT69" s="269">
        <v>311253</v>
      </c>
      <c r="BU69" s="152">
        <f t="shared" si="70"/>
        <v>3.4101322406407153</v>
      </c>
      <c r="BV69" s="151">
        <f t="shared" si="60"/>
        <v>10998.339222614841</v>
      </c>
      <c r="BW69" s="152">
        <f t="shared" si="71"/>
        <v>33.946231868251715</v>
      </c>
      <c r="BX69" s="152">
        <f t="shared" si="72"/>
        <v>1.1104915014770733</v>
      </c>
      <c r="BY69" s="152">
        <f t="shared" si="93"/>
        <v>0.98807966781796019</v>
      </c>
      <c r="BZ69" s="249">
        <v>348</v>
      </c>
      <c r="CA69" s="249">
        <v>37</v>
      </c>
      <c r="CB69" s="249">
        <v>413</v>
      </c>
      <c r="CC69" s="156">
        <f t="shared" si="94"/>
        <v>798</v>
      </c>
      <c r="CD69" s="249">
        <v>5884</v>
      </c>
      <c r="CE69" s="249">
        <v>366</v>
      </c>
      <c r="CF69" s="249">
        <v>4049</v>
      </c>
      <c r="CG69" s="159">
        <f t="shared" si="95"/>
        <v>10299</v>
      </c>
      <c r="CH69" s="152">
        <f t="shared" si="73"/>
        <v>0.11283731223910685</v>
      </c>
      <c r="CI69" s="249">
        <v>280284</v>
      </c>
      <c r="CJ69" s="152">
        <f t="shared" si="74"/>
        <v>3.0708314616589791</v>
      </c>
      <c r="CK69" s="269">
        <v>43441</v>
      </c>
      <c r="CL69" s="252" t="s">
        <v>25</v>
      </c>
      <c r="CM69" s="252" t="s">
        <v>25</v>
      </c>
      <c r="CN69" s="252" t="s">
        <v>25</v>
      </c>
      <c r="CO69" s="253">
        <v>8</v>
      </c>
      <c r="CP69" s="151">
        <f t="shared" si="99"/>
        <v>11409.125</v>
      </c>
      <c r="CQ69" s="253">
        <v>0</v>
      </c>
      <c r="CR69" s="253">
        <v>20.3</v>
      </c>
      <c r="CS69" s="223">
        <f t="shared" si="96"/>
        <v>28.3</v>
      </c>
      <c r="CT69" s="151">
        <f t="shared" si="61"/>
        <v>3225.1943462897525</v>
      </c>
      <c r="CU69" s="249">
        <v>0</v>
      </c>
      <c r="CV69" s="251">
        <v>72209</v>
      </c>
      <c r="CW69" s="253">
        <v>40</v>
      </c>
      <c r="CX69" s="252" t="s">
        <v>25</v>
      </c>
      <c r="CY69" s="252" t="s">
        <v>25</v>
      </c>
      <c r="CZ69" s="249">
        <v>15451</v>
      </c>
      <c r="DA69" s="249">
        <v>12033</v>
      </c>
      <c r="DB69" s="249">
        <v>78</v>
      </c>
      <c r="DC69" s="249">
        <v>80437</v>
      </c>
      <c r="DD69" s="249" t="s">
        <v>3137</v>
      </c>
      <c r="DE69" s="249">
        <v>62782</v>
      </c>
      <c r="DF69" s="249">
        <v>12324</v>
      </c>
      <c r="DG69" s="249">
        <v>52</v>
      </c>
      <c r="DH69" s="253">
        <f t="shared" si="97"/>
        <v>0.13502350092579404</v>
      </c>
      <c r="DI69" s="249">
        <v>42</v>
      </c>
      <c r="DJ69" s="249">
        <v>42</v>
      </c>
      <c r="DK69" s="151">
        <v>6456</v>
      </c>
      <c r="DL69" s="151">
        <v>9169</v>
      </c>
      <c r="DM69" s="248"/>
      <c r="DN69" s="252" t="s">
        <v>3121</v>
      </c>
      <c r="DO69" s="252" t="s">
        <v>1950</v>
      </c>
      <c r="DP69" s="252"/>
      <c r="DQ69" s="250"/>
      <c r="DR69" s="261" t="s">
        <v>3038</v>
      </c>
      <c r="DS69" s="248" t="s">
        <v>3038</v>
      </c>
      <c r="DT69" s="275">
        <v>43282</v>
      </c>
      <c r="DU69" s="275">
        <v>43646</v>
      </c>
      <c r="DV69" s="261" t="s">
        <v>3038</v>
      </c>
      <c r="DW69" s="152">
        <f t="shared" si="75"/>
        <v>0.7508901865831078</v>
      </c>
      <c r="DX69" s="152">
        <f t="shared" si="76"/>
        <v>0</v>
      </c>
      <c r="DY69" s="152">
        <f t="shared" si="77"/>
        <v>2.3459511575164615</v>
      </c>
      <c r="DZ69" s="152">
        <f t="shared" si="78"/>
        <v>1.0641810831242535</v>
      </c>
      <c r="EA69" s="153">
        <f t="shared" si="62"/>
        <v>0.66984483014809415</v>
      </c>
      <c r="EB69" s="243">
        <f t="shared" si="98"/>
        <v>0.29959539179046857</v>
      </c>
    </row>
    <row r="70" spans="1:132" ht="15" thickBot="1" x14ac:dyDescent="0.35">
      <c r="A70" s="261" t="s">
        <v>3039</v>
      </c>
      <c r="B70" s="388" t="s">
        <v>3260</v>
      </c>
      <c r="C70" s="263">
        <v>142342</v>
      </c>
      <c r="D70" s="250">
        <v>2</v>
      </c>
      <c r="E70" s="250">
        <v>1</v>
      </c>
      <c r="F70" s="249">
        <v>77500</v>
      </c>
      <c r="H70" s="151">
        <f t="shared" si="65"/>
        <v>77500</v>
      </c>
      <c r="I70" s="152">
        <v>0.54446000000000006</v>
      </c>
      <c r="J70" s="251">
        <v>1510308</v>
      </c>
      <c r="K70" s="251">
        <v>624909</v>
      </c>
      <c r="L70" s="158">
        <f t="shared" si="79"/>
        <v>2135217</v>
      </c>
      <c r="M70" s="153">
        <f t="shared" si="80"/>
        <v>15.000611204001629</v>
      </c>
      <c r="N70" s="251">
        <v>213874</v>
      </c>
      <c r="O70" s="251">
        <v>34898</v>
      </c>
      <c r="P70" s="268">
        <v>39889</v>
      </c>
      <c r="Q70" s="158">
        <v>288661</v>
      </c>
      <c r="R70" s="153">
        <f t="shared" si="81"/>
        <v>2.0279397507411727</v>
      </c>
      <c r="S70" s="268">
        <v>774352</v>
      </c>
      <c r="T70" s="251">
        <v>3198230</v>
      </c>
      <c r="U70" s="251">
        <v>0</v>
      </c>
      <c r="V70" s="251">
        <v>3198230</v>
      </c>
      <c r="W70" s="153">
        <f t="shared" si="82"/>
        <v>22.468631886583019</v>
      </c>
      <c r="X70" s="154">
        <f t="shared" si="83"/>
        <v>0.66762459235264504</v>
      </c>
      <c r="Y70" s="154">
        <f t="shared" si="84"/>
        <v>9.0256485618607787E-2</v>
      </c>
      <c r="Z70" s="154">
        <f t="shared" si="85"/>
        <v>0.24211892202874716</v>
      </c>
      <c r="AA70" s="154">
        <f t="shared" si="86"/>
        <v>0</v>
      </c>
      <c r="AB70" s="251">
        <v>0</v>
      </c>
      <c r="AE70" s="251"/>
      <c r="AF70" s="251">
        <v>3198230</v>
      </c>
      <c r="AG70" s="251">
        <v>3447651</v>
      </c>
      <c r="AH70" s="251"/>
      <c r="AI70" s="158">
        <f t="shared" si="66"/>
        <v>6645881</v>
      </c>
      <c r="AJ70" s="153">
        <f t="shared" si="87"/>
        <v>46.689529443172077</v>
      </c>
      <c r="AK70" s="251">
        <v>173964</v>
      </c>
      <c r="AL70" s="251">
        <v>16054</v>
      </c>
      <c r="AM70" s="251">
        <v>102268</v>
      </c>
      <c r="AN70" s="251"/>
      <c r="AO70" s="158">
        <f t="shared" si="88"/>
        <v>102268</v>
      </c>
      <c r="AP70" s="251">
        <v>3739937</v>
      </c>
      <c r="AQ70" s="155">
        <f t="shared" si="89"/>
        <v>26.274304140731477</v>
      </c>
      <c r="AR70" s="251"/>
      <c r="AS70" s="268">
        <v>10545</v>
      </c>
      <c r="AT70" s="251">
        <v>0</v>
      </c>
      <c r="AU70" s="268">
        <v>0</v>
      </c>
      <c r="AV70" s="268">
        <v>0</v>
      </c>
      <c r="AW70" s="251"/>
      <c r="AX70" s="268">
        <v>0</v>
      </c>
      <c r="AY70" s="158">
        <f t="shared" si="90"/>
        <v>10545</v>
      </c>
      <c r="AZ70" s="249">
        <v>213245</v>
      </c>
      <c r="BA70" s="152">
        <f t="shared" si="67"/>
        <v>1.4981172106616458</v>
      </c>
      <c r="BB70" s="269">
        <v>5350</v>
      </c>
      <c r="BC70" s="269">
        <v>5350</v>
      </c>
      <c r="BD70" s="269">
        <v>14723</v>
      </c>
      <c r="BE70" s="269">
        <v>2179</v>
      </c>
      <c r="BF70" s="269">
        <v>145102</v>
      </c>
      <c r="BG70" s="269">
        <v>6</v>
      </c>
      <c r="BH70" s="269">
        <v>89</v>
      </c>
      <c r="BI70" s="249">
        <v>0</v>
      </c>
      <c r="BJ70" s="159">
        <f t="shared" si="91"/>
        <v>95</v>
      </c>
      <c r="BK70" s="269">
        <v>421488</v>
      </c>
      <c r="BL70" s="152">
        <f t="shared" si="68"/>
        <v>2.9610937038962497</v>
      </c>
      <c r="BM70" s="269">
        <v>230</v>
      </c>
      <c r="BN70" s="249">
        <v>56961</v>
      </c>
      <c r="BO70" s="152">
        <f t="shared" si="69"/>
        <v>0.40017001306712002</v>
      </c>
      <c r="BP70" s="249">
        <v>147855</v>
      </c>
      <c r="BQ70" s="249">
        <v>0</v>
      </c>
      <c r="BR70" s="276">
        <f t="shared" si="92"/>
        <v>329596</v>
      </c>
      <c r="BS70" s="276">
        <v>144437</v>
      </c>
      <c r="BT70" s="269">
        <v>474033</v>
      </c>
      <c r="BU70" s="152">
        <f t="shared" si="70"/>
        <v>3.3302398448806394</v>
      </c>
      <c r="BV70" s="151">
        <f t="shared" si="60"/>
        <v>10154.948586118251</v>
      </c>
      <c r="BW70" s="152">
        <f t="shared" si="71"/>
        <v>69.111094911794723</v>
      </c>
      <c r="BX70" s="152">
        <f t="shared" si="72"/>
        <v>1.8655665575215667</v>
      </c>
      <c r="BY70" s="152">
        <f t="shared" si="93"/>
        <v>1.1246654709030861</v>
      </c>
      <c r="BZ70" s="249">
        <v>744</v>
      </c>
      <c r="CA70" s="249">
        <v>71</v>
      </c>
      <c r="CB70" s="249">
        <v>115</v>
      </c>
      <c r="CC70" s="156">
        <f t="shared" si="94"/>
        <v>930</v>
      </c>
      <c r="CD70" s="249">
        <v>16487</v>
      </c>
      <c r="CE70" s="249">
        <v>552</v>
      </c>
      <c r="CF70" s="249">
        <v>1574</v>
      </c>
      <c r="CG70" s="159">
        <f t="shared" si="95"/>
        <v>18613</v>
      </c>
      <c r="CH70" s="152">
        <f t="shared" si="73"/>
        <v>0.13076252968203342</v>
      </c>
      <c r="CI70" s="249">
        <v>254096</v>
      </c>
      <c r="CJ70" s="152">
        <f t="shared" si="74"/>
        <v>1.7851091034269575</v>
      </c>
      <c r="CK70" s="269">
        <v>74881</v>
      </c>
      <c r="CL70" s="252" t="s">
        <v>25</v>
      </c>
      <c r="CM70" s="252" t="s">
        <v>25</v>
      </c>
      <c r="CN70" s="252" t="s">
        <v>25</v>
      </c>
      <c r="CO70" s="253">
        <v>11.3</v>
      </c>
      <c r="CP70" s="253">
        <v>0</v>
      </c>
      <c r="CQ70" s="253">
        <v>2</v>
      </c>
      <c r="CR70" s="253">
        <v>33.380000000000003</v>
      </c>
      <c r="CS70" s="223">
        <f t="shared" si="96"/>
        <v>46.680000000000007</v>
      </c>
      <c r="CT70" s="151">
        <f t="shared" si="61"/>
        <v>3049.3144815766918</v>
      </c>
      <c r="CU70" s="249">
        <v>90</v>
      </c>
      <c r="CV70" s="251">
        <v>90079</v>
      </c>
      <c r="CW70" s="253">
        <v>40</v>
      </c>
      <c r="CX70" s="252" t="s">
        <v>25</v>
      </c>
      <c r="CY70" s="252" t="s">
        <v>25</v>
      </c>
      <c r="CZ70" s="249">
        <v>6</v>
      </c>
      <c r="DA70" s="249">
        <v>365</v>
      </c>
      <c r="DB70" s="249">
        <v>89</v>
      </c>
      <c r="DC70" s="249">
        <v>38115</v>
      </c>
      <c r="DD70" s="249">
        <v>40860</v>
      </c>
      <c r="DE70" s="249">
        <v>183179</v>
      </c>
      <c r="DF70" s="249">
        <v>9564</v>
      </c>
      <c r="DG70" s="249">
        <v>52</v>
      </c>
      <c r="DH70" s="253">
        <f t="shared" si="97"/>
        <v>6.7190288179174107E-2</v>
      </c>
      <c r="DI70" s="249">
        <v>45</v>
      </c>
      <c r="DJ70" s="249">
        <v>45</v>
      </c>
      <c r="DL70" s="151">
        <v>6859</v>
      </c>
      <c r="DM70" s="248"/>
      <c r="DN70" s="252" t="s">
        <v>3122</v>
      </c>
      <c r="DO70" s="252" t="s">
        <v>1950</v>
      </c>
      <c r="DP70" s="252"/>
      <c r="DQ70" s="250"/>
      <c r="DR70" s="261" t="s">
        <v>3039</v>
      </c>
      <c r="DS70" s="248" t="s">
        <v>3039</v>
      </c>
      <c r="DT70" s="275">
        <v>43282</v>
      </c>
      <c r="DU70" s="275">
        <v>43646</v>
      </c>
      <c r="DV70" s="261" t="s">
        <v>3039</v>
      </c>
      <c r="DW70" s="152">
        <f t="shared" si="75"/>
        <v>1.0387306627699484</v>
      </c>
      <c r="DX70" s="152">
        <f t="shared" si="76"/>
        <v>0</v>
      </c>
      <c r="DY70" s="152">
        <f t="shared" si="77"/>
        <v>2.3155217715080583</v>
      </c>
      <c r="DZ70" s="152">
        <f t="shared" si="78"/>
        <v>1.0147180733725816</v>
      </c>
      <c r="EA70" s="153">
        <f t="shared" ref="EA70:EA83" si="100">N70/(BP70+BR70)</f>
        <v>0.44794963252773584</v>
      </c>
      <c r="EB70" s="243">
        <v>0</v>
      </c>
    </row>
    <row r="71" spans="1:132" ht="15" thickBot="1" x14ac:dyDescent="0.35">
      <c r="A71" s="261" t="s">
        <v>3040</v>
      </c>
      <c r="B71" s="388" t="s">
        <v>3261</v>
      </c>
      <c r="C71" s="263">
        <v>68772</v>
      </c>
      <c r="D71" s="250">
        <v>2</v>
      </c>
      <c r="E71" s="250">
        <v>0</v>
      </c>
      <c r="F71" s="249">
        <v>15281</v>
      </c>
      <c r="H71" s="151">
        <f t="shared" si="65"/>
        <v>15281</v>
      </c>
      <c r="I71" s="152">
        <v>0.25124999999999997</v>
      </c>
      <c r="J71" s="251">
        <v>389001</v>
      </c>
      <c r="K71" s="251">
        <v>154549</v>
      </c>
      <c r="L71" s="158">
        <f t="shared" si="79"/>
        <v>543550</v>
      </c>
      <c r="M71" s="153">
        <f t="shared" si="80"/>
        <v>7.9036526493340311</v>
      </c>
      <c r="N71" s="251">
        <v>50478</v>
      </c>
      <c r="O71" s="251">
        <v>21455</v>
      </c>
      <c r="P71" s="268">
        <v>6115</v>
      </c>
      <c r="Q71" s="158">
        <v>78048</v>
      </c>
      <c r="R71" s="153">
        <f t="shared" si="81"/>
        <v>1.1348804746117607</v>
      </c>
      <c r="S71" s="268">
        <v>61883</v>
      </c>
      <c r="T71" s="251">
        <v>683481</v>
      </c>
      <c r="U71" s="251">
        <v>0</v>
      </c>
      <c r="V71" s="251">
        <v>683481</v>
      </c>
      <c r="W71" s="153">
        <f t="shared" si="82"/>
        <v>9.9383615424882219</v>
      </c>
      <c r="X71" s="154">
        <f t="shared" si="83"/>
        <v>0.79526716909467854</v>
      </c>
      <c r="Y71" s="154">
        <f t="shared" si="84"/>
        <v>0.1141919087728847</v>
      </c>
      <c r="Z71" s="154">
        <f t="shared" si="85"/>
        <v>9.0540922132436752E-2</v>
      </c>
      <c r="AA71" s="154">
        <f t="shared" si="86"/>
        <v>0</v>
      </c>
      <c r="AB71" s="251">
        <v>0</v>
      </c>
      <c r="AE71" s="251"/>
      <c r="AF71" s="251">
        <v>683481</v>
      </c>
      <c r="AG71" s="251">
        <v>562594</v>
      </c>
      <c r="AH71" s="251"/>
      <c r="AI71" s="158">
        <f t="shared" si="66"/>
        <v>1246075</v>
      </c>
      <c r="AJ71" s="153">
        <f t="shared" si="87"/>
        <v>18.118929215378351</v>
      </c>
      <c r="AK71" s="251">
        <v>123759</v>
      </c>
      <c r="AL71" s="251">
        <v>7752</v>
      </c>
      <c r="AM71" s="251">
        <v>25528</v>
      </c>
      <c r="AN71" s="251"/>
      <c r="AO71" s="158">
        <f t="shared" si="88"/>
        <v>25528</v>
      </c>
      <c r="AP71" s="251">
        <v>719633</v>
      </c>
      <c r="AQ71" s="155">
        <f t="shared" si="89"/>
        <v>10.464040597917757</v>
      </c>
      <c r="AR71" s="251"/>
      <c r="AS71" s="268">
        <v>0</v>
      </c>
      <c r="AT71" s="251">
        <v>0</v>
      </c>
      <c r="AU71" s="268">
        <v>0</v>
      </c>
      <c r="AV71" s="268">
        <v>0</v>
      </c>
      <c r="AW71" s="251"/>
      <c r="AX71" s="268">
        <v>0</v>
      </c>
      <c r="AY71" s="158">
        <f t="shared" si="90"/>
        <v>0</v>
      </c>
      <c r="AZ71" s="249">
        <v>144105</v>
      </c>
      <c r="BA71" s="152">
        <f t="shared" si="67"/>
        <v>2.0954021985691851</v>
      </c>
      <c r="BB71" s="269">
        <v>5811</v>
      </c>
      <c r="BC71" s="269">
        <v>5811</v>
      </c>
      <c r="BD71" s="269">
        <v>13902</v>
      </c>
      <c r="BE71" s="269">
        <v>2179</v>
      </c>
      <c r="BF71" s="269">
        <v>144058</v>
      </c>
      <c r="BG71" s="269">
        <v>1</v>
      </c>
      <c r="BH71" s="269">
        <v>89</v>
      </c>
      <c r="BI71" s="249">
        <v>0</v>
      </c>
      <c r="BJ71" s="159">
        <f t="shared" si="91"/>
        <v>90</v>
      </c>
      <c r="BK71" s="269">
        <v>345117</v>
      </c>
      <c r="BL71" s="152">
        <f t="shared" si="68"/>
        <v>5.0182777874716455</v>
      </c>
      <c r="BM71" s="269">
        <v>0</v>
      </c>
      <c r="BN71" s="249">
        <v>38366</v>
      </c>
      <c r="BO71" s="152">
        <f t="shared" si="69"/>
        <v>0.55787238992613275</v>
      </c>
      <c r="BP71" s="249">
        <v>35862</v>
      </c>
      <c r="BQ71" s="249">
        <v>0</v>
      </c>
      <c r="BR71" s="276">
        <f t="shared" si="92"/>
        <v>140078</v>
      </c>
      <c r="BS71" s="276">
        <v>59744</v>
      </c>
      <c r="BT71" s="269">
        <v>199822</v>
      </c>
      <c r="BU71" s="152">
        <f t="shared" si="70"/>
        <v>2.9055720351305765</v>
      </c>
      <c r="BV71" s="151">
        <f t="shared" si="60"/>
        <v>20858.246346555323</v>
      </c>
      <c r="BW71" s="152">
        <f t="shared" si="71"/>
        <v>36.983527669813064</v>
      </c>
      <c r="BX71" s="152">
        <f t="shared" si="72"/>
        <v>3.8486517719568565</v>
      </c>
      <c r="BY71" s="152">
        <f t="shared" si="93"/>
        <v>0.57899784710692315</v>
      </c>
      <c r="BZ71" s="249">
        <v>460</v>
      </c>
      <c r="CA71" s="249">
        <v>23</v>
      </c>
      <c r="CB71" s="249">
        <v>152</v>
      </c>
      <c r="CC71" s="156">
        <f t="shared" si="94"/>
        <v>635</v>
      </c>
      <c r="CD71" s="249">
        <v>3691</v>
      </c>
      <c r="CE71" s="249">
        <v>117</v>
      </c>
      <c r="CF71" s="249">
        <v>2633</v>
      </c>
      <c r="CG71" s="159">
        <f t="shared" si="95"/>
        <v>6441</v>
      </c>
      <c r="CH71" s="152">
        <f t="shared" si="73"/>
        <v>9.3657302390507763E-2</v>
      </c>
      <c r="CI71" s="249">
        <v>51920</v>
      </c>
      <c r="CJ71" s="152">
        <f t="shared" si="74"/>
        <v>0.75495841330774149</v>
      </c>
      <c r="CK71" s="269">
        <v>27739</v>
      </c>
      <c r="CL71" s="252" t="s">
        <v>25</v>
      </c>
      <c r="CM71" s="252" t="s">
        <v>25</v>
      </c>
      <c r="CN71" s="252" t="s">
        <v>25</v>
      </c>
      <c r="CO71" s="253">
        <v>1</v>
      </c>
      <c r="CP71" s="253">
        <v>0</v>
      </c>
      <c r="CQ71" s="253">
        <v>2</v>
      </c>
      <c r="CR71" s="253">
        <v>6.58</v>
      </c>
      <c r="CS71" s="223">
        <f t="shared" si="96"/>
        <v>9.58</v>
      </c>
      <c r="CT71" s="151">
        <f t="shared" si="61"/>
        <v>7178.7056367432151</v>
      </c>
      <c r="CU71" s="249">
        <v>1264</v>
      </c>
      <c r="CV71" s="251">
        <v>65772</v>
      </c>
      <c r="CW71" s="253">
        <v>30</v>
      </c>
      <c r="CX71" s="252" t="s">
        <v>25</v>
      </c>
      <c r="CY71" s="252" t="s">
        <v>25</v>
      </c>
      <c r="CZ71" s="249">
        <v>0</v>
      </c>
      <c r="DA71" s="249">
        <v>0</v>
      </c>
      <c r="DB71" s="249">
        <v>33</v>
      </c>
      <c r="DC71" s="249">
        <v>11647</v>
      </c>
      <c r="DD71" s="249">
        <v>11589</v>
      </c>
      <c r="DE71" s="249">
        <v>64479</v>
      </c>
      <c r="DF71" s="249">
        <v>6838</v>
      </c>
      <c r="DG71" s="249">
        <v>52</v>
      </c>
      <c r="DH71" s="253">
        <f t="shared" si="97"/>
        <v>9.9430000581632066E-2</v>
      </c>
      <c r="DI71" s="249">
        <v>32</v>
      </c>
      <c r="DJ71" s="249">
        <v>34</v>
      </c>
      <c r="DL71" s="151">
        <v>5403</v>
      </c>
      <c r="DM71" s="248"/>
      <c r="DN71" s="252" t="s">
        <v>3123</v>
      </c>
      <c r="DO71" s="252" t="s">
        <v>1950</v>
      </c>
      <c r="DP71" s="252"/>
      <c r="DQ71" s="250"/>
      <c r="DR71" s="261" t="s">
        <v>3040</v>
      </c>
      <c r="DS71" s="248" t="s">
        <v>3040</v>
      </c>
      <c r="DT71" s="275">
        <v>43282</v>
      </c>
      <c r="DU71" s="275">
        <v>43646</v>
      </c>
      <c r="DV71" s="261" t="s">
        <v>3040</v>
      </c>
      <c r="DW71" s="152">
        <f t="shared" si="75"/>
        <v>0.52146222299773159</v>
      </c>
      <c r="DX71" s="152">
        <f t="shared" si="76"/>
        <v>0</v>
      </c>
      <c r="DY71" s="152">
        <f t="shared" si="77"/>
        <v>2.0368463909730705</v>
      </c>
      <c r="DZ71" s="152">
        <f t="shared" si="78"/>
        <v>0.86872564415750597</v>
      </c>
      <c r="EA71" s="153">
        <f t="shared" si="100"/>
        <v>0.28690462657724225</v>
      </c>
      <c r="EB71" s="243">
        <v>0</v>
      </c>
    </row>
    <row r="72" spans="1:132" ht="15" thickBot="1" x14ac:dyDescent="0.35">
      <c r="A72" s="261" t="s">
        <v>3172</v>
      </c>
      <c r="B72" s="388" t="s">
        <v>3276</v>
      </c>
      <c r="C72" s="263">
        <v>64019</v>
      </c>
      <c r="D72" s="250">
        <v>3</v>
      </c>
      <c r="E72" s="250">
        <v>0</v>
      </c>
      <c r="F72" s="249">
        <v>16320</v>
      </c>
      <c r="H72" s="151">
        <f t="shared" si="65"/>
        <v>16320</v>
      </c>
      <c r="I72" s="152">
        <v>0.25491999999999998</v>
      </c>
      <c r="J72" s="251">
        <v>434079</v>
      </c>
      <c r="K72" s="251">
        <v>168969</v>
      </c>
      <c r="L72" s="158">
        <f t="shared" si="79"/>
        <v>603048</v>
      </c>
      <c r="M72" s="153">
        <f t="shared" si="80"/>
        <v>9.419828488417501</v>
      </c>
      <c r="N72" s="251">
        <v>89427</v>
      </c>
      <c r="O72" s="251">
        <v>16572</v>
      </c>
      <c r="P72" s="268">
        <v>11000</v>
      </c>
      <c r="Q72" s="158">
        <v>116999</v>
      </c>
      <c r="R72" s="153">
        <f t="shared" si="81"/>
        <v>1.82756681610147</v>
      </c>
      <c r="S72" s="268">
        <v>127516</v>
      </c>
      <c r="T72" s="251">
        <v>847563</v>
      </c>
      <c r="U72" s="251">
        <v>0</v>
      </c>
      <c r="V72" s="251">
        <v>847563</v>
      </c>
      <c r="W72" s="153">
        <f t="shared" si="82"/>
        <v>13.239241475187054</v>
      </c>
      <c r="X72" s="154">
        <f t="shared" si="83"/>
        <v>0.71150817107400866</v>
      </c>
      <c r="Y72" s="154">
        <f t="shared" si="84"/>
        <v>0.13804165590050532</v>
      </c>
      <c r="Z72" s="154">
        <f t="shared" si="85"/>
        <v>0.15045017302548602</v>
      </c>
      <c r="AA72" s="154">
        <f t="shared" si="86"/>
        <v>0</v>
      </c>
      <c r="AB72" s="251">
        <v>4650</v>
      </c>
      <c r="AE72" s="251"/>
      <c r="AF72" s="251">
        <v>847563</v>
      </c>
      <c r="AG72" s="251">
        <v>675972</v>
      </c>
      <c r="AH72" s="251"/>
      <c r="AI72" s="158">
        <f t="shared" si="66"/>
        <v>1523535</v>
      </c>
      <c r="AJ72" s="153">
        <f t="shared" si="87"/>
        <v>23.798169293490997</v>
      </c>
      <c r="AK72" s="251">
        <v>120178</v>
      </c>
      <c r="AL72" s="251">
        <v>0</v>
      </c>
      <c r="AM72" s="251">
        <v>29579</v>
      </c>
      <c r="AN72" s="251"/>
      <c r="AO72" s="158">
        <f t="shared" si="88"/>
        <v>29579</v>
      </c>
      <c r="AP72" s="251">
        <v>829729</v>
      </c>
      <c r="AQ72" s="155">
        <f t="shared" si="89"/>
        <v>12.960667926709258</v>
      </c>
      <c r="AR72" s="251"/>
      <c r="AS72" s="268">
        <v>0</v>
      </c>
      <c r="AT72" s="251">
        <v>0</v>
      </c>
      <c r="AU72" s="268">
        <v>0</v>
      </c>
      <c r="AV72" s="268">
        <v>0</v>
      </c>
      <c r="AW72" s="251"/>
      <c r="AX72" s="268">
        <v>0</v>
      </c>
      <c r="AY72" s="158">
        <f t="shared" si="90"/>
        <v>0</v>
      </c>
      <c r="AZ72" s="249">
        <v>86483</v>
      </c>
      <c r="BA72" s="152">
        <f t="shared" si="67"/>
        <v>1.3508958278011216</v>
      </c>
      <c r="BB72" s="269">
        <v>756</v>
      </c>
      <c r="BC72" s="269">
        <v>756</v>
      </c>
      <c r="BD72" s="269">
        <v>4952</v>
      </c>
      <c r="BE72" s="269">
        <v>2067</v>
      </c>
      <c r="BF72" s="269">
        <v>107589</v>
      </c>
      <c r="BG72" s="269">
        <v>7</v>
      </c>
      <c r="BH72" s="269">
        <v>89</v>
      </c>
      <c r="BI72" s="249">
        <v>0</v>
      </c>
      <c r="BJ72" s="159">
        <f t="shared" si="91"/>
        <v>96</v>
      </c>
      <c r="BK72" s="269">
        <v>227411</v>
      </c>
      <c r="BL72" s="152">
        <f t="shared" si="68"/>
        <v>3.5522423030662771</v>
      </c>
      <c r="BM72" s="269">
        <v>75</v>
      </c>
      <c r="BN72" s="249">
        <v>28340</v>
      </c>
      <c r="BO72" s="152">
        <f t="shared" si="69"/>
        <v>0.44268107905465565</v>
      </c>
      <c r="BP72" s="249">
        <v>41570</v>
      </c>
      <c r="BQ72" s="249">
        <v>0</v>
      </c>
      <c r="BR72" s="276">
        <f t="shared" si="92"/>
        <v>110506</v>
      </c>
      <c r="BS72" s="276">
        <v>12587</v>
      </c>
      <c r="BT72" s="269">
        <v>123093</v>
      </c>
      <c r="BU72" s="152">
        <f t="shared" si="70"/>
        <v>1.9227573064246553</v>
      </c>
      <c r="BV72" s="151">
        <v>0</v>
      </c>
      <c r="BW72" s="152">
        <f t="shared" si="71"/>
        <v>22.631549917264202</v>
      </c>
      <c r="BX72" s="152">
        <f t="shared" si="72"/>
        <v>2.6340195155353934</v>
      </c>
      <c r="BY72" s="152">
        <f t="shared" si="93"/>
        <v>0.54127988531777271</v>
      </c>
      <c r="BZ72" s="249">
        <v>39</v>
      </c>
      <c r="CA72" s="249">
        <v>0</v>
      </c>
      <c r="CB72" s="249">
        <v>15</v>
      </c>
      <c r="CC72" s="156">
        <f t="shared" si="94"/>
        <v>54</v>
      </c>
      <c r="CD72" s="249">
        <v>762</v>
      </c>
      <c r="CE72" s="249">
        <v>0</v>
      </c>
      <c r="CF72" s="249">
        <v>125</v>
      </c>
      <c r="CG72" s="159">
        <f t="shared" si="95"/>
        <v>887</v>
      </c>
      <c r="CH72" s="152">
        <f t="shared" si="73"/>
        <v>1.385526171917712E-2</v>
      </c>
      <c r="CI72" s="249">
        <v>46732</v>
      </c>
      <c r="CJ72" s="152">
        <f t="shared" si="74"/>
        <v>0.72997078992174202</v>
      </c>
      <c r="CK72" s="269">
        <v>21355</v>
      </c>
      <c r="CL72" s="252" t="s">
        <v>25</v>
      </c>
      <c r="CM72" s="252" t="s">
        <v>25</v>
      </c>
      <c r="CN72" s="252" t="s">
        <v>25</v>
      </c>
      <c r="CO72" s="253">
        <v>1</v>
      </c>
      <c r="CP72" s="253">
        <v>0</v>
      </c>
      <c r="CQ72" s="253">
        <v>0</v>
      </c>
      <c r="CR72" s="253">
        <v>11.23</v>
      </c>
      <c r="CS72" s="223">
        <f t="shared" si="96"/>
        <v>12.23</v>
      </c>
      <c r="CT72" s="159">
        <f>CP72+CR72+CS72</f>
        <v>23.46</v>
      </c>
      <c r="CU72" s="249">
        <v>0</v>
      </c>
      <c r="CV72" s="251">
        <v>65076</v>
      </c>
      <c r="CW72" s="253">
        <v>20</v>
      </c>
      <c r="CX72" s="252" t="s">
        <v>25</v>
      </c>
      <c r="CY72" s="252" t="s">
        <v>25</v>
      </c>
      <c r="CZ72" s="249">
        <v>40</v>
      </c>
      <c r="DA72" s="249">
        <v>0</v>
      </c>
      <c r="DB72" s="249">
        <v>32</v>
      </c>
      <c r="DC72" s="249">
        <v>11684</v>
      </c>
      <c r="DD72" s="249" t="s">
        <v>3137</v>
      </c>
      <c r="DE72" s="249" t="s">
        <v>3137</v>
      </c>
      <c r="DF72" s="249">
        <v>7644</v>
      </c>
      <c r="DG72" s="249">
        <v>52</v>
      </c>
      <c r="DH72" s="253">
        <f t="shared" si="97"/>
        <v>0.11940205251565941</v>
      </c>
      <c r="DI72" s="249">
        <v>21</v>
      </c>
      <c r="DJ72" s="249">
        <v>34</v>
      </c>
      <c r="DL72" s="151">
        <v>5439</v>
      </c>
      <c r="DM72" s="248"/>
      <c r="DN72" s="252" t="s">
        <v>3124</v>
      </c>
      <c r="DO72" s="252" t="s">
        <v>1950</v>
      </c>
      <c r="DP72" s="252"/>
      <c r="DQ72" s="250"/>
      <c r="DR72" s="261" t="s">
        <v>3172</v>
      </c>
      <c r="DS72" s="248" t="s">
        <v>3041</v>
      </c>
      <c r="DT72" s="275">
        <v>43282</v>
      </c>
      <c r="DU72" s="275">
        <v>43646</v>
      </c>
      <c r="DV72" s="261" t="s">
        <v>3172</v>
      </c>
      <c r="DW72" s="152">
        <f t="shared" si="75"/>
        <v>0.64933847763945074</v>
      </c>
      <c r="DX72" s="152">
        <f t="shared" si="76"/>
        <v>0</v>
      </c>
      <c r="DY72" s="152">
        <f t="shared" si="77"/>
        <v>1.7261438010590606</v>
      </c>
      <c r="DZ72" s="152">
        <f t="shared" si="78"/>
        <v>0.19661350536559458</v>
      </c>
      <c r="EA72" s="153">
        <f t="shared" si="100"/>
        <v>0.58804150556300794</v>
      </c>
      <c r="EB72" s="243">
        <f t="shared" si="98"/>
        <v>1.3165964884404544</v>
      </c>
    </row>
    <row r="73" spans="1:132" ht="15" thickBot="1" x14ac:dyDescent="0.35">
      <c r="A73" s="261" t="s">
        <v>3173</v>
      </c>
      <c r="B73" s="388" t="s">
        <v>3262</v>
      </c>
      <c r="C73" s="263">
        <v>238427</v>
      </c>
      <c r="D73" s="250">
        <v>15</v>
      </c>
      <c r="E73" s="250">
        <v>2</v>
      </c>
      <c r="F73" s="249">
        <v>96025</v>
      </c>
      <c r="H73" s="151">
        <f t="shared" si="65"/>
        <v>96025</v>
      </c>
      <c r="I73" s="152">
        <v>0.40273999999999999</v>
      </c>
      <c r="J73" s="251">
        <v>1458259</v>
      </c>
      <c r="K73" s="251">
        <v>615138</v>
      </c>
      <c r="L73" s="158">
        <f t="shared" si="79"/>
        <v>2073397</v>
      </c>
      <c r="M73" s="153">
        <f t="shared" si="80"/>
        <v>8.6961501843331508</v>
      </c>
      <c r="N73" s="251">
        <v>137002</v>
      </c>
      <c r="O73" s="251">
        <v>58616</v>
      </c>
      <c r="P73" s="268">
        <v>12567</v>
      </c>
      <c r="Q73" s="158">
        <v>208185</v>
      </c>
      <c r="R73" s="153">
        <f t="shared" si="81"/>
        <v>0.87316033838449503</v>
      </c>
      <c r="S73" s="268">
        <v>463427</v>
      </c>
      <c r="T73" s="251">
        <v>2745009</v>
      </c>
      <c r="U73" s="251">
        <v>8511</v>
      </c>
      <c r="V73" s="251">
        <v>2745009</v>
      </c>
      <c r="W73" s="153">
        <f t="shared" si="82"/>
        <v>11.512995591942188</v>
      </c>
      <c r="X73" s="154">
        <f t="shared" si="83"/>
        <v>0.75533340692143447</v>
      </c>
      <c r="Y73" s="154">
        <f t="shared" si="84"/>
        <v>7.5841281394705806E-2</v>
      </c>
      <c r="Z73" s="154">
        <f t="shared" si="85"/>
        <v>0.1688253116838597</v>
      </c>
      <c r="AA73" s="154">
        <f t="shared" si="86"/>
        <v>3.1005362823947023E-3</v>
      </c>
      <c r="AB73" s="251">
        <v>0</v>
      </c>
      <c r="AE73" s="251"/>
      <c r="AF73" s="251">
        <v>2745009</v>
      </c>
      <c r="AG73" s="251">
        <v>2141753</v>
      </c>
      <c r="AH73" s="251"/>
      <c r="AI73" s="158">
        <f t="shared" si="66"/>
        <v>4886762</v>
      </c>
      <c r="AJ73" s="153">
        <f t="shared" si="87"/>
        <v>20.495841494461619</v>
      </c>
      <c r="AK73" s="251">
        <v>550523</v>
      </c>
      <c r="AL73" s="251">
        <v>51709</v>
      </c>
      <c r="AM73" s="251">
        <v>67114</v>
      </c>
      <c r="AN73" s="251"/>
      <c r="AO73" s="158">
        <f t="shared" si="88"/>
        <v>67114</v>
      </c>
      <c r="AP73" s="251">
        <v>2859622</v>
      </c>
      <c r="AQ73" s="155">
        <f t="shared" si="89"/>
        <v>11.993700377893443</v>
      </c>
      <c r="AR73" s="251"/>
      <c r="AS73" s="268">
        <v>0</v>
      </c>
      <c r="AT73" s="251">
        <v>0</v>
      </c>
      <c r="AU73" s="268">
        <v>0</v>
      </c>
      <c r="AV73" s="268">
        <v>0</v>
      </c>
      <c r="AW73" s="251"/>
      <c r="AX73" s="268">
        <v>0</v>
      </c>
      <c r="AY73" s="158">
        <f t="shared" si="90"/>
        <v>0</v>
      </c>
      <c r="AZ73" s="249">
        <v>250786</v>
      </c>
      <c r="BA73" s="152">
        <f t="shared" si="67"/>
        <v>1.0518355723135384</v>
      </c>
      <c r="BB73" s="269">
        <v>6738</v>
      </c>
      <c r="BC73" s="269">
        <v>6738</v>
      </c>
      <c r="BD73" s="269">
        <v>15019</v>
      </c>
      <c r="BE73" s="269">
        <v>1762</v>
      </c>
      <c r="BF73" s="269">
        <v>79208</v>
      </c>
      <c r="BG73" s="269">
        <v>2</v>
      </c>
      <c r="BH73" s="269">
        <v>89</v>
      </c>
      <c r="BI73" s="249">
        <v>0</v>
      </c>
      <c r="BJ73" s="159">
        <f t="shared" si="91"/>
        <v>91</v>
      </c>
      <c r="BK73" s="269">
        <v>367909</v>
      </c>
      <c r="BL73" s="152">
        <f t="shared" si="68"/>
        <v>1.5430676894814765</v>
      </c>
      <c r="BM73" s="269">
        <v>0</v>
      </c>
      <c r="BN73" s="249">
        <v>75712</v>
      </c>
      <c r="BO73" s="152">
        <f t="shared" si="69"/>
        <v>0.31754792871612697</v>
      </c>
      <c r="BP73" s="249">
        <v>105515</v>
      </c>
      <c r="BQ73" s="249">
        <v>0</v>
      </c>
      <c r="BR73" s="276">
        <f t="shared" si="92"/>
        <v>217028</v>
      </c>
      <c r="BS73" s="276">
        <v>58177</v>
      </c>
      <c r="BT73" s="269">
        <v>275205</v>
      </c>
      <c r="BU73" s="152">
        <f t="shared" si="70"/>
        <v>1.1542526643375122</v>
      </c>
      <c r="BV73" s="151">
        <f t="shared" ref="BV73:BV83" si="101">BT73/CS73</f>
        <v>6415.0349650349654</v>
      </c>
      <c r="BW73" s="152">
        <f t="shared" si="71"/>
        <v>13.098762494050453</v>
      </c>
      <c r="BX73" s="152">
        <f t="shared" si="72"/>
        <v>1.1007187338764834</v>
      </c>
      <c r="BY73" s="152">
        <f t="shared" si="93"/>
        <v>0.74802464739922103</v>
      </c>
      <c r="BZ73" s="249">
        <v>857</v>
      </c>
      <c r="CA73" s="249">
        <v>96</v>
      </c>
      <c r="CB73" s="249">
        <v>594</v>
      </c>
      <c r="CC73" s="156">
        <f t="shared" si="94"/>
        <v>1547</v>
      </c>
      <c r="CD73" s="249">
        <v>43645</v>
      </c>
      <c r="CE73" s="249">
        <v>1974</v>
      </c>
      <c r="CF73" s="249">
        <v>5732</v>
      </c>
      <c r="CG73" s="159">
        <f t="shared" si="95"/>
        <v>51351</v>
      </c>
      <c r="CH73" s="152">
        <f t="shared" si="73"/>
        <v>0.21537409773221994</v>
      </c>
      <c r="CI73" s="249">
        <v>250023</v>
      </c>
      <c r="CJ73" s="152">
        <f t="shared" si="74"/>
        <v>1.0486354313899013</v>
      </c>
      <c r="CK73" s="269">
        <v>42660</v>
      </c>
      <c r="CL73" s="252" t="s">
        <v>25</v>
      </c>
      <c r="CM73" s="252" t="s">
        <v>25</v>
      </c>
      <c r="CN73" s="252" t="s">
        <v>25</v>
      </c>
      <c r="CO73" s="253">
        <v>5</v>
      </c>
      <c r="CP73" s="151">
        <f>C73/CO73</f>
        <v>47685.4</v>
      </c>
      <c r="CQ73" s="253">
        <v>1</v>
      </c>
      <c r="CR73" s="253">
        <v>36.9</v>
      </c>
      <c r="CS73" s="223">
        <f t="shared" si="96"/>
        <v>42.9</v>
      </c>
      <c r="CT73" s="151">
        <f t="shared" ref="CT73:CT83" si="102">C73/CS73</f>
        <v>5557.7389277389275</v>
      </c>
      <c r="CU73" s="249">
        <v>505</v>
      </c>
      <c r="CV73" s="251">
        <v>61200</v>
      </c>
      <c r="CW73" s="253">
        <v>40</v>
      </c>
      <c r="CX73" s="252" t="s">
        <v>25</v>
      </c>
      <c r="CY73" s="252" t="s">
        <v>25</v>
      </c>
      <c r="CZ73" s="249">
        <v>2822</v>
      </c>
      <c r="DA73" s="249">
        <v>456</v>
      </c>
      <c r="DB73" s="249">
        <v>140</v>
      </c>
      <c r="DC73" s="249">
        <v>33314</v>
      </c>
      <c r="DD73" s="249">
        <v>19511</v>
      </c>
      <c r="DE73" s="249">
        <v>138198</v>
      </c>
      <c r="DF73" s="249">
        <v>28247</v>
      </c>
      <c r="DG73" s="249">
        <v>52</v>
      </c>
      <c r="DH73" s="253">
        <f t="shared" si="97"/>
        <v>0.11847232066838068</v>
      </c>
      <c r="DI73" s="249">
        <v>48</v>
      </c>
      <c r="DJ73" s="249">
        <v>48</v>
      </c>
      <c r="DL73" s="151">
        <v>21010</v>
      </c>
      <c r="DM73" s="248"/>
      <c r="DN73" s="252" t="s">
        <v>3125</v>
      </c>
      <c r="DO73" s="252" t="s">
        <v>3052</v>
      </c>
      <c r="DP73" s="252"/>
      <c r="DQ73" s="250"/>
      <c r="DR73" s="261" t="s">
        <v>3173</v>
      </c>
      <c r="DS73" s="248" t="s">
        <v>3042</v>
      </c>
      <c r="DT73" s="275">
        <v>43282</v>
      </c>
      <c r="DU73" s="275">
        <v>43646</v>
      </c>
      <c r="DV73" s="261" t="s">
        <v>3173</v>
      </c>
      <c r="DW73" s="152">
        <f t="shared" si="75"/>
        <v>0.44254635590767827</v>
      </c>
      <c r="DX73" s="152">
        <f t="shared" si="76"/>
        <v>0</v>
      </c>
      <c r="DY73" s="152">
        <f t="shared" si="77"/>
        <v>0.91024925868295115</v>
      </c>
      <c r="DZ73" s="152">
        <f t="shared" si="78"/>
        <v>0.24400340565456094</v>
      </c>
      <c r="EA73" s="153">
        <f t="shared" si="100"/>
        <v>0.42475576899824208</v>
      </c>
      <c r="EB73" s="243">
        <f t="shared" si="98"/>
        <v>1.0075459373979407</v>
      </c>
    </row>
    <row r="74" spans="1:132" ht="15" thickBot="1" x14ac:dyDescent="0.35">
      <c r="A74" s="261" t="s">
        <v>3043</v>
      </c>
      <c r="B74" s="388" t="s">
        <v>3263</v>
      </c>
      <c r="C74" s="263">
        <v>35802</v>
      </c>
      <c r="D74" s="250">
        <v>0</v>
      </c>
      <c r="E74" s="250">
        <v>1</v>
      </c>
      <c r="F74" s="249">
        <v>8397</v>
      </c>
      <c r="H74" s="151">
        <f t="shared" si="65"/>
        <v>8397</v>
      </c>
      <c r="I74" s="152">
        <v>0.23462</v>
      </c>
      <c r="J74" s="251">
        <v>214693</v>
      </c>
      <c r="K74" s="251">
        <v>87425</v>
      </c>
      <c r="L74" s="158">
        <f t="shared" si="79"/>
        <v>302118</v>
      </c>
      <c r="M74" s="153">
        <f t="shared" si="80"/>
        <v>8.438578850343557</v>
      </c>
      <c r="N74" s="251">
        <v>33939</v>
      </c>
      <c r="O74" s="251">
        <v>11991</v>
      </c>
      <c r="P74" s="268">
        <v>14649</v>
      </c>
      <c r="Q74" s="158">
        <v>60579</v>
      </c>
      <c r="R74" s="153">
        <f t="shared" si="81"/>
        <v>1.6920563097033685</v>
      </c>
      <c r="S74" s="268">
        <v>107125</v>
      </c>
      <c r="T74" s="251">
        <v>469822</v>
      </c>
      <c r="U74" s="251">
        <v>0</v>
      </c>
      <c r="V74" s="251">
        <v>469822</v>
      </c>
      <c r="W74" s="153">
        <f t="shared" si="82"/>
        <v>13.122786436511927</v>
      </c>
      <c r="X74" s="154">
        <f t="shared" si="83"/>
        <v>0.64304779256824929</v>
      </c>
      <c r="Y74" s="154">
        <f t="shared" si="84"/>
        <v>0.12894032207942582</v>
      </c>
      <c r="Z74" s="154">
        <f t="shared" si="85"/>
        <v>0.22801188535232492</v>
      </c>
      <c r="AA74" s="154">
        <f t="shared" si="86"/>
        <v>0</v>
      </c>
      <c r="AB74" s="251">
        <v>0</v>
      </c>
      <c r="AE74" s="251"/>
      <c r="AF74" s="251">
        <v>469822</v>
      </c>
      <c r="AG74" s="251">
        <v>349558</v>
      </c>
      <c r="AH74" s="251"/>
      <c r="AI74" s="158">
        <f t="shared" si="66"/>
        <v>819380</v>
      </c>
      <c r="AJ74" s="153">
        <f t="shared" si="87"/>
        <v>22.886430925646611</v>
      </c>
      <c r="AK74" s="251">
        <v>137140</v>
      </c>
      <c r="AL74" s="251">
        <v>0</v>
      </c>
      <c r="AM74" s="251">
        <v>16222</v>
      </c>
      <c r="AN74" s="251"/>
      <c r="AO74" s="158">
        <f t="shared" si="88"/>
        <v>16222</v>
      </c>
      <c r="AP74" s="251">
        <v>502920</v>
      </c>
      <c r="AQ74" s="155">
        <f t="shared" si="89"/>
        <v>14.047259929612871</v>
      </c>
      <c r="AR74" s="251"/>
      <c r="AS74" s="268">
        <v>0</v>
      </c>
      <c r="AT74" s="251">
        <v>0</v>
      </c>
      <c r="AU74" s="268">
        <v>0</v>
      </c>
      <c r="AV74" s="268">
        <v>0</v>
      </c>
      <c r="AW74" s="251"/>
      <c r="AX74" s="268">
        <v>0</v>
      </c>
      <c r="AY74" s="158">
        <f t="shared" si="90"/>
        <v>0</v>
      </c>
      <c r="AZ74" s="249">
        <v>40865</v>
      </c>
      <c r="BA74" s="152">
        <f t="shared" si="67"/>
        <v>1.1414166806323669</v>
      </c>
      <c r="BB74" s="269">
        <v>3226</v>
      </c>
      <c r="BC74" s="269">
        <v>3226</v>
      </c>
      <c r="BD74" s="269">
        <v>3915</v>
      </c>
      <c r="BE74" s="269">
        <v>2067</v>
      </c>
      <c r="BF74" s="269">
        <v>107580</v>
      </c>
      <c r="BG74" s="269">
        <v>7</v>
      </c>
      <c r="BH74" s="269">
        <v>89</v>
      </c>
      <c r="BI74" s="249">
        <v>0</v>
      </c>
      <c r="BJ74" s="159">
        <f t="shared" si="91"/>
        <v>96</v>
      </c>
      <c r="BK74" s="269">
        <v>174680</v>
      </c>
      <c r="BL74" s="152">
        <f t="shared" si="68"/>
        <v>4.8790570359197813</v>
      </c>
      <c r="BM74" s="269">
        <v>0</v>
      </c>
      <c r="BN74" s="249">
        <v>7559</v>
      </c>
      <c r="BO74" s="152">
        <f t="shared" si="69"/>
        <v>0.21113345623149546</v>
      </c>
      <c r="BP74" s="249">
        <v>10176</v>
      </c>
      <c r="BQ74" s="249">
        <v>0</v>
      </c>
      <c r="BR74" s="276">
        <f t="shared" si="92"/>
        <v>32817</v>
      </c>
      <c r="BS74" s="276">
        <v>7207</v>
      </c>
      <c r="BT74" s="269">
        <v>40024</v>
      </c>
      <c r="BU74" s="152">
        <f t="shared" si="70"/>
        <v>1.1179263728283335</v>
      </c>
      <c r="BV74" s="151">
        <f t="shared" si="101"/>
        <v>5717.7142857142853</v>
      </c>
      <c r="BW74" s="152">
        <f t="shared" si="71"/>
        <v>17.00977475563111</v>
      </c>
      <c r="BX74" s="152">
        <f t="shared" si="72"/>
        <v>0.90335394754660769</v>
      </c>
      <c r="BY74" s="152">
        <f t="shared" si="93"/>
        <v>0.22912754751545683</v>
      </c>
      <c r="BZ74" s="249">
        <v>46</v>
      </c>
      <c r="CA74" s="249">
        <v>11</v>
      </c>
      <c r="CB74" s="249">
        <v>3</v>
      </c>
      <c r="CC74" s="156">
        <f t="shared" si="94"/>
        <v>60</v>
      </c>
      <c r="CD74" s="249">
        <v>616</v>
      </c>
      <c r="CE74" s="249">
        <v>99</v>
      </c>
      <c r="CF74" s="249">
        <v>304</v>
      </c>
      <c r="CG74" s="159">
        <f t="shared" si="95"/>
        <v>1019</v>
      </c>
      <c r="CH74" s="152">
        <f t="shared" si="73"/>
        <v>2.8462097089548069E-2</v>
      </c>
      <c r="CI74" s="249">
        <v>44306</v>
      </c>
      <c r="CJ74" s="152">
        <f t="shared" si="74"/>
        <v>1.2375286296854924</v>
      </c>
      <c r="CK74" s="269">
        <v>15768</v>
      </c>
      <c r="CL74" s="252" t="s">
        <v>25</v>
      </c>
      <c r="CM74" s="252" t="s">
        <v>25</v>
      </c>
      <c r="CN74" s="252" t="s">
        <v>25</v>
      </c>
      <c r="CO74" s="253">
        <v>2</v>
      </c>
      <c r="CP74" s="253">
        <v>0</v>
      </c>
      <c r="CQ74" s="253">
        <v>0</v>
      </c>
      <c r="CR74" s="253">
        <v>5</v>
      </c>
      <c r="CS74" s="223">
        <f t="shared" si="96"/>
        <v>7</v>
      </c>
      <c r="CT74" s="151">
        <f t="shared" si="102"/>
        <v>5114.5714285714284</v>
      </c>
      <c r="CU74" s="249">
        <v>409</v>
      </c>
      <c r="CV74" s="251">
        <v>62324</v>
      </c>
      <c r="CW74" s="253">
        <v>40</v>
      </c>
      <c r="CX74" s="252" t="s">
        <v>25</v>
      </c>
      <c r="CY74" s="252" t="s">
        <v>25</v>
      </c>
      <c r="CZ74" s="249">
        <v>4373</v>
      </c>
      <c r="DA74" s="249">
        <v>1197</v>
      </c>
      <c r="DB74" s="249">
        <v>14</v>
      </c>
      <c r="DC74" s="249">
        <v>7650</v>
      </c>
      <c r="DD74" s="249">
        <v>1461</v>
      </c>
      <c r="DE74" s="249" t="s">
        <v>3137</v>
      </c>
      <c r="DF74" s="249">
        <v>2439</v>
      </c>
      <c r="DG74" s="249">
        <v>50</v>
      </c>
      <c r="DH74" s="253">
        <f t="shared" si="97"/>
        <v>6.8124685771744589E-2</v>
      </c>
      <c r="DI74" s="249">
        <v>32</v>
      </c>
      <c r="DJ74" s="249">
        <v>32</v>
      </c>
      <c r="DL74" s="151">
        <v>2353</v>
      </c>
      <c r="DM74" s="248"/>
      <c r="DN74" s="252" t="s">
        <v>3126</v>
      </c>
      <c r="DO74" s="252" t="s">
        <v>1950</v>
      </c>
      <c r="DP74" s="252"/>
      <c r="DQ74" s="250"/>
      <c r="DR74" s="261" t="s">
        <v>3043</v>
      </c>
      <c r="DS74" s="248" t="s">
        <v>3043</v>
      </c>
      <c r="DT74" s="275">
        <v>43282</v>
      </c>
      <c r="DU74" s="275">
        <v>43646</v>
      </c>
      <c r="DV74" s="261" t="s">
        <v>3043</v>
      </c>
      <c r="DW74" s="152">
        <f t="shared" si="75"/>
        <v>0.28422993128875484</v>
      </c>
      <c r="DX74" s="152">
        <f t="shared" si="76"/>
        <v>0</v>
      </c>
      <c r="DY74" s="152">
        <f t="shared" si="77"/>
        <v>0.91662476956594607</v>
      </c>
      <c r="DZ74" s="152">
        <f t="shared" si="78"/>
        <v>0.20130160326238758</v>
      </c>
      <c r="EA74" s="153">
        <f t="shared" si="100"/>
        <v>0.78940757797781036</v>
      </c>
      <c r="EB74" s="243">
        <v>0</v>
      </c>
    </row>
    <row r="75" spans="1:132" ht="15" thickBot="1" x14ac:dyDescent="0.35">
      <c r="A75" s="261" t="s">
        <v>3174</v>
      </c>
      <c r="B75" s="388" t="s">
        <v>3264</v>
      </c>
      <c r="C75" s="263">
        <v>174777</v>
      </c>
      <c r="D75" s="250">
        <v>4</v>
      </c>
      <c r="E75" s="250">
        <v>1</v>
      </c>
      <c r="F75" s="249">
        <v>83550</v>
      </c>
      <c r="H75" s="151">
        <f t="shared" si="65"/>
        <v>83550</v>
      </c>
      <c r="I75" s="152">
        <v>0.47760999999999998</v>
      </c>
      <c r="J75" s="251">
        <v>1140651</v>
      </c>
      <c r="K75" s="251">
        <v>380401</v>
      </c>
      <c r="L75" s="158">
        <f t="shared" si="79"/>
        <v>1521052</v>
      </c>
      <c r="M75" s="153">
        <f t="shared" si="80"/>
        <v>8.702815587863391</v>
      </c>
      <c r="N75" s="251">
        <v>157213</v>
      </c>
      <c r="O75" s="251">
        <v>69979</v>
      </c>
      <c r="P75" s="268">
        <v>11394</v>
      </c>
      <c r="Q75" s="158">
        <v>238586</v>
      </c>
      <c r="R75" s="153">
        <f t="shared" si="81"/>
        <v>1.3650880836723367</v>
      </c>
      <c r="S75" s="268">
        <v>546462</v>
      </c>
      <c r="T75" s="251">
        <v>2306100</v>
      </c>
      <c r="U75" s="251">
        <v>44290</v>
      </c>
      <c r="V75" s="251">
        <v>2306100</v>
      </c>
      <c r="W75" s="153">
        <f t="shared" si="82"/>
        <v>13.194527884103744</v>
      </c>
      <c r="X75" s="154">
        <f t="shared" si="83"/>
        <v>0.65957764190624868</v>
      </c>
      <c r="Y75" s="154">
        <f t="shared" si="84"/>
        <v>0.10345865313733142</v>
      </c>
      <c r="Z75" s="154">
        <f t="shared" si="85"/>
        <v>0.23696370495641994</v>
      </c>
      <c r="AA75" s="154">
        <f t="shared" si="86"/>
        <v>1.9205585187112441E-2</v>
      </c>
      <c r="AB75" s="251">
        <v>35467</v>
      </c>
      <c r="AE75" s="251"/>
      <c r="AF75" s="251">
        <v>2306100</v>
      </c>
      <c r="AG75" s="251">
        <v>625819</v>
      </c>
      <c r="AH75" s="251"/>
      <c r="AI75" s="158">
        <f t="shared" si="66"/>
        <v>2931919</v>
      </c>
      <c r="AJ75" s="153">
        <f t="shared" si="87"/>
        <v>16.775199253906408</v>
      </c>
      <c r="AK75" s="251">
        <v>194004</v>
      </c>
      <c r="AL75" s="251">
        <v>0</v>
      </c>
      <c r="AM75" s="251">
        <v>118104</v>
      </c>
      <c r="AN75" s="251"/>
      <c r="AO75" s="158">
        <f t="shared" si="88"/>
        <v>118104</v>
      </c>
      <c r="AP75" s="251">
        <v>2432392</v>
      </c>
      <c r="AQ75" s="155">
        <f t="shared" si="89"/>
        <v>13.917117240826883</v>
      </c>
      <c r="AR75" s="251"/>
      <c r="AS75" s="268">
        <v>0</v>
      </c>
      <c r="AT75" s="251">
        <v>0</v>
      </c>
      <c r="AU75" s="268">
        <v>0</v>
      </c>
      <c r="AV75" s="268">
        <v>0</v>
      </c>
      <c r="AW75" s="251"/>
      <c r="AX75" s="268">
        <v>0</v>
      </c>
      <c r="AY75" s="158">
        <f t="shared" si="90"/>
        <v>0</v>
      </c>
      <c r="AZ75" s="249">
        <v>211060</v>
      </c>
      <c r="BA75" s="152">
        <f t="shared" si="67"/>
        <v>1.207595965144155</v>
      </c>
      <c r="BB75" s="269">
        <v>9646</v>
      </c>
      <c r="BC75" s="269">
        <v>9646</v>
      </c>
      <c r="BD75" s="269">
        <v>10847</v>
      </c>
      <c r="BE75" s="269">
        <v>1752</v>
      </c>
      <c r="BF75" s="269">
        <v>75319</v>
      </c>
      <c r="BG75" s="269">
        <v>4</v>
      </c>
      <c r="BH75" s="269">
        <v>89</v>
      </c>
      <c r="BI75" s="249">
        <v>0</v>
      </c>
      <c r="BJ75" s="159">
        <f t="shared" si="91"/>
        <v>93</v>
      </c>
      <c r="BK75" s="269">
        <v>348827</v>
      </c>
      <c r="BL75" s="152">
        <f t="shared" si="68"/>
        <v>1.9958404137844223</v>
      </c>
      <c r="BM75" s="269">
        <v>200</v>
      </c>
      <c r="BN75" s="249">
        <v>75951</v>
      </c>
      <c r="BO75" s="152">
        <f t="shared" si="69"/>
        <v>0.43455946720678351</v>
      </c>
      <c r="BP75" s="249">
        <v>217913</v>
      </c>
      <c r="BQ75" s="249">
        <v>0</v>
      </c>
      <c r="BR75" s="276">
        <f t="shared" si="92"/>
        <v>360319</v>
      </c>
      <c r="BS75" s="276">
        <v>89943</v>
      </c>
      <c r="BT75" s="269">
        <v>450262</v>
      </c>
      <c r="BU75" s="152">
        <f t="shared" si="70"/>
        <v>2.5762085400252892</v>
      </c>
      <c r="BV75" s="151">
        <f t="shared" si="101"/>
        <v>13009.592603293846</v>
      </c>
      <c r="BW75" s="152">
        <f t="shared" si="71"/>
        <v>32.189162138976265</v>
      </c>
      <c r="BX75" s="152">
        <f t="shared" si="72"/>
        <v>1.3548600642130888</v>
      </c>
      <c r="BY75" s="152">
        <f t="shared" si="93"/>
        <v>1.2907888437534938</v>
      </c>
      <c r="BZ75" s="249">
        <v>485</v>
      </c>
      <c r="CA75" s="249">
        <v>35</v>
      </c>
      <c r="CB75" s="249">
        <v>146</v>
      </c>
      <c r="CC75" s="156">
        <f t="shared" si="94"/>
        <v>666</v>
      </c>
      <c r="CD75" s="249">
        <v>11846</v>
      </c>
      <c r="CE75" s="249">
        <v>1319</v>
      </c>
      <c r="CF75" s="249">
        <v>792</v>
      </c>
      <c r="CG75" s="159">
        <f t="shared" si="95"/>
        <v>13957</v>
      </c>
      <c r="CH75" s="152">
        <f t="shared" si="73"/>
        <v>7.9856045131796519E-2</v>
      </c>
      <c r="CI75" s="249">
        <v>332331</v>
      </c>
      <c r="CJ75" s="152">
        <f t="shared" si="74"/>
        <v>1.9014572855696115</v>
      </c>
      <c r="CK75" s="269">
        <v>64525</v>
      </c>
      <c r="CL75" s="252" t="s">
        <v>25</v>
      </c>
      <c r="CM75" s="252" t="s">
        <v>25</v>
      </c>
      <c r="CN75" s="252" t="s">
        <v>25</v>
      </c>
      <c r="CO75" s="253">
        <v>2</v>
      </c>
      <c r="CP75" s="151">
        <f t="shared" ref="CP75:CP76" si="103">C75/CO75</f>
        <v>87388.5</v>
      </c>
      <c r="CQ75" s="253">
        <v>3</v>
      </c>
      <c r="CR75" s="253">
        <v>29.61</v>
      </c>
      <c r="CS75" s="223">
        <f t="shared" si="96"/>
        <v>34.61</v>
      </c>
      <c r="CT75" s="151">
        <f t="shared" si="102"/>
        <v>5049.8988731580466</v>
      </c>
      <c r="CU75" s="249">
        <v>928</v>
      </c>
      <c r="CV75" s="251">
        <v>113796</v>
      </c>
      <c r="CW75" s="253">
        <v>40</v>
      </c>
      <c r="CX75" s="252" t="s">
        <v>25</v>
      </c>
      <c r="CY75" s="252" t="s">
        <v>25</v>
      </c>
      <c r="CZ75" s="249">
        <v>0</v>
      </c>
      <c r="DA75" s="249">
        <v>0</v>
      </c>
      <c r="DB75" s="249">
        <v>86</v>
      </c>
      <c r="DC75" s="249">
        <v>61014</v>
      </c>
      <c r="DD75" s="249" t="s">
        <v>3137</v>
      </c>
      <c r="DE75" s="249">
        <v>212903</v>
      </c>
      <c r="DF75" s="249">
        <v>14069</v>
      </c>
      <c r="DG75" s="249">
        <v>49</v>
      </c>
      <c r="DH75" s="253">
        <f t="shared" si="97"/>
        <v>8.0496861715214238E-2</v>
      </c>
      <c r="DI75" s="249">
        <v>48</v>
      </c>
      <c r="DJ75" s="249">
        <v>48</v>
      </c>
      <c r="DL75" s="151">
        <v>13988</v>
      </c>
      <c r="DM75" s="248"/>
      <c r="DN75" s="252" t="s">
        <v>3127</v>
      </c>
      <c r="DO75" s="252" t="s">
        <v>1950</v>
      </c>
      <c r="DP75" s="252"/>
      <c r="DQ75" s="250"/>
      <c r="DR75" s="261" t="s">
        <v>3174</v>
      </c>
      <c r="DS75" s="248" t="s">
        <v>3007</v>
      </c>
      <c r="DT75" s="275">
        <v>43282</v>
      </c>
      <c r="DU75" s="275">
        <v>43646</v>
      </c>
      <c r="DV75" s="261" t="s">
        <v>3174</v>
      </c>
      <c r="DW75" s="152">
        <f t="shared" si="75"/>
        <v>1.2468059298420273</v>
      </c>
      <c r="DX75" s="152">
        <f t="shared" si="76"/>
        <v>0</v>
      </c>
      <c r="DY75" s="152">
        <f t="shared" si="77"/>
        <v>2.0615927725043912</v>
      </c>
      <c r="DZ75" s="152">
        <f t="shared" si="78"/>
        <v>0.5146157675208981</v>
      </c>
      <c r="EA75" s="153">
        <f t="shared" si="100"/>
        <v>0.27188567910458084</v>
      </c>
      <c r="EB75" s="243">
        <f t="shared" si="98"/>
        <v>0.77803720133862553</v>
      </c>
    </row>
    <row r="76" spans="1:132" ht="15" thickBot="1" x14ac:dyDescent="0.35">
      <c r="A76" s="261" t="s">
        <v>3175</v>
      </c>
      <c r="B76" s="388" t="s">
        <v>3265</v>
      </c>
      <c r="C76" s="263">
        <v>14224</v>
      </c>
      <c r="D76" s="250">
        <v>0</v>
      </c>
      <c r="E76" s="250">
        <v>0</v>
      </c>
      <c r="F76" s="249">
        <v>14750</v>
      </c>
      <c r="H76" s="151">
        <f t="shared" si="65"/>
        <v>14750</v>
      </c>
      <c r="I76" s="152">
        <v>1.03698</v>
      </c>
      <c r="J76" s="251">
        <v>506113</v>
      </c>
      <c r="K76" s="251">
        <v>162295</v>
      </c>
      <c r="L76" s="158">
        <f t="shared" si="79"/>
        <v>668408</v>
      </c>
      <c r="M76" s="153">
        <f t="shared" si="80"/>
        <v>46.991563554555682</v>
      </c>
      <c r="N76" s="251">
        <v>66915</v>
      </c>
      <c r="O76" s="251">
        <v>37695</v>
      </c>
      <c r="P76" s="268">
        <v>2758</v>
      </c>
      <c r="Q76" s="158">
        <v>107368</v>
      </c>
      <c r="R76" s="153">
        <f t="shared" si="81"/>
        <v>7.5483689538807646</v>
      </c>
      <c r="S76" s="268">
        <v>225568</v>
      </c>
      <c r="T76" s="251">
        <v>1001344</v>
      </c>
      <c r="U76" s="251">
        <v>0</v>
      </c>
      <c r="V76" s="251">
        <v>1001344</v>
      </c>
      <c r="W76" s="153">
        <f t="shared" si="82"/>
        <v>70.398200224971873</v>
      </c>
      <c r="X76" s="154">
        <f t="shared" si="83"/>
        <v>0.66751086539690652</v>
      </c>
      <c r="Y76" s="154">
        <f t="shared" si="84"/>
        <v>0.10722389109037454</v>
      </c>
      <c r="Z76" s="154">
        <f t="shared" si="85"/>
        <v>0.2252652435127189</v>
      </c>
      <c r="AA76" s="154">
        <f t="shared" si="86"/>
        <v>0</v>
      </c>
      <c r="AB76" s="251">
        <v>0</v>
      </c>
      <c r="AE76" s="251"/>
      <c r="AF76" s="251">
        <v>1001344</v>
      </c>
      <c r="AG76" s="251">
        <v>0</v>
      </c>
      <c r="AH76" s="251"/>
      <c r="AI76" s="158">
        <f t="shared" si="66"/>
        <v>1001344</v>
      </c>
      <c r="AJ76" s="153">
        <f t="shared" si="87"/>
        <v>70.398200224971873</v>
      </c>
      <c r="AK76" s="251">
        <v>5949</v>
      </c>
      <c r="AL76" s="251">
        <v>34311</v>
      </c>
      <c r="AM76" s="251">
        <v>63491</v>
      </c>
      <c r="AN76" s="251"/>
      <c r="AO76" s="158">
        <f t="shared" si="88"/>
        <v>63491</v>
      </c>
      <c r="AP76" s="251">
        <v>956900</v>
      </c>
      <c r="AQ76" s="155">
        <f t="shared" si="89"/>
        <v>67.273622047244089</v>
      </c>
      <c r="AR76" s="251"/>
      <c r="AS76" s="268">
        <v>103768</v>
      </c>
      <c r="AT76" s="251">
        <v>0</v>
      </c>
      <c r="AU76" s="268">
        <v>0</v>
      </c>
      <c r="AV76" s="268">
        <v>0</v>
      </c>
      <c r="AW76" s="251"/>
      <c r="AX76" s="268">
        <v>0</v>
      </c>
      <c r="AY76" s="158">
        <f t="shared" si="90"/>
        <v>103768</v>
      </c>
      <c r="AZ76" s="249">
        <v>65785</v>
      </c>
      <c r="BA76" s="152">
        <f t="shared" si="67"/>
        <v>4.624929696287964</v>
      </c>
      <c r="BB76" s="269">
        <v>2521</v>
      </c>
      <c r="BC76" s="269">
        <v>2521</v>
      </c>
      <c r="BD76" s="269">
        <v>1573</v>
      </c>
      <c r="BE76" s="269">
        <v>2179</v>
      </c>
      <c r="BF76" s="269">
        <v>145772</v>
      </c>
      <c r="BG76" s="269">
        <v>20</v>
      </c>
      <c r="BH76" s="269">
        <v>89</v>
      </c>
      <c r="BI76" s="249">
        <v>0</v>
      </c>
      <c r="BJ76" s="159">
        <f t="shared" si="91"/>
        <v>109</v>
      </c>
      <c r="BK76" s="269">
        <v>255121</v>
      </c>
      <c r="BL76" s="152">
        <f t="shared" si="68"/>
        <v>17.935953318335208</v>
      </c>
      <c r="BM76" s="269">
        <v>79</v>
      </c>
      <c r="BN76" s="249">
        <v>5812</v>
      </c>
      <c r="BO76" s="152">
        <f t="shared" si="69"/>
        <v>0.40860517435320587</v>
      </c>
      <c r="BP76" s="249">
        <v>53018</v>
      </c>
      <c r="BQ76" s="249">
        <v>0</v>
      </c>
      <c r="BR76" s="276">
        <f t="shared" si="92"/>
        <v>80978</v>
      </c>
      <c r="BS76" s="276">
        <v>80348</v>
      </c>
      <c r="BT76" s="269">
        <v>161326</v>
      </c>
      <c r="BU76" s="152">
        <f t="shared" si="70"/>
        <v>11.341816647919011</v>
      </c>
      <c r="BV76" s="151">
        <f t="shared" si="101"/>
        <v>15077.196261682244</v>
      </c>
      <c r="BW76" s="152">
        <f t="shared" si="71"/>
        <v>81.974593495934954</v>
      </c>
      <c r="BX76" s="152">
        <f t="shared" si="72"/>
        <v>2.614514456113056</v>
      </c>
      <c r="BY76" s="152">
        <f t="shared" si="93"/>
        <v>0.63235092367935219</v>
      </c>
      <c r="BZ76" s="249">
        <v>493</v>
      </c>
      <c r="CA76" s="249">
        <v>13</v>
      </c>
      <c r="CB76" s="249">
        <v>62</v>
      </c>
      <c r="CC76" s="156">
        <f t="shared" si="94"/>
        <v>568</v>
      </c>
      <c r="CD76" s="249">
        <v>12418</v>
      </c>
      <c r="CE76" s="249">
        <v>102</v>
      </c>
      <c r="CF76" s="249">
        <v>1226</v>
      </c>
      <c r="CG76" s="159">
        <f t="shared" si="95"/>
        <v>13746</v>
      </c>
      <c r="CH76" s="152">
        <f t="shared" si="73"/>
        <v>0.96639482564679413</v>
      </c>
      <c r="CI76" s="249">
        <v>61704</v>
      </c>
      <c r="CJ76" s="152">
        <f t="shared" si="74"/>
        <v>4.3380202474690668</v>
      </c>
      <c r="CK76" s="269">
        <v>7652</v>
      </c>
      <c r="CL76" s="252" t="s">
        <v>25</v>
      </c>
      <c r="CM76" s="252" t="s">
        <v>25</v>
      </c>
      <c r="CN76" s="252" t="s">
        <v>25</v>
      </c>
      <c r="CO76" s="253">
        <v>6</v>
      </c>
      <c r="CP76" s="151">
        <f t="shared" si="103"/>
        <v>2370.6666666666665</v>
      </c>
      <c r="CQ76" s="253">
        <v>0</v>
      </c>
      <c r="CR76" s="253">
        <v>4.7</v>
      </c>
      <c r="CS76" s="223">
        <f t="shared" si="96"/>
        <v>10.7</v>
      </c>
      <c r="CT76" s="151">
        <f t="shared" si="102"/>
        <v>1329.3457943925234</v>
      </c>
      <c r="CU76" s="249">
        <v>404</v>
      </c>
      <c r="CV76" s="251">
        <v>100319</v>
      </c>
      <c r="CW76" s="253">
        <v>40</v>
      </c>
      <c r="CX76" s="252" t="s">
        <v>25</v>
      </c>
      <c r="CY76" s="252" t="s">
        <v>25</v>
      </c>
      <c r="CZ76" s="249">
        <v>44</v>
      </c>
      <c r="DA76" s="249">
        <v>346</v>
      </c>
      <c r="DB76" s="249">
        <v>15</v>
      </c>
      <c r="DC76" s="249">
        <v>5217</v>
      </c>
      <c r="DD76" s="249">
        <v>5607</v>
      </c>
      <c r="DE76" s="249">
        <v>41988</v>
      </c>
      <c r="DF76" s="249">
        <v>2756</v>
      </c>
      <c r="DG76" s="249">
        <v>52</v>
      </c>
      <c r="DH76" s="253">
        <f t="shared" si="97"/>
        <v>0.19375703037120359</v>
      </c>
      <c r="DI76" s="249">
        <v>59</v>
      </c>
      <c r="DJ76" s="249">
        <v>59</v>
      </c>
      <c r="DL76" s="151">
        <v>1968</v>
      </c>
      <c r="DM76" s="248"/>
      <c r="DN76" s="252" t="s">
        <v>3128</v>
      </c>
      <c r="DO76" s="254" t="s">
        <v>3053</v>
      </c>
      <c r="DP76" s="252"/>
      <c r="DQ76" s="250"/>
      <c r="DR76" s="261" t="s">
        <v>3175</v>
      </c>
      <c r="DS76" s="248" t="s">
        <v>3044</v>
      </c>
      <c r="DT76" s="275">
        <v>43282</v>
      </c>
      <c r="DU76" s="275">
        <v>43646</v>
      </c>
      <c r="DV76" s="261" t="s">
        <v>3175</v>
      </c>
      <c r="DW76" s="152">
        <f t="shared" si="75"/>
        <v>3.7273622047244093</v>
      </c>
      <c r="DX76" s="152">
        <f t="shared" si="76"/>
        <v>0</v>
      </c>
      <c r="DY76" s="152">
        <f t="shared" si="77"/>
        <v>5.6930539932508433</v>
      </c>
      <c r="DZ76" s="152">
        <f t="shared" si="78"/>
        <v>5.6487626546681664</v>
      </c>
      <c r="EA76" s="153">
        <f t="shared" si="100"/>
        <v>0.49938057852473206</v>
      </c>
      <c r="EB76" s="243">
        <f t="shared" si="98"/>
        <v>0.46914671180365408</v>
      </c>
    </row>
    <row r="77" spans="1:132" ht="15" thickBot="1" x14ac:dyDescent="0.35">
      <c r="A77" s="261" t="s">
        <v>3045</v>
      </c>
      <c r="B77" s="388" t="s">
        <v>3266</v>
      </c>
      <c r="C77" s="263">
        <v>63465</v>
      </c>
      <c r="D77" s="250">
        <v>5</v>
      </c>
      <c r="E77" s="250">
        <v>0</v>
      </c>
      <c r="F77" s="249">
        <v>28135</v>
      </c>
      <c r="H77" s="151">
        <f t="shared" si="65"/>
        <v>28135</v>
      </c>
      <c r="I77" s="152">
        <v>0.69164000000000003</v>
      </c>
      <c r="J77" s="251">
        <v>714844</v>
      </c>
      <c r="K77" s="251">
        <v>268642</v>
      </c>
      <c r="L77" s="158">
        <f t="shared" si="79"/>
        <v>983486</v>
      </c>
      <c r="M77" s="153">
        <f t="shared" si="80"/>
        <v>15.496509887339478</v>
      </c>
      <c r="N77" s="251">
        <v>72246</v>
      </c>
      <c r="O77" s="251">
        <v>13000</v>
      </c>
      <c r="P77" s="268">
        <v>7372</v>
      </c>
      <c r="Q77" s="158">
        <v>92618</v>
      </c>
      <c r="R77" s="153">
        <f t="shared" si="81"/>
        <v>1.4593555503033169</v>
      </c>
      <c r="S77" s="268">
        <v>150620</v>
      </c>
      <c r="T77" s="251">
        <v>1226724</v>
      </c>
      <c r="U77" s="251">
        <v>0</v>
      </c>
      <c r="V77" s="251">
        <v>1226724</v>
      </c>
      <c r="W77" s="153">
        <f t="shared" si="82"/>
        <v>19.329142046797447</v>
      </c>
      <c r="X77" s="154">
        <f t="shared" si="83"/>
        <v>0.80171741972929522</v>
      </c>
      <c r="Y77" s="154">
        <f t="shared" si="84"/>
        <v>7.5500275530600194E-2</v>
      </c>
      <c r="Z77" s="154">
        <f t="shared" si="85"/>
        <v>0.12278230474010454</v>
      </c>
      <c r="AA77" s="154">
        <f t="shared" si="86"/>
        <v>0</v>
      </c>
      <c r="AB77" s="251">
        <v>0</v>
      </c>
      <c r="AE77" s="251"/>
      <c r="AF77" s="251">
        <v>1226724</v>
      </c>
      <c r="AG77" s="251">
        <v>1294930</v>
      </c>
      <c r="AH77" s="251"/>
      <c r="AI77" s="158">
        <f t="shared" si="66"/>
        <v>2521654</v>
      </c>
      <c r="AJ77" s="153">
        <f t="shared" si="87"/>
        <v>39.732986685574723</v>
      </c>
      <c r="AK77" s="251">
        <v>113607</v>
      </c>
      <c r="AL77" s="251">
        <v>0</v>
      </c>
      <c r="AM77" s="251">
        <v>0</v>
      </c>
      <c r="AN77" s="251"/>
      <c r="AO77" s="158">
        <f t="shared" si="88"/>
        <v>0</v>
      </c>
      <c r="AP77" s="251">
        <v>1408537</v>
      </c>
      <c r="AQ77" s="155">
        <f t="shared" si="89"/>
        <v>22.193917907508077</v>
      </c>
      <c r="AR77" s="251"/>
      <c r="AS77" s="268">
        <v>0</v>
      </c>
      <c r="AT77" s="251">
        <v>0</v>
      </c>
      <c r="AU77" s="268">
        <v>0</v>
      </c>
      <c r="AV77" s="268">
        <v>0</v>
      </c>
      <c r="AW77" s="251"/>
      <c r="AX77" s="268">
        <v>0</v>
      </c>
      <c r="AY77" s="158">
        <f t="shared" si="90"/>
        <v>0</v>
      </c>
      <c r="AZ77" s="249">
        <v>114330</v>
      </c>
      <c r="BA77" s="152">
        <f t="shared" si="67"/>
        <v>1.8014653746159301</v>
      </c>
      <c r="BB77" s="269">
        <v>3599</v>
      </c>
      <c r="BC77" s="269">
        <v>3599</v>
      </c>
      <c r="BD77" s="269">
        <v>7053</v>
      </c>
      <c r="BE77" s="269">
        <v>2067</v>
      </c>
      <c r="BF77" s="269">
        <v>107580</v>
      </c>
      <c r="BG77" s="269">
        <v>2</v>
      </c>
      <c r="BH77" s="269">
        <v>89</v>
      </c>
      <c r="BI77" s="249">
        <v>0</v>
      </c>
      <c r="BJ77" s="159">
        <f t="shared" si="91"/>
        <v>91</v>
      </c>
      <c r="BK77" s="269">
        <v>257215</v>
      </c>
      <c r="BL77" s="152">
        <f t="shared" si="68"/>
        <v>4.0528637831875836</v>
      </c>
      <c r="BM77" s="269">
        <v>66</v>
      </c>
      <c r="BN77" s="249">
        <v>21384</v>
      </c>
      <c r="BO77" s="152">
        <f t="shared" si="69"/>
        <v>0.33694162136610728</v>
      </c>
      <c r="BP77" s="249">
        <v>30701</v>
      </c>
      <c r="BQ77" s="249">
        <v>0</v>
      </c>
      <c r="BR77" s="276">
        <f t="shared" si="92"/>
        <v>102124</v>
      </c>
      <c r="BS77" s="276">
        <v>33720</v>
      </c>
      <c r="BT77" s="269">
        <v>135844</v>
      </c>
      <c r="BU77" s="152">
        <f t="shared" si="70"/>
        <v>2.1404553691010793</v>
      </c>
      <c r="BV77" s="151">
        <f t="shared" si="101"/>
        <v>9627.498228206945</v>
      </c>
      <c r="BW77" s="152">
        <f t="shared" si="71"/>
        <v>19.551525618883133</v>
      </c>
      <c r="BX77" s="152">
        <f t="shared" si="72"/>
        <v>1.6723583941695699</v>
      </c>
      <c r="BY77" s="152">
        <f t="shared" si="93"/>
        <v>0.52813405128005753</v>
      </c>
      <c r="BZ77" s="249">
        <v>283</v>
      </c>
      <c r="CA77" s="249">
        <v>9</v>
      </c>
      <c r="CB77" s="249">
        <v>137</v>
      </c>
      <c r="CC77" s="156">
        <f t="shared" si="94"/>
        <v>429</v>
      </c>
      <c r="CD77" s="249">
        <v>17873</v>
      </c>
      <c r="CE77" s="249">
        <v>333</v>
      </c>
      <c r="CF77" s="249">
        <v>2273</v>
      </c>
      <c r="CG77" s="159">
        <f t="shared" si="95"/>
        <v>20479</v>
      </c>
      <c r="CH77" s="152">
        <f t="shared" si="73"/>
        <v>0.322681793114315</v>
      </c>
      <c r="CI77" s="249">
        <v>81229</v>
      </c>
      <c r="CJ77" s="152">
        <f t="shared" si="74"/>
        <v>1.279902308358938</v>
      </c>
      <c r="CK77" s="269">
        <v>30875</v>
      </c>
      <c r="CL77" s="252" t="s">
        <v>25</v>
      </c>
      <c r="CM77" s="252" t="s">
        <v>25</v>
      </c>
      <c r="CN77" s="252" t="s">
        <v>25</v>
      </c>
      <c r="CO77" s="253">
        <v>3.75</v>
      </c>
      <c r="CP77" s="253">
        <v>0</v>
      </c>
      <c r="CQ77" s="253">
        <v>0</v>
      </c>
      <c r="CR77" s="253">
        <v>10.36</v>
      </c>
      <c r="CS77" s="223">
        <f t="shared" si="96"/>
        <v>14.11</v>
      </c>
      <c r="CT77" s="151">
        <f t="shared" si="102"/>
        <v>4497.8738483345151</v>
      </c>
      <c r="CU77" s="249">
        <v>362</v>
      </c>
      <c r="CV77" s="251">
        <v>67694</v>
      </c>
      <c r="CW77" s="253">
        <v>40</v>
      </c>
      <c r="CX77" s="252" t="s">
        <v>25</v>
      </c>
      <c r="CY77" s="252" t="s">
        <v>25</v>
      </c>
      <c r="CZ77" s="249">
        <v>17</v>
      </c>
      <c r="DA77" s="249">
        <v>11</v>
      </c>
      <c r="DB77" s="249">
        <v>42</v>
      </c>
      <c r="DC77" s="249">
        <v>7837</v>
      </c>
      <c r="DD77" s="249" t="s">
        <v>3137</v>
      </c>
      <c r="DE77" s="249">
        <v>27631</v>
      </c>
      <c r="DF77" s="249">
        <v>7904</v>
      </c>
      <c r="DG77" s="249">
        <v>52</v>
      </c>
      <c r="DH77" s="253">
        <f t="shared" si="97"/>
        <v>0.1245410856377531</v>
      </c>
      <c r="DI77" s="249">
        <v>45</v>
      </c>
      <c r="DJ77" s="249">
        <v>45</v>
      </c>
      <c r="DL77" s="151">
        <v>6948</v>
      </c>
      <c r="DM77" s="248"/>
      <c r="DN77" s="252" t="s">
        <v>3129</v>
      </c>
      <c r="DO77" s="252" t="s">
        <v>1950</v>
      </c>
      <c r="DP77" s="252"/>
      <c r="DQ77" s="250"/>
      <c r="DR77" s="261" t="s">
        <v>3045</v>
      </c>
      <c r="DS77" s="248" t="s">
        <v>3045</v>
      </c>
      <c r="DT77" s="275">
        <v>43282</v>
      </c>
      <c r="DU77" s="275">
        <v>43646</v>
      </c>
      <c r="DV77" s="261" t="s">
        <v>3045</v>
      </c>
      <c r="DW77" s="152">
        <f t="shared" si="75"/>
        <v>0.4837469471362168</v>
      </c>
      <c r="DX77" s="152">
        <f t="shared" si="76"/>
        <v>0</v>
      </c>
      <c r="DY77" s="152">
        <f t="shared" si="77"/>
        <v>1.6091388954541874</v>
      </c>
      <c r="DZ77" s="152">
        <f t="shared" si="78"/>
        <v>0.53131647364689194</v>
      </c>
      <c r="EA77" s="153">
        <f t="shared" si="100"/>
        <v>0.54391869000564652</v>
      </c>
      <c r="EB77" s="243">
        <f t="shared" si="98"/>
        <v>0.38552787663107946</v>
      </c>
    </row>
    <row r="78" spans="1:132" ht="15" thickBot="1" x14ac:dyDescent="0.35">
      <c r="A78" s="261" t="s">
        <v>3046</v>
      </c>
      <c r="B78" s="388" t="s">
        <v>3267</v>
      </c>
      <c r="C78" s="263">
        <v>35034</v>
      </c>
      <c r="D78" s="250">
        <v>0</v>
      </c>
      <c r="E78" s="250">
        <v>1</v>
      </c>
      <c r="F78" s="249">
        <v>34976</v>
      </c>
      <c r="H78" s="151">
        <f t="shared" si="65"/>
        <v>34976</v>
      </c>
      <c r="I78" s="152">
        <v>0.99363000000000001</v>
      </c>
      <c r="J78" s="251">
        <v>793299</v>
      </c>
      <c r="K78" s="251">
        <v>314589</v>
      </c>
      <c r="L78" s="158">
        <f t="shared" si="79"/>
        <v>1107888</v>
      </c>
      <c r="M78" s="153">
        <f t="shared" si="80"/>
        <v>31.623223154649768</v>
      </c>
      <c r="N78" s="251">
        <v>86218</v>
      </c>
      <c r="O78" s="251">
        <v>53945</v>
      </c>
      <c r="P78" s="268">
        <v>14764</v>
      </c>
      <c r="Q78" s="158">
        <v>154927</v>
      </c>
      <c r="R78" s="153">
        <f t="shared" si="81"/>
        <v>4.4221898726950961</v>
      </c>
      <c r="S78" s="268">
        <v>148073</v>
      </c>
      <c r="T78" s="251">
        <v>1410888</v>
      </c>
      <c r="U78" s="251">
        <v>0</v>
      </c>
      <c r="V78" s="251">
        <v>1410888</v>
      </c>
      <c r="W78" s="153">
        <f t="shared" si="82"/>
        <v>40.271964377461892</v>
      </c>
      <c r="X78" s="154">
        <f t="shared" si="83"/>
        <v>0.78524163505536937</v>
      </c>
      <c r="Y78" s="154">
        <f t="shared" si="84"/>
        <v>0.1098081491939828</v>
      </c>
      <c r="Z78" s="154">
        <f t="shared" si="85"/>
        <v>0.10495021575064782</v>
      </c>
      <c r="AA78" s="154">
        <f t="shared" si="86"/>
        <v>0</v>
      </c>
      <c r="AB78" s="251">
        <v>0</v>
      </c>
      <c r="AE78" s="251"/>
      <c r="AF78" s="251">
        <v>1410888</v>
      </c>
      <c r="AG78" s="251">
        <v>1335065</v>
      </c>
      <c r="AH78" s="251"/>
      <c r="AI78" s="158">
        <f t="shared" si="66"/>
        <v>2745953</v>
      </c>
      <c r="AJ78" s="153">
        <f t="shared" si="87"/>
        <v>78.379659759091169</v>
      </c>
      <c r="AK78" s="251">
        <v>88291</v>
      </c>
      <c r="AL78" s="251">
        <v>652</v>
      </c>
      <c r="AM78" s="251">
        <v>0</v>
      </c>
      <c r="AN78" s="251"/>
      <c r="AO78" s="158">
        <f t="shared" si="88"/>
        <v>0</v>
      </c>
      <c r="AP78" s="251">
        <v>1424008</v>
      </c>
      <c r="AQ78" s="155">
        <f t="shared" si="89"/>
        <v>40.646457726779701</v>
      </c>
      <c r="AR78" s="251"/>
      <c r="AS78" s="268">
        <v>20000</v>
      </c>
      <c r="AT78" s="251">
        <v>0</v>
      </c>
      <c r="AU78" s="268">
        <v>0</v>
      </c>
      <c r="AV78" s="268">
        <v>0</v>
      </c>
      <c r="AW78" s="251"/>
      <c r="AX78" s="268">
        <v>0</v>
      </c>
      <c r="AY78" s="158">
        <f t="shared" si="90"/>
        <v>20000</v>
      </c>
      <c r="AZ78" s="249">
        <v>117577</v>
      </c>
      <c r="BA78" s="152">
        <f t="shared" si="67"/>
        <v>3.356082662556374</v>
      </c>
      <c r="BB78" s="269">
        <v>5829</v>
      </c>
      <c r="BC78" s="269">
        <v>5829</v>
      </c>
      <c r="BD78" s="269">
        <v>8931</v>
      </c>
      <c r="BE78" s="269">
        <v>2192</v>
      </c>
      <c r="BF78" s="269">
        <v>145845</v>
      </c>
      <c r="BG78" s="269">
        <v>12</v>
      </c>
      <c r="BH78" s="269">
        <v>89</v>
      </c>
      <c r="BI78" s="249">
        <v>0</v>
      </c>
      <c r="BJ78" s="159">
        <f t="shared" si="91"/>
        <v>101</v>
      </c>
      <c r="BK78" s="269">
        <v>316969</v>
      </c>
      <c r="BL78" s="152">
        <f t="shared" si="68"/>
        <v>9.0474681737740479</v>
      </c>
      <c r="BM78" s="269">
        <v>0</v>
      </c>
      <c r="BN78" s="249">
        <v>17623</v>
      </c>
      <c r="BO78" s="152">
        <f t="shared" si="69"/>
        <v>0.50302563224296393</v>
      </c>
      <c r="BP78" s="249">
        <v>112499</v>
      </c>
      <c r="BQ78" s="249">
        <v>0</v>
      </c>
      <c r="BR78" s="276">
        <f t="shared" si="92"/>
        <v>250345</v>
      </c>
      <c r="BS78" s="276">
        <v>98328</v>
      </c>
      <c r="BT78" s="269">
        <v>348673</v>
      </c>
      <c r="BU78" s="152">
        <f t="shared" si="70"/>
        <v>9.9524176514243301</v>
      </c>
      <c r="BV78" s="151">
        <f t="shared" si="101"/>
        <v>19200.055066079294</v>
      </c>
      <c r="BW78" s="152">
        <f t="shared" si="71"/>
        <v>123.2060070671378</v>
      </c>
      <c r="BX78" s="152">
        <f t="shared" si="72"/>
        <v>2.4522488307486725</v>
      </c>
      <c r="BY78" s="152">
        <f t="shared" si="93"/>
        <v>1.1000223996668443</v>
      </c>
      <c r="BZ78" s="249">
        <v>199</v>
      </c>
      <c r="CA78" s="249">
        <v>25</v>
      </c>
      <c r="CB78" s="249">
        <v>130</v>
      </c>
      <c r="CC78" s="156">
        <f t="shared" si="94"/>
        <v>354</v>
      </c>
      <c r="CD78" s="249">
        <v>6154</v>
      </c>
      <c r="CE78" s="249">
        <v>245</v>
      </c>
      <c r="CF78" s="249">
        <v>7656</v>
      </c>
      <c r="CG78" s="159">
        <f t="shared" si="95"/>
        <v>14055</v>
      </c>
      <c r="CH78" s="152">
        <f t="shared" si="73"/>
        <v>0.40118170919678026</v>
      </c>
      <c r="CI78" s="249">
        <v>142185</v>
      </c>
      <c r="CJ78" s="152">
        <f t="shared" si="74"/>
        <v>4.058486042130502</v>
      </c>
      <c r="CK78" s="269">
        <v>20130</v>
      </c>
      <c r="CL78" s="252" t="s">
        <v>25</v>
      </c>
      <c r="CM78" s="252" t="s">
        <v>25</v>
      </c>
      <c r="CN78" s="252" t="s">
        <v>25</v>
      </c>
      <c r="CO78" s="253">
        <v>5.69</v>
      </c>
      <c r="CP78" s="151">
        <f t="shared" ref="CP78:CP83" si="104">C78/CO78</f>
        <v>6157.1177504393672</v>
      </c>
      <c r="CQ78" s="253">
        <v>0.94</v>
      </c>
      <c r="CR78" s="253">
        <v>11.53</v>
      </c>
      <c r="CS78" s="223">
        <f t="shared" si="96"/>
        <v>18.16</v>
      </c>
      <c r="CT78" s="151">
        <f t="shared" si="102"/>
        <v>1929.1850220264316</v>
      </c>
      <c r="CU78" s="249">
        <v>4980</v>
      </c>
      <c r="CV78" s="251">
        <v>82369</v>
      </c>
      <c r="CW78" s="253">
        <v>40</v>
      </c>
      <c r="CX78" s="252" t="s">
        <v>25</v>
      </c>
      <c r="CY78" s="252" t="s">
        <v>25</v>
      </c>
      <c r="CZ78" s="249">
        <v>0</v>
      </c>
      <c r="DA78" s="249">
        <v>0</v>
      </c>
      <c r="DB78" s="249">
        <v>47</v>
      </c>
      <c r="DC78" s="249">
        <v>12747</v>
      </c>
      <c r="DD78" s="249">
        <v>29369</v>
      </c>
      <c r="DE78" s="249">
        <v>163065</v>
      </c>
      <c r="DF78" s="249">
        <v>3440</v>
      </c>
      <c r="DG78" s="249">
        <v>52</v>
      </c>
      <c r="DH78" s="253">
        <f t="shared" si="97"/>
        <v>9.8190329394302681E-2</v>
      </c>
      <c r="DI78" s="249">
        <v>48</v>
      </c>
      <c r="DJ78" s="249">
        <v>48</v>
      </c>
      <c r="DK78" s="151">
        <v>2482</v>
      </c>
      <c r="DL78" s="151">
        <v>2830</v>
      </c>
      <c r="DM78" s="248"/>
      <c r="DN78" s="252" t="s">
        <v>3130</v>
      </c>
      <c r="DO78" s="252" t="s">
        <v>1950</v>
      </c>
      <c r="DP78" s="252"/>
      <c r="DQ78" s="250"/>
      <c r="DR78" s="261" t="s">
        <v>3046</v>
      </c>
      <c r="DS78" s="248" t="s">
        <v>3046</v>
      </c>
      <c r="DT78" s="275">
        <v>43282</v>
      </c>
      <c r="DU78" s="275">
        <v>43646</v>
      </c>
      <c r="DV78" s="261" t="s">
        <v>3046</v>
      </c>
      <c r="DW78" s="152">
        <f t="shared" si="75"/>
        <v>3.2111377518981561</v>
      </c>
      <c r="DX78" s="152">
        <f t="shared" si="76"/>
        <v>0</v>
      </c>
      <c r="DY78" s="152">
        <f t="shared" si="77"/>
        <v>7.1457726779699717</v>
      </c>
      <c r="DZ78" s="152">
        <f t="shared" si="78"/>
        <v>2.8066449734543588</v>
      </c>
      <c r="EA78" s="153">
        <f t="shared" si="100"/>
        <v>0.2376172680270309</v>
      </c>
      <c r="EB78" s="243">
        <f t="shared" si="98"/>
        <v>0.54862297616141897</v>
      </c>
    </row>
    <row r="79" spans="1:132" ht="15" thickBot="1" x14ac:dyDescent="0.35">
      <c r="A79" s="261" t="s">
        <v>3047</v>
      </c>
      <c r="B79" s="388" t="s">
        <v>3268</v>
      </c>
      <c r="C79" s="263">
        <v>232814</v>
      </c>
      <c r="D79" s="250">
        <v>3</v>
      </c>
      <c r="E79" s="250">
        <v>0</v>
      </c>
      <c r="F79" s="249">
        <v>66148</v>
      </c>
      <c r="H79" s="151">
        <f t="shared" si="65"/>
        <v>66148</v>
      </c>
      <c r="I79" s="152">
        <v>0.28411999999999998</v>
      </c>
      <c r="J79" s="251">
        <v>2496796</v>
      </c>
      <c r="K79" s="251">
        <v>1515025</v>
      </c>
      <c r="L79" s="158">
        <f t="shared" si="79"/>
        <v>4011821</v>
      </c>
      <c r="M79" s="153">
        <f t="shared" si="80"/>
        <v>17.231871794651525</v>
      </c>
      <c r="N79" s="251">
        <v>236251</v>
      </c>
      <c r="O79" s="251">
        <v>181958</v>
      </c>
      <c r="P79" s="268">
        <v>35132</v>
      </c>
      <c r="Q79" s="158">
        <v>453341</v>
      </c>
      <c r="R79" s="153">
        <f t="shared" si="81"/>
        <v>1.9472239641945932</v>
      </c>
      <c r="S79" s="268">
        <v>1306262</v>
      </c>
      <c r="T79" s="251">
        <v>5771424</v>
      </c>
      <c r="U79" s="251">
        <v>0</v>
      </c>
      <c r="V79" s="251">
        <v>5771424</v>
      </c>
      <c r="W79" s="153">
        <f t="shared" si="82"/>
        <v>24.789849407681668</v>
      </c>
      <c r="X79" s="154">
        <f t="shared" si="83"/>
        <v>0.69511805058855491</v>
      </c>
      <c r="Y79" s="154">
        <f t="shared" si="84"/>
        <v>7.8549245385540895E-2</v>
      </c>
      <c r="Z79" s="154">
        <f t="shared" si="85"/>
        <v>0.22633270402590419</v>
      </c>
      <c r="AA79" s="154">
        <f t="shared" si="86"/>
        <v>0</v>
      </c>
      <c r="AB79" s="251">
        <v>75000</v>
      </c>
      <c r="AE79" s="251"/>
      <c r="AF79" s="251">
        <v>5771424</v>
      </c>
      <c r="AG79" s="251">
        <v>5487397</v>
      </c>
      <c r="AH79" s="251"/>
      <c r="AI79" s="158">
        <f t="shared" si="66"/>
        <v>11258821</v>
      </c>
      <c r="AJ79" s="153">
        <f t="shared" si="87"/>
        <v>48.359724930631316</v>
      </c>
      <c r="AK79" s="251">
        <v>195018</v>
      </c>
      <c r="AL79" s="251">
        <v>0</v>
      </c>
      <c r="AM79" s="251">
        <v>182745</v>
      </c>
      <c r="AN79" s="251"/>
      <c r="AO79" s="158">
        <f t="shared" si="88"/>
        <v>182745</v>
      </c>
      <c r="AP79" s="251">
        <v>5865160</v>
      </c>
      <c r="AQ79" s="155">
        <f t="shared" si="89"/>
        <v>25.1924712431383</v>
      </c>
      <c r="AR79" s="251"/>
      <c r="AS79" s="268">
        <v>25000</v>
      </c>
      <c r="AT79" s="251">
        <v>0</v>
      </c>
      <c r="AU79" s="268">
        <v>0</v>
      </c>
      <c r="AV79" s="268">
        <v>0</v>
      </c>
      <c r="AW79" s="251"/>
      <c r="AX79" s="268">
        <v>0</v>
      </c>
      <c r="AY79" s="158">
        <f t="shared" si="90"/>
        <v>25000</v>
      </c>
      <c r="AZ79" s="249">
        <v>129757</v>
      </c>
      <c r="BA79" s="152">
        <f t="shared" si="67"/>
        <v>0.55734191242794673</v>
      </c>
      <c r="BB79" s="269">
        <v>4113</v>
      </c>
      <c r="BC79" s="269">
        <v>4113</v>
      </c>
      <c r="BD79" s="269">
        <v>9724</v>
      </c>
      <c r="BE79" s="269">
        <v>1752</v>
      </c>
      <c r="BF79" s="269">
        <v>84043</v>
      </c>
      <c r="BG79" s="269">
        <v>18</v>
      </c>
      <c r="BH79" s="269">
        <v>89</v>
      </c>
      <c r="BI79" s="249">
        <v>0</v>
      </c>
      <c r="BJ79" s="159">
        <f t="shared" si="91"/>
        <v>107</v>
      </c>
      <c r="BK79" s="269">
        <v>258604</v>
      </c>
      <c r="BL79" s="152">
        <f t="shared" si="68"/>
        <v>1.1107751252072471</v>
      </c>
      <c r="BM79" s="269">
        <v>151</v>
      </c>
      <c r="BN79" s="249">
        <v>60187</v>
      </c>
      <c r="BO79" s="152">
        <f t="shared" si="69"/>
        <v>0.25851967665174774</v>
      </c>
      <c r="BP79" s="249">
        <v>320627</v>
      </c>
      <c r="BQ79" s="249">
        <v>0</v>
      </c>
      <c r="BR79" s="276">
        <f t="shared" si="92"/>
        <v>634339</v>
      </c>
      <c r="BS79" s="276">
        <v>748764</v>
      </c>
      <c r="BT79" s="269">
        <v>1383103</v>
      </c>
      <c r="BU79" s="152">
        <f t="shared" si="70"/>
        <v>5.9408068243318697</v>
      </c>
      <c r="BV79" s="151">
        <f t="shared" si="101"/>
        <v>25655.778148766465</v>
      </c>
      <c r="BW79" s="152">
        <f t="shared" si="71"/>
        <v>152.35767790262173</v>
      </c>
      <c r="BX79" s="152">
        <f t="shared" si="72"/>
        <v>4.5659320344119534</v>
      </c>
      <c r="BY79" s="152">
        <f t="shared" si="93"/>
        <v>5.3483434130949252</v>
      </c>
      <c r="BZ79" s="249">
        <v>716</v>
      </c>
      <c r="CA79" s="249">
        <v>60</v>
      </c>
      <c r="CB79" s="249">
        <v>125</v>
      </c>
      <c r="CC79" s="156">
        <f t="shared" si="94"/>
        <v>901</v>
      </c>
      <c r="CD79" s="249">
        <v>19675</v>
      </c>
      <c r="CE79" s="249">
        <v>773</v>
      </c>
      <c r="CF79" s="249">
        <v>5783</v>
      </c>
      <c r="CG79" s="159">
        <f t="shared" si="95"/>
        <v>26231</v>
      </c>
      <c r="CH79" s="152">
        <f t="shared" si="73"/>
        <v>0.11266934119082186</v>
      </c>
      <c r="CI79" s="249">
        <v>302918</v>
      </c>
      <c r="CJ79" s="152">
        <f t="shared" si="74"/>
        <v>1.3011159122733169</v>
      </c>
      <c r="CK79" s="269">
        <v>178621</v>
      </c>
      <c r="CL79" s="252" t="s">
        <v>25</v>
      </c>
      <c r="CM79" s="252" t="s">
        <v>25</v>
      </c>
      <c r="CN79" s="252" t="s">
        <v>25</v>
      </c>
      <c r="CO79" s="253">
        <v>7</v>
      </c>
      <c r="CP79" s="151">
        <f t="shared" si="104"/>
        <v>33259.142857142855</v>
      </c>
      <c r="CQ79" s="253">
        <v>5</v>
      </c>
      <c r="CR79" s="253">
        <v>41.91</v>
      </c>
      <c r="CS79" s="223">
        <f t="shared" si="96"/>
        <v>53.91</v>
      </c>
      <c r="CT79" s="151">
        <f t="shared" si="102"/>
        <v>4318.5679836764984</v>
      </c>
      <c r="CU79" s="249">
        <v>3140</v>
      </c>
      <c r="CV79" s="251">
        <v>92259</v>
      </c>
      <c r="CW79" s="253">
        <v>40</v>
      </c>
      <c r="CX79" s="252" t="s">
        <v>25</v>
      </c>
      <c r="CY79" s="252" t="s">
        <v>25</v>
      </c>
      <c r="CZ79" s="249">
        <v>0</v>
      </c>
      <c r="DA79" s="249">
        <v>0</v>
      </c>
      <c r="DB79" s="249">
        <v>160</v>
      </c>
      <c r="DC79" s="249">
        <v>40030</v>
      </c>
      <c r="DD79" s="249">
        <v>34905</v>
      </c>
      <c r="DE79" s="249">
        <v>658781</v>
      </c>
      <c r="DF79" s="249">
        <v>10874</v>
      </c>
      <c r="DG79" s="249">
        <v>52</v>
      </c>
      <c r="DH79" s="253">
        <f t="shared" si="97"/>
        <v>4.6706813164156792E-2</v>
      </c>
      <c r="DI79" s="249">
        <v>49</v>
      </c>
      <c r="DJ79" s="249">
        <v>49</v>
      </c>
      <c r="DL79" s="151">
        <v>9078</v>
      </c>
      <c r="DM79" s="248"/>
      <c r="DN79" s="252" t="s">
        <v>3131</v>
      </c>
      <c r="DO79" s="252" t="s">
        <v>1950</v>
      </c>
      <c r="DP79" s="252"/>
      <c r="DQ79" s="250"/>
      <c r="DR79" s="261" t="s">
        <v>3047</v>
      </c>
      <c r="DS79" s="248" t="s">
        <v>3047</v>
      </c>
      <c r="DT79" s="275">
        <v>43282</v>
      </c>
      <c r="DU79" s="275">
        <v>43646</v>
      </c>
      <c r="DV79" s="261" t="s">
        <v>3047</v>
      </c>
      <c r="DW79" s="152">
        <f t="shared" si="75"/>
        <v>1.3771809255457146</v>
      </c>
      <c r="DX79" s="152">
        <f t="shared" si="76"/>
        <v>0</v>
      </c>
      <c r="DY79" s="152">
        <f t="shared" si="77"/>
        <v>2.7246600290360545</v>
      </c>
      <c r="DZ79" s="152">
        <f t="shared" si="78"/>
        <v>3.2161467952958156</v>
      </c>
      <c r="EA79" s="153">
        <f t="shared" si="100"/>
        <v>0.24739205374851042</v>
      </c>
      <c r="EB79" s="243">
        <f t="shared" si="98"/>
        <v>0.24301114904028506</v>
      </c>
    </row>
    <row r="80" spans="1:132" ht="15" thickBot="1" x14ac:dyDescent="0.35">
      <c r="A80" s="261" t="s">
        <v>3048</v>
      </c>
      <c r="B80" s="388" t="s">
        <v>3269</v>
      </c>
      <c r="C80" s="263">
        <v>1073993</v>
      </c>
      <c r="D80" s="250">
        <v>22</v>
      </c>
      <c r="E80" s="250">
        <v>0</v>
      </c>
      <c r="F80" s="249">
        <v>290015</v>
      </c>
      <c r="H80" s="151">
        <f t="shared" si="65"/>
        <v>290015</v>
      </c>
      <c r="I80" s="152">
        <v>0.29443999999999998</v>
      </c>
      <c r="J80" s="251">
        <v>12363115</v>
      </c>
      <c r="K80" s="251">
        <v>5656686</v>
      </c>
      <c r="L80" s="158">
        <f t="shared" si="79"/>
        <v>18019801</v>
      </c>
      <c r="M80" s="153">
        <f t="shared" si="80"/>
        <v>16.778322577521454</v>
      </c>
      <c r="N80" s="251">
        <v>3102973</v>
      </c>
      <c r="O80" s="251">
        <v>1601498</v>
      </c>
      <c r="P80" s="268">
        <v>0</v>
      </c>
      <c r="Q80" s="158">
        <v>4704471</v>
      </c>
      <c r="R80" s="153">
        <f t="shared" si="81"/>
        <v>4.3803553654446539</v>
      </c>
      <c r="S80" s="268">
        <v>4408741</v>
      </c>
      <c r="T80" s="251">
        <v>27133013</v>
      </c>
      <c r="U80" s="251">
        <v>0</v>
      </c>
      <c r="V80" s="251">
        <v>27133013</v>
      </c>
      <c r="W80" s="153">
        <f t="shared" si="82"/>
        <v>25.263677696223347</v>
      </c>
      <c r="X80" s="154">
        <f t="shared" si="83"/>
        <v>0.66412827060525859</v>
      </c>
      <c r="Y80" s="154">
        <f t="shared" si="84"/>
        <v>0.17338549905976164</v>
      </c>
      <c r="Z80" s="154">
        <f t="shared" si="85"/>
        <v>0.16248623033497975</v>
      </c>
      <c r="AA80" s="154">
        <f t="shared" si="86"/>
        <v>0</v>
      </c>
      <c r="AB80" s="251">
        <v>3663000</v>
      </c>
      <c r="AE80" s="251"/>
      <c r="AF80" s="251">
        <v>27133013</v>
      </c>
      <c r="AG80" s="251">
        <v>28872911</v>
      </c>
      <c r="AH80" s="251"/>
      <c r="AI80" s="158">
        <f t="shared" si="66"/>
        <v>56005924</v>
      </c>
      <c r="AJ80" s="153">
        <f t="shared" si="87"/>
        <v>52.147382711060501</v>
      </c>
      <c r="AK80" s="251">
        <v>596449</v>
      </c>
      <c r="AL80" s="251">
        <v>1701</v>
      </c>
      <c r="AM80" s="251">
        <v>0</v>
      </c>
      <c r="AN80" s="251"/>
      <c r="AO80" s="158">
        <f t="shared" si="88"/>
        <v>0</v>
      </c>
      <c r="AP80" s="251">
        <v>29471061</v>
      </c>
      <c r="AQ80" s="155">
        <f t="shared" si="89"/>
        <v>27.440645330090607</v>
      </c>
      <c r="AR80" s="251"/>
      <c r="AS80" s="268">
        <v>0</v>
      </c>
      <c r="AT80" s="251">
        <v>0</v>
      </c>
      <c r="AU80" s="268">
        <v>0</v>
      </c>
      <c r="AV80" s="268">
        <v>0</v>
      </c>
      <c r="AW80" s="251"/>
      <c r="AX80" s="268">
        <v>0</v>
      </c>
      <c r="AY80" s="158">
        <f t="shared" si="90"/>
        <v>0</v>
      </c>
      <c r="AZ80" s="249">
        <v>1717891</v>
      </c>
      <c r="BA80" s="152">
        <f t="shared" si="67"/>
        <v>1.5995364960479259</v>
      </c>
      <c r="BB80" s="269">
        <v>31113</v>
      </c>
      <c r="BC80" s="269">
        <v>31113</v>
      </c>
      <c r="BD80" s="269">
        <v>0</v>
      </c>
      <c r="BE80" s="269">
        <v>1752</v>
      </c>
      <c r="BF80" s="269">
        <v>142446</v>
      </c>
      <c r="BG80" s="269">
        <v>4</v>
      </c>
      <c r="BH80" s="269">
        <v>89</v>
      </c>
      <c r="BI80" s="249">
        <v>0</v>
      </c>
      <c r="BJ80" s="159">
        <f t="shared" si="91"/>
        <v>93</v>
      </c>
      <c r="BK80" s="269">
        <v>1958880</v>
      </c>
      <c r="BL80" s="152">
        <f t="shared" si="68"/>
        <v>1.82392250228819</v>
      </c>
      <c r="BM80" s="269">
        <v>1282</v>
      </c>
      <c r="BN80" s="249">
        <v>266107</v>
      </c>
      <c r="BO80" s="152">
        <f t="shared" si="69"/>
        <v>0.2477734957304191</v>
      </c>
      <c r="BP80" s="249">
        <v>5777600</v>
      </c>
      <c r="BQ80" s="249">
        <v>0</v>
      </c>
      <c r="BR80" s="276">
        <f t="shared" si="92"/>
        <v>8718661</v>
      </c>
      <c r="BS80" s="276">
        <v>2826408</v>
      </c>
      <c r="BT80" s="269">
        <v>11545069</v>
      </c>
      <c r="BU80" s="152">
        <f t="shared" si="70"/>
        <v>10.74966875947981</v>
      </c>
      <c r="BV80" s="151">
        <f t="shared" si="101"/>
        <v>40580.207381370827</v>
      </c>
      <c r="BW80" s="152">
        <f t="shared" si="71"/>
        <v>229.26898482802446</v>
      </c>
      <c r="BX80" s="152">
        <f t="shared" si="72"/>
        <v>4.5194953697469256</v>
      </c>
      <c r="BY80" s="152">
        <f t="shared" si="93"/>
        <v>5.8937091603365186</v>
      </c>
      <c r="BZ80" s="249">
        <v>8427</v>
      </c>
      <c r="CA80" s="249">
        <v>457</v>
      </c>
      <c r="CB80" s="249">
        <v>906</v>
      </c>
      <c r="CC80" s="156">
        <f t="shared" si="94"/>
        <v>9790</v>
      </c>
      <c r="CD80" s="249">
        <v>326986</v>
      </c>
      <c r="CE80" s="249">
        <v>13471</v>
      </c>
      <c r="CF80" s="249">
        <v>17594</v>
      </c>
      <c r="CG80" s="159">
        <f t="shared" si="95"/>
        <v>358051</v>
      </c>
      <c r="CH80" s="152">
        <f t="shared" si="73"/>
        <v>0.33338299225413948</v>
      </c>
      <c r="CI80" s="249">
        <v>2554504</v>
      </c>
      <c r="CJ80" s="152">
        <f t="shared" si="74"/>
        <v>2.3785108469049612</v>
      </c>
      <c r="CK80" s="269">
        <v>396395</v>
      </c>
      <c r="CL80" s="252" t="s">
        <v>25</v>
      </c>
      <c r="CM80" s="252" t="s">
        <v>25</v>
      </c>
      <c r="CN80" s="252" t="s">
        <v>25</v>
      </c>
      <c r="CO80" s="253">
        <v>148.5</v>
      </c>
      <c r="CP80" s="151">
        <f t="shared" si="104"/>
        <v>7232.2760942760942</v>
      </c>
      <c r="CQ80" s="253">
        <v>0</v>
      </c>
      <c r="CR80" s="253">
        <v>136</v>
      </c>
      <c r="CS80" s="223">
        <f t="shared" si="96"/>
        <v>284.5</v>
      </c>
      <c r="CT80" s="151">
        <f t="shared" si="102"/>
        <v>3775.0193321616871</v>
      </c>
      <c r="CU80" s="249">
        <v>10399</v>
      </c>
      <c r="CV80" s="251">
        <v>134664</v>
      </c>
      <c r="CW80" s="253">
        <v>40</v>
      </c>
      <c r="CX80" s="252" t="s">
        <v>25</v>
      </c>
      <c r="CY80" s="252" t="s">
        <v>25</v>
      </c>
      <c r="CZ80" s="249">
        <v>15178</v>
      </c>
      <c r="DA80" s="249">
        <v>312</v>
      </c>
      <c r="DB80" s="249">
        <v>488</v>
      </c>
      <c r="DC80" s="249">
        <v>311841</v>
      </c>
      <c r="DD80" s="249">
        <v>1284698</v>
      </c>
      <c r="DE80" s="249">
        <v>4443087</v>
      </c>
      <c r="DF80" s="249">
        <v>67014</v>
      </c>
      <c r="DG80" s="249">
        <v>51</v>
      </c>
      <c r="DH80" s="253">
        <f t="shared" si="97"/>
        <v>6.2397054729406987E-2</v>
      </c>
      <c r="DI80" s="249">
        <v>45</v>
      </c>
      <c r="DJ80" s="249">
        <v>45</v>
      </c>
      <c r="DL80" s="151">
        <v>50356</v>
      </c>
      <c r="DM80" s="248"/>
      <c r="DN80" s="252" t="s">
        <v>3132</v>
      </c>
      <c r="DO80" s="252" t="s">
        <v>1950</v>
      </c>
      <c r="DP80" s="252"/>
      <c r="DQ80" s="250"/>
      <c r="DR80" s="261" t="s">
        <v>3048</v>
      </c>
      <c r="DS80" s="248" t="s">
        <v>3048</v>
      </c>
      <c r="DT80" s="275">
        <v>43282</v>
      </c>
      <c r="DU80" s="275">
        <v>43646</v>
      </c>
      <c r="DV80" s="261" t="s">
        <v>3048</v>
      </c>
      <c r="DW80" s="152">
        <f t="shared" si="75"/>
        <v>5.3795508909275949</v>
      </c>
      <c r="DX80" s="152">
        <f t="shared" si="76"/>
        <v>0</v>
      </c>
      <c r="DY80" s="152">
        <f t="shared" si="77"/>
        <v>8.1179868025210595</v>
      </c>
      <c r="DZ80" s="152">
        <f t="shared" si="78"/>
        <v>2.6316819569587513</v>
      </c>
      <c r="EA80" s="153">
        <f t="shared" si="100"/>
        <v>0.21405333416665168</v>
      </c>
      <c r="EB80" s="243">
        <f t="shared" si="98"/>
        <v>0.56661953971259638</v>
      </c>
    </row>
    <row r="81" spans="1:132" ht="15" thickBot="1" x14ac:dyDescent="0.35">
      <c r="A81" s="261" t="s">
        <v>3049</v>
      </c>
      <c r="B81" s="388" t="s">
        <v>3270</v>
      </c>
      <c r="C81" s="263">
        <v>20174</v>
      </c>
      <c r="D81" s="250">
        <v>0</v>
      </c>
      <c r="E81" s="250">
        <v>0</v>
      </c>
      <c r="F81" s="249">
        <v>13770</v>
      </c>
      <c r="H81" s="151">
        <f t="shared" si="65"/>
        <v>13770</v>
      </c>
      <c r="I81" s="152">
        <v>0.68255999999999994</v>
      </c>
      <c r="J81" s="251">
        <v>274629</v>
      </c>
      <c r="K81" s="251">
        <v>111917</v>
      </c>
      <c r="L81" s="158">
        <f t="shared" si="79"/>
        <v>386546</v>
      </c>
      <c r="M81" s="153">
        <f t="shared" si="80"/>
        <v>19.160602756022602</v>
      </c>
      <c r="N81" s="251">
        <v>19705</v>
      </c>
      <c r="O81" s="251">
        <v>0</v>
      </c>
      <c r="P81" s="268">
        <v>1052</v>
      </c>
      <c r="Q81" s="158">
        <v>20757</v>
      </c>
      <c r="R81" s="153">
        <f t="shared" si="81"/>
        <v>1.0288985823336969</v>
      </c>
      <c r="S81" s="268">
        <v>75504</v>
      </c>
      <c r="T81" s="251">
        <v>482807</v>
      </c>
      <c r="U81" s="251">
        <v>0</v>
      </c>
      <c r="V81" s="251">
        <v>482807</v>
      </c>
      <c r="W81" s="153">
        <f t="shared" si="82"/>
        <v>23.932140378705263</v>
      </c>
      <c r="X81" s="154">
        <f t="shared" si="83"/>
        <v>0.8006221947900507</v>
      </c>
      <c r="Y81" s="154">
        <f t="shared" si="84"/>
        <v>4.2992334411058666E-2</v>
      </c>
      <c r="Z81" s="154">
        <f t="shared" si="85"/>
        <v>0.15638547079889065</v>
      </c>
      <c r="AA81" s="154">
        <f t="shared" si="86"/>
        <v>0</v>
      </c>
      <c r="AB81" s="251">
        <v>0</v>
      </c>
      <c r="AE81" s="251"/>
      <c r="AF81" s="251">
        <v>482807</v>
      </c>
      <c r="AG81" s="251">
        <v>409524</v>
      </c>
      <c r="AH81" s="251"/>
      <c r="AI81" s="158">
        <f t="shared" si="66"/>
        <v>892331</v>
      </c>
      <c r="AJ81" s="153">
        <f t="shared" si="87"/>
        <v>44.231733914940023</v>
      </c>
      <c r="AK81" s="251">
        <v>80713</v>
      </c>
      <c r="AL81" s="251">
        <v>0</v>
      </c>
      <c r="AM81" s="251">
        <v>3841</v>
      </c>
      <c r="AN81" s="251"/>
      <c r="AO81" s="158">
        <f t="shared" si="88"/>
        <v>3841</v>
      </c>
      <c r="AP81" s="251">
        <v>494078</v>
      </c>
      <c r="AQ81" s="155">
        <f t="shared" si="89"/>
        <v>24.490829780906118</v>
      </c>
      <c r="AR81" s="251"/>
      <c r="AS81" s="268">
        <v>0</v>
      </c>
      <c r="AT81" s="251">
        <v>0</v>
      </c>
      <c r="AU81" s="268">
        <v>0</v>
      </c>
      <c r="AV81" s="268">
        <v>0</v>
      </c>
      <c r="AW81" s="251"/>
      <c r="AX81" s="268">
        <v>0</v>
      </c>
      <c r="AY81" s="158">
        <f t="shared" si="90"/>
        <v>0</v>
      </c>
      <c r="AZ81" s="249">
        <v>31622</v>
      </c>
      <c r="BA81" s="152">
        <f t="shared" si="67"/>
        <v>1.5674630712798652</v>
      </c>
      <c r="BB81" s="269">
        <v>1313</v>
      </c>
      <c r="BC81" s="269">
        <v>1313</v>
      </c>
      <c r="BD81" s="269">
        <v>2739</v>
      </c>
      <c r="BE81" s="269">
        <v>1752</v>
      </c>
      <c r="BF81" s="269">
        <v>71510</v>
      </c>
      <c r="BG81" s="269">
        <v>0</v>
      </c>
      <c r="BH81" s="269">
        <v>89</v>
      </c>
      <c r="BI81" s="249">
        <v>0</v>
      </c>
      <c r="BJ81" s="159">
        <f t="shared" si="91"/>
        <v>89</v>
      </c>
      <c r="BK81" s="269">
        <v>121680</v>
      </c>
      <c r="BL81" s="152">
        <f t="shared" si="68"/>
        <v>6.0315257261822151</v>
      </c>
      <c r="BM81" s="269">
        <v>33</v>
      </c>
      <c r="BN81" s="249">
        <v>9208</v>
      </c>
      <c r="BO81" s="152">
        <f t="shared" si="69"/>
        <v>0.45642906711608999</v>
      </c>
      <c r="BP81" s="249">
        <v>9134</v>
      </c>
      <c r="BQ81" s="249">
        <v>0</v>
      </c>
      <c r="BR81" s="276">
        <f t="shared" si="92"/>
        <v>28409</v>
      </c>
      <c r="BS81" s="276">
        <v>2265</v>
      </c>
      <c r="BT81" s="269">
        <v>30674</v>
      </c>
      <c r="BU81" s="152">
        <f t="shared" si="70"/>
        <v>1.520471894517696</v>
      </c>
      <c r="BV81" s="151">
        <f t="shared" si="101"/>
        <v>3608.705882352941</v>
      </c>
      <c r="BW81" s="152">
        <f t="shared" si="71"/>
        <v>14.747115384615384</v>
      </c>
      <c r="BX81" s="152">
        <f t="shared" si="72"/>
        <v>1.110371040723982</v>
      </c>
      <c r="BY81" s="152">
        <f t="shared" si="93"/>
        <v>0.25208744247205783</v>
      </c>
      <c r="BZ81" s="249">
        <v>79</v>
      </c>
      <c r="CA81" s="249">
        <v>50</v>
      </c>
      <c r="CB81" s="249">
        <v>67</v>
      </c>
      <c r="CC81" s="156">
        <f t="shared" si="94"/>
        <v>196</v>
      </c>
      <c r="CD81" s="249">
        <v>1091</v>
      </c>
      <c r="CE81" s="249">
        <v>376</v>
      </c>
      <c r="CF81" s="249">
        <v>529</v>
      </c>
      <c r="CG81" s="159">
        <f t="shared" si="95"/>
        <v>1996</v>
      </c>
      <c r="CH81" s="152">
        <f t="shared" si="73"/>
        <v>9.893922871022108E-2</v>
      </c>
      <c r="CI81" s="249">
        <v>27625</v>
      </c>
      <c r="CJ81" s="152">
        <f t="shared" si="74"/>
        <v>1.3693367701001289</v>
      </c>
      <c r="CK81" s="269">
        <v>12341</v>
      </c>
      <c r="CL81" s="252" t="s">
        <v>25</v>
      </c>
      <c r="CM81" s="252" t="s">
        <v>25</v>
      </c>
      <c r="CN81" s="252" t="s">
        <v>25</v>
      </c>
      <c r="CO81" s="253">
        <v>1</v>
      </c>
      <c r="CP81" s="151">
        <f t="shared" si="104"/>
        <v>20174</v>
      </c>
      <c r="CQ81" s="253">
        <v>0</v>
      </c>
      <c r="CR81" s="253">
        <v>7.5</v>
      </c>
      <c r="CS81" s="223">
        <f t="shared" si="96"/>
        <v>8.5</v>
      </c>
      <c r="CT81" s="151">
        <f t="shared" si="102"/>
        <v>2373.4117647058824</v>
      </c>
      <c r="CU81" s="249">
        <v>287</v>
      </c>
      <c r="CV81" s="251">
        <v>65282</v>
      </c>
      <c r="CW81" s="253">
        <v>40</v>
      </c>
      <c r="CX81" s="252" t="s">
        <v>25</v>
      </c>
      <c r="CY81" s="252" t="s">
        <v>25</v>
      </c>
      <c r="CZ81" s="249">
        <v>55</v>
      </c>
      <c r="DA81" s="249">
        <v>0</v>
      </c>
      <c r="DB81" s="249">
        <v>32</v>
      </c>
      <c r="DC81" s="249">
        <v>8535</v>
      </c>
      <c r="DD81" s="249" t="s">
        <v>3137</v>
      </c>
      <c r="DE81" s="249">
        <v>277933</v>
      </c>
      <c r="DF81" s="249">
        <v>2704</v>
      </c>
      <c r="DG81" s="249">
        <v>52</v>
      </c>
      <c r="DH81" s="253">
        <f t="shared" si="97"/>
        <v>0.13403390502627144</v>
      </c>
      <c r="DI81" s="249">
        <v>56</v>
      </c>
      <c r="DJ81" s="249">
        <v>56</v>
      </c>
      <c r="DL81" s="151">
        <v>2080</v>
      </c>
      <c r="DM81" s="248"/>
      <c r="DN81" s="252" t="s">
        <v>3133</v>
      </c>
      <c r="DO81" s="252" t="s">
        <v>1950</v>
      </c>
      <c r="DP81" s="252"/>
      <c r="DQ81" s="250"/>
      <c r="DR81" s="261" t="s">
        <v>3049</v>
      </c>
      <c r="DS81" s="248" t="s">
        <v>3049</v>
      </c>
      <c r="DT81" s="275">
        <v>43282</v>
      </c>
      <c r="DU81" s="275">
        <v>43646</v>
      </c>
      <c r="DV81" s="261" t="s">
        <v>3049</v>
      </c>
      <c r="DW81" s="152">
        <f t="shared" si="75"/>
        <v>0.45276097947853672</v>
      </c>
      <c r="DX81" s="152">
        <f t="shared" si="76"/>
        <v>0</v>
      </c>
      <c r="DY81" s="152">
        <f t="shared" si="77"/>
        <v>1.4081986715574502</v>
      </c>
      <c r="DZ81" s="152">
        <f t="shared" si="78"/>
        <v>0.11227322296024586</v>
      </c>
      <c r="EA81" s="153">
        <f t="shared" si="100"/>
        <v>0.52486482167115045</v>
      </c>
      <c r="EB81" s="243">
        <f t="shared" si="98"/>
        <v>0</v>
      </c>
    </row>
    <row r="82" spans="1:132" ht="15" thickBot="1" x14ac:dyDescent="0.35">
      <c r="A82" s="261" t="s">
        <v>3050</v>
      </c>
      <c r="B82" s="388" t="s">
        <v>3271</v>
      </c>
      <c r="C82" s="263">
        <v>124658</v>
      </c>
      <c r="D82" s="250">
        <v>3</v>
      </c>
      <c r="E82" s="250">
        <v>0</v>
      </c>
      <c r="F82" s="249">
        <v>46670</v>
      </c>
      <c r="H82" s="151">
        <f t="shared" si="65"/>
        <v>46670</v>
      </c>
      <c r="I82" s="152">
        <v>0.37437999999999999</v>
      </c>
      <c r="J82" s="251">
        <v>1219511</v>
      </c>
      <c r="K82" s="251">
        <v>405659</v>
      </c>
      <c r="L82" s="158">
        <f t="shared" si="79"/>
        <v>1625170</v>
      </c>
      <c r="M82" s="153">
        <f t="shared" si="80"/>
        <v>13.037029312198174</v>
      </c>
      <c r="N82" s="251">
        <v>139412</v>
      </c>
      <c r="O82" s="251">
        <v>45374</v>
      </c>
      <c r="P82" s="268">
        <v>22615</v>
      </c>
      <c r="Q82" s="158">
        <v>207401</v>
      </c>
      <c r="R82" s="153">
        <f t="shared" si="81"/>
        <v>1.6637600474899326</v>
      </c>
      <c r="S82" s="268">
        <v>168994</v>
      </c>
      <c r="T82" s="251">
        <v>2001565</v>
      </c>
      <c r="U82" s="251">
        <v>0</v>
      </c>
      <c r="V82" s="251">
        <v>2001565</v>
      </c>
      <c r="W82" s="153">
        <f t="shared" si="82"/>
        <v>16.056450448426897</v>
      </c>
      <c r="X82" s="154">
        <f t="shared" si="83"/>
        <v>0.811949649399345</v>
      </c>
      <c r="Y82" s="154">
        <f t="shared" si="84"/>
        <v>0.10361941780556715</v>
      </c>
      <c r="Z82" s="154">
        <f t="shared" si="85"/>
        <v>8.4430932795087843E-2</v>
      </c>
      <c r="AA82" s="154">
        <f t="shared" si="86"/>
        <v>0</v>
      </c>
      <c r="AB82" s="251">
        <v>17908</v>
      </c>
      <c r="AE82" s="251"/>
      <c r="AF82" s="251">
        <v>2001565</v>
      </c>
      <c r="AG82" s="251">
        <v>1950417</v>
      </c>
      <c r="AH82" s="251"/>
      <c r="AI82" s="158">
        <f t="shared" si="66"/>
        <v>3951982</v>
      </c>
      <c r="AJ82" s="153">
        <f t="shared" si="87"/>
        <v>31.702594297999326</v>
      </c>
      <c r="AK82" s="251">
        <v>242279</v>
      </c>
      <c r="AL82" s="251">
        <v>26301</v>
      </c>
      <c r="AM82" s="251">
        <v>42757</v>
      </c>
      <c r="AN82" s="251"/>
      <c r="AO82" s="158">
        <f t="shared" si="88"/>
        <v>42757</v>
      </c>
      <c r="AP82" s="251">
        <v>2261754</v>
      </c>
      <c r="AQ82" s="155">
        <f t="shared" si="89"/>
        <v>18.14367308957307</v>
      </c>
      <c r="AR82" s="251"/>
      <c r="AS82" s="268">
        <v>0</v>
      </c>
      <c r="AT82" s="251">
        <v>0</v>
      </c>
      <c r="AU82" s="268">
        <v>0</v>
      </c>
      <c r="AV82" s="268">
        <v>0</v>
      </c>
      <c r="AW82" s="251"/>
      <c r="AX82" s="268">
        <v>14058</v>
      </c>
      <c r="AY82" s="158">
        <f t="shared" si="90"/>
        <v>14058</v>
      </c>
      <c r="AZ82" s="249">
        <v>131334</v>
      </c>
      <c r="BA82" s="152">
        <f t="shared" si="67"/>
        <v>1.0535545251808949</v>
      </c>
      <c r="BB82" s="269">
        <v>5245</v>
      </c>
      <c r="BC82" s="269">
        <v>5245</v>
      </c>
      <c r="BD82" s="269">
        <v>5037</v>
      </c>
      <c r="BE82" s="269">
        <v>2098</v>
      </c>
      <c r="BF82" s="269">
        <v>111280</v>
      </c>
      <c r="BG82" s="269">
        <v>9</v>
      </c>
      <c r="BH82" s="269">
        <v>89</v>
      </c>
      <c r="BI82" s="249">
        <v>0</v>
      </c>
      <c r="BJ82" s="159">
        <f t="shared" si="91"/>
        <v>98</v>
      </c>
      <c r="BK82" s="269">
        <v>283275</v>
      </c>
      <c r="BL82" s="152">
        <f t="shared" si="68"/>
        <v>2.2724173338253459</v>
      </c>
      <c r="BM82" s="269">
        <v>178</v>
      </c>
      <c r="BN82" s="249">
        <v>98449</v>
      </c>
      <c r="BO82" s="152">
        <f t="shared" si="69"/>
        <v>0.78975276356110313</v>
      </c>
      <c r="BP82" s="249">
        <v>75587</v>
      </c>
      <c r="BQ82" s="249">
        <v>0</v>
      </c>
      <c r="BR82" s="276">
        <f t="shared" si="92"/>
        <v>163011</v>
      </c>
      <c r="BS82" s="276">
        <v>61677</v>
      </c>
      <c r="BT82" s="269">
        <v>224688</v>
      </c>
      <c r="BU82" s="152">
        <f t="shared" si="70"/>
        <v>1.8024354634279389</v>
      </c>
      <c r="BV82" s="151">
        <f t="shared" si="101"/>
        <v>6338.1664315937933</v>
      </c>
      <c r="BW82" s="152">
        <f t="shared" si="71"/>
        <v>36.327890056588522</v>
      </c>
      <c r="BX82" s="152">
        <f t="shared" si="72"/>
        <v>1.625453045988237</v>
      </c>
      <c r="BY82" s="152">
        <f t="shared" si="93"/>
        <v>0.79317977230606296</v>
      </c>
      <c r="BZ82" s="249">
        <v>442</v>
      </c>
      <c r="CA82" s="249">
        <v>87</v>
      </c>
      <c r="CB82" s="249">
        <v>128</v>
      </c>
      <c r="CC82" s="156">
        <f t="shared" si="94"/>
        <v>657</v>
      </c>
      <c r="CD82" s="249">
        <v>13561</v>
      </c>
      <c r="CE82" s="249">
        <v>1914</v>
      </c>
      <c r="CF82" s="249">
        <v>1964</v>
      </c>
      <c r="CG82" s="159">
        <f t="shared" si="95"/>
        <v>17439</v>
      </c>
      <c r="CH82" s="152">
        <f t="shared" si="73"/>
        <v>0.13989475204158577</v>
      </c>
      <c r="CI82" s="249">
        <v>138231</v>
      </c>
      <c r="CJ82" s="152">
        <f t="shared" si="74"/>
        <v>1.10888190088081</v>
      </c>
      <c r="CK82" s="269">
        <v>46700</v>
      </c>
      <c r="CL82" s="252" t="s">
        <v>25</v>
      </c>
      <c r="CM82" s="252" t="s">
        <v>25</v>
      </c>
      <c r="CN82" s="252" t="s">
        <v>25</v>
      </c>
      <c r="CO82" s="253">
        <v>10</v>
      </c>
      <c r="CP82" s="151">
        <f t="shared" si="104"/>
        <v>12465.8</v>
      </c>
      <c r="CQ82" s="253">
        <v>4.1500000000000004</v>
      </c>
      <c r="CR82" s="253">
        <v>21.3</v>
      </c>
      <c r="CS82" s="223">
        <f t="shared" si="96"/>
        <v>35.450000000000003</v>
      </c>
      <c r="CT82" s="151">
        <f t="shared" si="102"/>
        <v>3516.4456981664312</v>
      </c>
      <c r="CU82" s="249">
        <v>559</v>
      </c>
      <c r="CV82" s="251">
        <v>86372</v>
      </c>
      <c r="CW82" s="253">
        <v>40</v>
      </c>
      <c r="CX82" s="252" t="s">
        <v>25</v>
      </c>
      <c r="CY82" s="252" t="s">
        <v>25</v>
      </c>
      <c r="CZ82" s="249">
        <v>14779</v>
      </c>
      <c r="DA82" s="249">
        <v>8492</v>
      </c>
      <c r="DB82" s="249">
        <v>121</v>
      </c>
      <c r="DC82" s="249">
        <v>34914</v>
      </c>
      <c r="DD82" s="249">
        <v>56489</v>
      </c>
      <c r="DE82" s="249">
        <v>56489</v>
      </c>
      <c r="DF82" s="249">
        <v>8128</v>
      </c>
      <c r="DG82" s="249">
        <v>52</v>
      </c>
      <c r="DH82" s="253">
        <f t="shared" si="97"/>
        <v>6.5202393749298079E-2</v>
      </c>
      <c r="DI82" s="249">
        <v>69</v>
      </c>
      <c r="DJ82" s="249">
        <v>69</v>
      </c>
      <c r="DL82" s="151">
        <v>6185</v>
      </c>
      <c r="DM82" s="248"/>
      <c r="DN82" s="252" t="s">
        <v>3134</v>
      </c>
      <c r="DO82" s="252" t="s">
        <v>1950</v>
      </c>
      <c r="DP82" s="252"/>
      <c r="DQ82" s="250"/>
      <c r="DR82" s="261" t="s">
        <v>3050</v>
      </c>
      <c r="DS82" s="248" t="s">
        <v>3050</v>
      </c>
      <c r="DT82" s="275">
        <v>43282</v>
      </c>
      <c r="DU82" s="275">
        <v>43646</v>
      </c>
      <c r="DV82" s="261" t="s">
        <v>3050</v>
      </c>
      <c r="DW82" s="152">
        <f t="shared" si="75"/>
        <v>0.60635498724510262</v>
      </c>
      <c r="DX82" s="152">
        <f t="shared" si="76"/>
        <v>0</v>
      </c>
      <c r="DY82" s="152">
        <f t="shared" si="77"/>
        <v>1.3076657735564505</v>
      </c>
      <c r="DZ82" s="152">
        <f t="shared" si="78"/>
        <v>0.49476968987148839</v>
      </c>
      <c r="EA82" s="153">
        <f t="shared" si="100"/>
        <v>0.58429659930091615</v>
      </c>
      <c r="EB82" s="243">
        <f t="shared" si="98"/>
        <v>0.73567131994098289</v>
      </c>
    </row>
    <row r="83" spans="1:132" ht="15" thickBot="1" x14ac:dyDescent="0.35">
      <c r="A83" s="261" t="s">
        <v>3051</v>
      </c>
      <c r="B83" s="388" t="s">
        <v>3272</v>
      </c>
      <c r="C83" s="264">
        <v>81968</v>
      </c>
      <c r="D83" s="250">
        <v>5</v>
      </c>
      <c r="E83" s="250">
        <v>1</v>
      </c>
      <c r="F83" s="249">
        <v>53763</v>
      </c>
      <c r="H83" s="151">
        <f t="shared" si="65"/>
        <v>53763</v>
      </c>
      <c r="I83" s="152">
        <v>0.65651000000000004</v>
      </c>
      <c r="J83" s="251">
        <v>1016722</v>
      </c>
      <c r="K83" s="251">
        <v>361504</v>
      </c>
      <c r="L83" s="158">
        <f t="shared" si="79"/>
        <v>1378226</v>
      </c>
      <c r="M83" s="153">
        <f t="shared" si="80"/>
        <v>16.814195783720475</v>
      </c>
      <c r="N83" s="251">
        <v>79571</v>
      </c>
      <c r="O83" s="251">
        <v>18521</v>
      </c>
      <c r="P83" s="268">
        <v>5895</v>
      </c>
      <c r="Q83" s="158">
        <v>103987</v>
      </c>
      <c r="R83" s="153">
        <f t="shared" si="81"/>
        <v>1.268629221159477</v>
      </c>
      <c r="S83" s="268">
        <v>523324</v>
      </c>
      <c r="T83" s="251">
        <v>2005537</v>
      </c>
      <c r="U83" s="251">
        <v>0</v>
      </c>
      <c r="V83" s="251">
        <v>2005537</v>
      </c>
      <c r="W83" s="153">
        <f t="shared" si="82"/>
        <v>24.467316513761467</v>
      </c>
      <c r="X83" s="154">
        <f t="shared" si="83"/>
        <v>0.68721045784744939</v>
      </c>
      <c r="Y83" s="154">
        <f t="shared" si="84"/>
        <v>5.1849953404001024E-2</v>
      </c>
      <c r="Z83" s="154">
        <f t="shared" si="85"/>
        <v>0.26093958874854967</v>
      </c>
      <c r="AA83" s="154">
        <f t="shared" si="86"/>
        <v>0</v>
      </c>
      <c r="AB83" s="251">
        <v>10178</v>
      </c>
      <c r="AE83" s="251"/>
      <c r="AF83" s="251">
        <v>2005537</v>
      </c>
      <c r="AG83" s="251">
        <v>1753222</v>
      </c>
      <c r="AH83" s="251"/>
      <c r="AI83" s="158">
        <f t="shared" si="66"/>
        <v>3758759</v>
      </c>
      <c r="AJ83" s="153">
        <f t="shared" si="87"/>
        <v>45.856419578372048</v>
      </c>
      <c r="AK83" s="251">
        <v>128295</v>
      </c>
      <c r="AL83" s="251">
        <v>93732</v>
      </c>
      <c r="AM83" s="251">
        <v>4321</v>
      </c>
      <c r="AN83" s="251"/>
      <c r="AO83" s="158">
        <f t="shared" si="88"/>
        <v>4321</v>
      </c>
      <c r="AP83" s="251">
        <v>1979570</v>
      </c>
      <c r="AQ83" s="155">
        <f t="shared" si="89"/>
        <v>24.150522154987311</v>
      </c>
      <c r="AR83" s="251"/>
      <c r="AS83" s="268">
        <v>387164</v>
      </c>
      <c r="AT83" s="251">
        <v>0</v>
      </c>
      <c r="AU83" s="268">
        <v>0</v>
      </c>
      <c r="AV83" s="268">
        <v>0</v>
      </c>
      <c r="AW83" s="251"/>
      <c r="AX83" s="268">
        <v>0</v>
      </c>
      <c r="AY83" s="158">
        <f t="shared" si="90"/>
        <v>387164</v>
      </c>
      <c r="AZ83" s="249">
        <v>189687</v>
      </c>
      <c r="BA83" s="152">
        <f t="shared" si="67"/>
        <v>2.314159184071833</v>
      </c>
      <c r="BB83" s="269">
        <v>3377</v>
      </c>
      <c r="BC83" s="269">
        <v>3377</v>
      </c>
      <c r="BD83" s="269">
        <v>7538</v>
      </c>
      <c r="BE83" s="269">
        <v>1752</v>
      </c>
      <c r="BF83" s="269">
        <v>72908</v>
      </c>
      <c r="BG83" s="269">
        <v>3</v>
      </c>
      <c r="BH83" s="269">
        <v>89</v>
      </c>
      <c r="BI83" s="249">
        <v>0</v>
      </c>
      <c r="BJ83" s="159">
        <f t="shared" si="91"/>
        <v>92</v>
      </c>
      <c r="BK83" s="269">
        <v>288619</v>
      </c>
      <c r="BL83" s="152">
        <f t="shared" si="68"/>
        <v>3.5211179972672264</v>
      </c>
      <c r="BM83" s="269">
        <v>87</v>
      </c>
      <c r="BN83" s="249">
        <v>20903</v>
      </c>
      <c r="BO83" s="152">
        <f t="shared" si="69"/>
        <v>0.25501415186414211</v>
      </c>
      <c r="BP83" s="249">
        <v>93283</v>
      </c>
      <c r="BQ83" s="249">
        <v>0</v>
      </c>
      <c r="BR83" s="276">
        <f t="shared" si="92"/>
        <v>205985</v>
      </c>
      <c r="BS83" s="276">
        <v>36625</v>
      </c>
      <c r="BT83" s="269">
        <v>242610</v>
      </c>
      <c r="BU83" s="152">
        <f t="shared" si="70"/>
        <v>2.9598135857895764</v>
      </c>
      <c r="BV83" s="151">
        <f t="shared" si="101"/>
        <v>7795.9511568123389</v>
      </c>
      <c r="BW83" s="152">
        <f t="shared" si="71"/>
        <v>27.481875849569551</v>
      </c>
      <c r="BX83" s="152">
        <f t="shared" si="72"/>
        <v>1.9993077702786224</v>
      </c>
      <c r="BY83" s="152">
        <f t="shared" si="93"/>
        <v>0.84058915040243365</v>
      </c>
      <c r="BZ83" s="249">
        <v>433</v>
      </c>
      <c r="CA83" s="249">
        <v>77</v>
      </c>
      <c r="CB83" s="249">
        <v>85</v>
      </c>
      <c r="CC83" s="156">
        <f t="shared" si="94"/>
        <v>595</v>
      </c>
      <c r="CD83" s="249">
        <v>9504</v>
      </c>
      <c r="CE83" s="249">
        <v>2521</v>
      </c>
      <c r="CF83" s="249">
        <v>5807</v>
      </c>
      <c r="CG83" s="159">
        <f t="shared" si="95"/>
        <v>17832</v>
      </c>
      <c r="CH83" s="152">
        <f t="shared" si="73"/>
        <v>0.21754831153620927</v>
      </c>
      <c r="CI83" s="249">
        <v>121347</v>
      </c>
      <c r="CJ83" s="152">
        <f t="shared" si="74"/>
        <v>1.4804191879757955</v>
      </c>
      <c r="CK83" s="269">
        <v>38618</v>
      </c>
      <c r="CL83" s="252" t="s">
        <v>25</v>
      </c>
      <c r="CM83" s="252" t="s">
        <v>25</v>
      </c>
      <c r="CN83" s="252" t="s">
        <v>25</v>
      </c>
      <c r="CO83" s="253">
        <v>6</v>
      </c>
      <c r="CP83" s="151">
        <f t="shared" si="104"/>
        <v>13661.333333333334</v>
      </c>
      <c r="CQ83" s="253">
        <v>1</v>
      </c>
      <c r="CR83" s="253">
        <v>24.12</v>
      </c>
      <c r="CS83" s="223">
        <f t="shared" si="96"/>
        <v>31.12</v>
      </c>
      <c r="CT83" s="151">
        <f t="shared" si="102"/>
        <v>2633.9331619537274</v>
      </c>
      <c r="CU83" s="249">
        <v>369</v>
      </c>
      <c r="CV83" s="251">
        <v>82404</v>
      </c>
      <c r="CW83" s="253">
        <v>40</v>
      </c>
      <c r="CX83" s="252" t="s">
        <v>25</v>
      </c>
      <c r="CY83" s="252" t="s">
        <v>25</v>
      </c>
      <c r="CZ83" s="249">
        <v>47</v>
      </c>
      <c r="DA83" s="249">
        <v>79</v>
      </c>
      <c r="DB83" s="249">
        <v>87</v>
      </c>
      <c r="DC83" s="249">
        <v>18068</v>
      </c>
      <c r="DD83" s="249">
        <v>24299</v>
      </c>
      <c r="DE83" s="249" t="s">
        <v>3137</v>
      </c>
      <c r="DF83" s="249">
        <v>11063</v>
      </c>
      <c r="DG83" s="249">
        <v>52</v>
      </c>
      <c r="DH83" s="253">
        <f t="shared" si="97"/>
        <v>0.1349673043138786</v>
      </c>
      <c r="DI83" s="249">
        <v>48</v>
      </c>
      <c r="DJ83" s="249">
        <v>48</v>
      </c>
      <c r="DL83" s="151">
        <v>8828</v>
      </c>
      <c r="DM83" s="248"/>
      <c r="DN83" s="252" t="s">
        <v>3135</v>
      </c>
      <c r="DO83" s="252" t="s">
        <v>1950</v>
      </c>
      <c r="DP83" s="252"/>
      <c r="DQ83" s="250"/>
      <c r="DR83" s="261" t="s">
        <v>3051</v>
      </c>
      <c r="DS83" s="248" t="s">
        <v>3051</v>
      </c>
      <c r="DT83" s="275">
        <v>43282</v>
      </c>
      <c r="DU83" s="275">
        <v>43646</v>
      </c>
      <c r="DV83" s="261" t="s">
        <v>3051</v>
      </c>
      <c r="DW83" s="152">
        <f t="shared" si="75"/>
        <v>1.138041674799922</v>
      </c>
      <c r="DX83" s="152">
        <f t="shared" si="76"/>
        <v>0</v>
      </c>
      <c r="DY83" s="152">
        <f t="shared" si="77"/>
        <v>2.5129928752683974</v>
      </c>
      <c r="DZ83" s="152">
        <f t="shared" si="78"/>
        <v>0.446820710521179</v>
      </c>
      <c r="EA83" s="153">
        <f t="shared" si="100"/>
        <v>0.26588542710881219</v>
      </c>
      <c r="EB83" s="243">
        <f t="shared" si="98"/>
        <v>0.50569283276450516</v>
      </c>
    </row>
    <row r="84" spans="1:132" s="161" customFormat="1" ht="15" thickBot="1" x14ac:dyDescent="0.35">
      <c r="B84" s="130" t="s">
        <v>2949</v>
      </c>
      <c r="C84" s="249"/>
      <c r="D84" s="96">
        <f>SUM(D2:D83)</f>
        <v>316</v>
      </c>
      <c r="E84" s="96">
        <f>SUM(E2:E83)</f>
        <v>20</v>
      </c>
      <c r="F84" s="96">
        <f>SUM(F2:F83)</f>
        <v>4702643</v>
      </c>
      <c r="G84" s="96">
        <f>SUM(G2:G83)</f>
        <v>0</v>
      </c>
      <c r="H84" s="96">
        <f>SUM(H2:H83)</f>
        <v>4702643</v>
      </c>
      <c r="I84" s="201">
        <f>AVERAGE(I2:I83)</f>
        <v>0.55860402439024393</v>
      </c>
      <c r="J84" s="104">
        <f t="shared" ref="J84:Q84" si="105">SUM(J2:J83)</f>
        <v>123539168</v>
      </c>
      <c r="K84" s="104">
        <f t="shared" si="105"/>
        <v>50597810</v>
      </c>
      <c r="L84" s="104">
        <f t="shared" si="105"/>
        <v>174136978</v>
      </c>
      <c r="M84" s="213">
        <f t="shared" si="105"/>
        <v>1429.8535786546913</v>
      </c>
      <c r="N84" s="104">
        <f t="shared" si="105"/>
        <v>16283387.1</v>
      </c>
      <c r="O84" s="104">
        <f t="shared" si="105"/>
        <v>9143072.3099999987</v>
      </c>
      <c r="P84" s="97">
        <f t="shared" si="105"/>
        <v>2134238.63</v>
      </c>
      <c r="Q84" s="97">
        <f t="shared" si="105"/>
        <v>27560698.039999999</v>
      </c>
      <c r="R84" s="115">
        <f>AVERAGE(R2:R83)</f>
        <v>2.4539138888612335</v>
      </c>
      <c r="S84" s="97">
        <f>SUM(S2:S83)</f>
        <v>43231958.060000002</v>
      </c>
      <c r="T84" s="97">
        <f>SUM(T2:T83)</f>
        <v>244929634.09999999</v>
      </c>
      <c r="U84" s="97">
        <f>SUM(U2:U83)</f>
        <v>97195</v>
      </c>
      <c r="V84" s="97">
        <f>SUM(V2:V83)</f>
        <v>244929634.09999999</v>
      </c>
      <c r="W84" s="115">
        <f>AVERAGE(W2:W83)</f>
        <v>23.990049306525083</v>
      </c>
      <c r="X84" s="116">
        <f>AVERAGE(X2:X83)</f>
        <v>0.73261416898678755</v>
      </c>
      <c r="Y84" s="116">
        <f>AVERAGE(Y2:Y83)</f>
        <v>0.10030630260243596</v>
      </c>
      <c r="Z84" s="116">
        <f>AVERAGE(Z2:Z83)</f>
        <v>0.16707952841077636</v>
      </c>
      <c r="AA84" s="116">
        <f>AVERAGE(AA2:AA83)</f>
        <v>6.7454827715878103E-4</v>
      </c>
      <c r="AB84" s="97">
        <f>SUM(AB2:AB83)</f>
        <v>44044446</v>
      </c>
      <c r="AC84" s="97">
        <f>SUM(AF2:AF83)</f>
        <v>244929634.09999999</v>
      </c>
      <c r="AD84" s="97">
        <f>SUM(AG2:AG83)</f>
        <v>203024829</v>
      </c>
      <c r="AE84" s="97">
        <f>SUM(AE2:AE83)</f>
        <v>0</v>
      </c>
      <c r="AF84" s="97">
        <f>SUM(AF2:AF83)</f>
        <v>244929634.09999999</v>
      </c>
      <c r="AG84" s="97">
        <f>SUM(AG2:AG83)</f>
        <v>203024829</v>
      </c>
      <c r="AH84" s="97">
        <f>SUM(AH2:AH83)</f>
        <v>0</v>
      </c>
      <c r="AI84" s="97">
        <f>SUM(AI2:AI83)</f>
        <v>447954463.10000002</v>
      </c>
      <c r="AJ84" s="160">
        <f>AVERAGE(AJ2:AJ83)</f>
        <v>38.851330074472422</v>
      </c>
      <c r="AK84" s="97">
        <f t="shared" ref="AK84:AP84" si="106">SUM(AK2:AK83)</f>
        <v>14415707</v>
      </c>
      <c r="AL84" s="97">
        <f t="shared" si="106"/>
        <v>1570272</v>
      </c>
      <c r="AM84" s="97">
        <f t="shared" si="106"/>
        <v>15082442</v>
      </c>
      <c r="AN84" s="97">
        <f t="shared" si="106"/>
        <v>0</v>
      </c>
      <c r="AO84" s="97">
        <f t="shared" si="106"/>
        <v>15082442</v>
      </c>
      <c r="AP84" s="97">
        <f t="shared" si="106"/>
        <v>262746089</v>
      </c>
      <c r="AQ84" s="115">
        <f>AVERAGE(AQ2:AQ83)</f>
        <v>25.396720968539146</v>
      </c>
      <c r="AR84" s="97">
        <f t="shared" ref="AR84:AZ84" si="107">SUM(AR2:AR83)</f>
        <v>0</v>
      </c>
      <c r="AS84" s="97">
        <f t="shared" si="107"/>
        <v>17731099</v>
      </c>
      <c r="AT84" s="97">
        <f t="shared" si="107"/>
        <v>0</v>
      </c>
      <c r="AU84" s="97">
        <f t="shared" si="107"/>
        <v>450000</v>
      </c>
      <c r="AV84" s="97">
        <f t="shared" si="107"/>
        <v>144136</v>
      </c>
      <c r="AW84" s="97">
        <f t="shared" si="107"/>
        <v>0</v>
      </c>
      <c r="AX84" s="97">
        <f t="shared" si="107"/>
        <v>967789</v>
      </c>
      <c r="AY84" s="97">
        <f t="shared" si="107"/>
        <v>19293024</v>
      </c>
      <c r="AZ84" s="96">
        <f t="shared" si="107"/>
        <v>15011479</v>
      </c>
      <c r="BA84" s="117">
        <f>AVERAGE(BA2:BA83)</f>
        <v>1.8303539087647127</v>
      </c>
      <c r="BB84" s="96">
        <f t="shared" ref="BB84:BK84" si="108">SUM(BB2:BB83)</f>
        <v>617880</v>
      </c>
      <c r="BC84" s="96">
        <f t="shared" si="108"/>
        <v>617880</v>
      </c>
      <c r="BD84" s="96">
        <f t="shared" si="108"/>
        <v>929342</v>
      </c>
      <c r="BE84" s="96">
        <f t="shared" si="108"/>
        <v>243944</v>
      </c>
      <c r="BF84" s="96">
        <f t="shared" si="108"/>
        <v>9941227</v>
      </c>
      <c r="BG84" s="96">
        <f t="shared" si="108"/>
        <v>509</v>
      </c>
      <c r="BH84" s="96">
        <f t="shared" si="108"/>
        <v>7298</v>
      </c>
      <c r="BI84" s="96">
        <f t="shared" si="108"/>
        <v>0</v>
      </c>
      <c r="BJ84" s="96">
        <f t="shared" si="108"/>
        <v>7807</v>
      </c>
      <c r="BK84" s="96">
        <f t="shared" si="108"/>
        <v>29240741</v>
      </c>
      <c r="BL84" s="117">
        <f>AVERAGE(BL2:BL83)</f>
        <v>5.289919482323227</v>
      </c>
      <c r="BM84" s="96">
        <f>SUM(BM2:BM83)</f>
        <v>14350</v>
      </c>
      <c r="BN84" s="96">
        <f>SUM(BN2:BN83)</f>
        <v>5528463</v>
      </c>
      <c r="BO84" s="117">
        <f>AVERAGE(BO2:BO83)</f>
        <v>0.48077898841289152</v>
      </c>
      <c r="BP84" s="96">
        <f>SUM(BP2:BP83)</f>
        <v>17504576</v>
      </c>
      <c r="BQ84" s="96">
        <f>SUM(BQ2:BQ83)</f>
        <v>0</v>
      </c>
      <c r="BR84" s="96">
        <f>SUM(BR2:BR83)</f>
        <v>33113314</v>
      </c>
      <c r="BS84" s="96">
        <f>SUM(BS2:BS83)</f>
        <v>29216695</v>
      </c>
      <c r="BT84" s="96">
        <f>SUM(BT2:BT83)</f>
        <v>62330009</v>
      </c>
      <c r="BU84" s="117">
        <f>AVERAGE(BU2:BU83)</f>
        <v>4.2170592216911889</v>
      </c>
      <c r="BV84" s="96">
        <f>SUM(BV2:BV83)</f>
        <v>1020129.3165947961</v>
      </c>
      <c r="BW84" s="117">
        <f>AVERAGE(BW2:BW83)</f>
        <v>64.645577353638927</v>
      </c>
      <c r="BX84" s="117">
        <f>AVERAGE(BX2:BX83)</f>
        <v>1.9800662230484027</v>
      </c>
      <c r="BY84" s="117">
        <f>AVERAGE(BY2:BY83)</f>
        <v>1.275205534905776</v>
      </c>
      <c r="BZ84" s="96">
        <f t="shared" ref="BZ84:CG84" si="109">SUM(BZ2:BZ83)</f>
        <v>68383</v>
      </c>
      <c r="CA84" s="96">
        <f t="shared" si="109"/>
        <v>9642</v>
      </c>
      <c r="CB84" s="96">
        <f t="shared" si="109"/>
        <v>31088</v>
      </c>
      <c r="CC84" s="96">
        <f t="shared" si="109"/>
        <v>109113</v>
      </c>
      <c r="CD84" s="96">
        <f t="shared" si="109"/>
        <v>1971775</v>
      </c>
      <c r="CE84" s="96">
        <f t="shared" si="109"/>
        <v>145824</v>
      </c>
      <c r="CF84" s="96">
        <f t="shared" si="109"/>
        <v>487726</v>
      </c>
      <c r="CG84" s="96">
        <f t="shared" si="109"/>
        <v>2605325</v>
      </c>
      <c r="CH84" s="117">
        <f>AVERAGE(CH2:CH83)</f>
        <v>0.25252810133774278</v>
      </c>
      <c r="CI84" s="96">
        <v>70316664</v>
      </c>
      <c r="CJ84" s="117">
        <f>AVERAGE(CJ2:CJ83)</f>
        <v>2.1265207958881884</v>
      </c>
      <c r="CK84" s="96">
        <f>SUM(CK2:CK83)</f>
        <v>5813803</v>
      </c>
      <c r="CL84" s="98">
        <f>COUNTIFS(CL2:CL83,"=YES")</f>
        <v>81</v>
      </c>
      <c r="CM84" s="98">
        <f>COUNTIFS(CM2:CM83,"=YES")</f>
        <v>82</v>
      </c>
      <c r="CN84" s="98">
        <f>COUNTIFS(CN2:CN83,"=YES")</f>
        <v>82</v>
      </c>
      <c r="CO84" s="103">
        <f>AVERAGE(CO2:CO83)</f>
        <v>9.4025609756097559</v>
      </c>
      <c r="CP84" s="96">
        <f>AVERAGE(CP2:CP83)</f>
        <v>16132.899857650826</v>
      </c>
      <c r="CQ84" s="103">
        <f>SUM(CQ2:CQ83)</f>
        <v>59.169999999999995</v>
      </c>
      <c r="CR84" s="103">
        <f>SUM(CR2:CR83)</f>
        <v>2290.3200000000002</v>
      </c>
      <c r="CS84" s="118">
        <f>AVERAGE(CS2:CS83)</f>
        <v>38.054878048780481</v>
      </c>
      <c r="CT84" s="120">
        <f>AVERAGE(CT2:CT83)</f>
        <v>3494.5780374933361</v>
      </c>
      <c r="CU84" s="96">
        <f>SUM(CU2:CU83)</f>
        <v>165730.66999999998</v>
      </c>
      <c r="CV84" s="119">
        <f>AVERAGE(CV2:CV83)</f>
        <v>80521.951280487803</v>
      </c>
      <c r="CW84" s="211">
        <f>AVERAGE(CW2:CW83)</f>
        <v>37.307317073170729</v>
      </c>
      <c r="CX84" s="98">
        <f>COUNTIFS(CX2:CX83,"=YES")</f>
        <v>81</v>
      </c>
      <c r="CY84" s="98">
        <f>COUNTIFS(CY2:CY83,"=YES")</f>
        <v>80</v>
      </c>
      <c r="CZ84" s="96">
        <f t="shared" ref="CZ84:DF84" si="110">SUM(CZ2:CZ83)</f>
        <v>435440</v>
      </c>
      <c r="DA84" s="96">
        <f t="shared" si="110"/>
        <v>422149</v>
      </c>
      <c r="DB84" s="96">
        <f t="shared" si="110"/>
        <v>7539</v>
      </c>
      <c r="DC84" s="96">
        <f t="shared" si="110"/>
        <v>3242265</v>
      </c>
      <c r="DD84" s="96">
        <f t="shared" si="110"/>
        <v>4867204</v>
      </c>
      <c r="DE84" s="96">
        <f t="shared" si="110"/>
        <v>37335481</v>
      </c>
      <c r="DF84" s="96">
        <f t="shared" si="110"/>
        <v>950930</v>
      </c>
      <c r="DG84" s="96">
        <f>AVERAGE(DG2:DG83)</f>
        <v>50.524390243902438</v>
      </c>
      <c r="DH84" s="96">
        <f>AVERAGE(DH2:DH83)</f>
        <v>0.13537368983226386</v>
      </c>
      <c r="DI84" s="96">
        <f>AVERAGE(DI2:DI83)</f>
        <v>45.975609756097562</v>
      </c>
      <c r="DJ84" s="96">
        <f>AVERAGE(DJ2:DJ83)</f>
        <v>45.780487804878049</v>
      </c>
      <c r="DK84" s="96">
        <f>SUM(DK2:DK83)</f>
        <v>179264</v>
      </c>
      <c r="DL84" s="96">
        <f>SUM(DL2:DL83)</f>
        <v>735540.5</v>
      </c>
      <c r="DM84" s="199"/>
      <c r="DN84" s="99" t="s">
        <v>2935</v>
      </c>
      <c r="DO84" s="102" t="s">
        <v>2935</v>
      </c>
      <c r="DP84" s="99">
        <f>COUNTIFS(DP2:DP83,"=MEMBER")</f>
        <v>0</v>
      </c>
      <c r="DQ84" s="200"/>
      <c r="DR84" s="100" t="s">
        <v>2935</v>
      </c>
      <c r="DS84" s="101" t="s">
        <v>2935</v>
      </c>
      <c r="DT84" s="101" t="s">
        <v>2935</v>
      </c>
      <c r="DU84" s="101" t="s">
        <v>2935</v>
      </c>
      <c r="DV84" s="101" t="s">
        <v>2935</v>
      </c>
      <c r="DW84" s="227">
        <f t="shared" ref="DW84:EB84" si="111">AVERAGE(DW2:DW83)</f>
        <v>1.2707104774760776</v>
      </c>
      <c r="DX84" s="227">
        <f t="shared" si="111"/>
        <v>0</v>
      </c>
      <c r="DY84" s="227">
        <f t="shared" si="111"/>
        <v>2.7663975973874755</v>
      </c>
      <c r="DZ84" s="227">
        <f t="shared" si="111"/>
        <v>1.4506616243037131</v>
      </c>
      <c r="EA84" s="245">
        <f t="shared" si="111"/>
        <v>0.49983097653631681</v>
      </c>
      <c r="EB84" s="245">
        <f t="shared" si="111"/>
        <v>0.53005193551369711</v>
      </c>
    </row>
    <row r="85" spans="1:132" x14ac:dyDescent="0.3">
      <c r="A85" s="113"/>
      <c r="B85" s="113"/>
      <c r="C85" s="81"/>
      <c r="D85" s="81"/>
      <c r="E85" s="121"/>
      <c r="F85" s="81"/>
      <c r="H85" s="81"/>
      <c r="I85" s="82"/>
      <c r="J85" s="114"/>
      <c r="K85" s="114"/>
      <c r="L85" s="114"/>
      <c r="M85" s="205"/>
      <c r="N85" s="114"/>
      <c r="O85" s="114"/>
      <c r="P85" s="114"/>
      <c r="Q85" s="114"/>
      <c r="R85" s="205"/>
      <c r="S85" s="114"/>
      <c r="T85" s="114"/>
      <c r="U85" s="114"/>
      <c r="V85" s="114"/>
      <c r="W85" s="205"/>
      <c r="X85" s="123"/>
      <c r="Y85" s="123"/>
      <c r="Z85" s="123"/>
      <c r="AA85" s="123"/>
      <c r="AB85" s="114"/>
      <c r="AC85" s="114"/>
      <c r="AD85" s="114"/>
      <c r="AE85" s="114"/>
      <c r="AF85" s="114"/>
      <c r="AG85" s="114"/>
      <c r="AH85" s="114"/>
      <c r="AI85" s="114"/>
      <c r="AJ85" s="205"/>
      <c r="AK85" s="114"/>
      <c r="AL85" s="114"/>
      <c r="AM85" s="114"/>
      <c r="AN85" s="114"/>
      <c r="AO85" s="114"/>
      <c r="AP85" s="114"/>
      <c r="AQ85" s="205"/>
      <c r="AR85" s="114"/>
      <c r="AS85" s="114"/>
      <c r="AT85" s="114"/>
      <c r="AU85" s="114"/>
      <c r="AV85" s="114"/>
      <c r="AW85" s="114"/>
      <c r="AX85" s="114"/>
      <c r="AY85" s="114"/>
      <c r="AZ85" s="81"/>
      <c r="BA85" s="124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124"/>
      <c r="BM85" s="81"/>
      <c r="BN85" s="81"/>
      <c r="BO85" s="124"/>
      <c r="BP85" s="81"/>
      <c r="BQ85" s="81"/>
      <c r="BR85" s="81"/>
      <c r="BS85" s="81"/>
      <c r="BT85" s="125"/>
      <c r="BU85" s="216"/>
      <c r="BV85" s="81"/>
      <c r="BW85" s="126"/>
      <c r="BX85" s="126"/>
      <c r="BY85" s="126"/>
      <c r="BZ85" s="81"/>
      <c r="CA85" s="81"/>
      <c r="CB85" s="81"/>
      <c r="CC85" s="81"/>
      <c r="CD85" s="81"/>
      <c r="CE85" s="81"/>
      <c r="CF85" s="81"/>
      <c r="CG85" s="81"/>
      <c r="CH85" s="124"/>
      <c r="CI85" s="81"/>
      <c r="CJ85" s="124"/>
      <c r="CK85" s="81"/>
      <c r="CL85" s="127"/>
      <c r="CM85" s="127"/>
      <c r="CN85" s="127"/>
      <c r="CO85" s="218"/>
      <c r="CP85" s="81"/>
      <c r="CQ85" s="218"/>
      <c r="CR85" s="218"/>
      <c r="CS85" s="218"/>
      <c r="CT85" s="81"/>
      <c r="CU85" s="81"/>
      <c r="CV85" s="114"/>
      <c r="CW85" s="122"/>
      <c r="CX85" s="127"/>
      <c r="CY85" s="127"/>
      <c r="CZ85" s="81"/>
      <c r="DA85" s="81"/>
      <c r="DB85" s="225"/>
      <c r="DC85" s="128"/>
      <c r="DD85" s="81"/>
      <c r="DE85" s="81"/>
      <c r="DF85" s="128"/>
      <c r="DG85" s="81"/>
      <c r="DH85" s="81"/>
      <c r="DI85" s="81"/>
      <c r="DJ85" s="81"/>
      <c r="DK85" s="81"/>
      <c r="DL85" s="81"/>
      <c r="DM85" s="162"/>
      <c r="DN85" s="163"/>
      <c r="DO85" s="127"/>
      <c r="DP85" s="127"/>
      <c r="DQ85" s="113"/>
      <c r="DR85" s="113"/>
      <c r="DS85" s="113"/>
      <c r="DT85" s="113"/>
      <c r="DU85" s="113"/>
      <c r="DV85" s="129"/>
      <c r="DW85" s="228"/>
      <c r="DX85" s="216"/>
      <c r="DY85" s="229"/>
      <c r="DZ85" s="229"/>
    </row>
    <row r="86" spans="1:132" x14ac:dyDescent="0.3">
      <c r="A86" s="234"/>
      <c r="B86" s="234">
        <v>2</v>
      </c>
      <c r="C86" s="235">
        <v>3</v>
      </c>
      <c r="D86" s="235">
        <v>4</v>
      </c>
      <c r="E86" s="234">
        <v>5</v>
      </c>
      <c r="F86" s="235">
        <v>6</v>
      </c>
      <c r="G86" s="235">
        <v>7</v>
      </c>
      <c r="H86" s="234">
        <v>8</v>
      </c>
      <c r="I86" s="235">
        <v>9</v>
      </c>
      <c r="J86" s="235">
        <v>10</v>
      </c>
      <c r="K86" s="234">
        <v>11</v>
      </c>
      <c r="L86" s="235">
        <v>12</v>
      </c>
      <c r="M86" s="235">
        <v>13</v>
      </c>
      <c r="N86" s="234">
        <v>14</v>
      </c>
      <c r="O86" s="235">
        <v>15</v>
      </c>
      <c r="P86" s="235">
        <v>16</v>
      </c>
      <c r="Q86" s="234">
        <v>17</v>
      </c>
      <c r="R86" s="235">
        <v>18</v>
      </c>
      <c r="S86" s="235">
        <v>19</v>
      </c>
      <c r="T86" s="234">
        <v>20</v>
      </c>
      <c r="U86" s="235">
        <v>21</v>
      </c>
      <c r="V86" s="235">
        <v>22</v>
      </c>
      <c r="W86" s="234">
        <v>23</v>
      </c>
      <c r="X86" s="235">
        <v>24</v>
      </c>
      <c r="Y86" s="235">
        <v>25</v>
      </c>
      <c r="Z86" s="234">
        <v>26</v>
      </c>
      <c r="AA86" s="235">
        <v>27</v>
      </c>
      <c r="AB86" s="235">
        <v>28</v>
      </c>
      <c r="AC86" s="234">
        <v>29</v>
      </c>
      <c r="AD86" s="235">
        <v>30</v>
      </c>
      <c r="AE86" s="235">
        <v>31</v>
      </c>
      <c r="AF86" s="234">
        <v>32</v>
      </c>
      <c r="AG86" s="235">
        <v>33</v>
      </c>
      <c r="AH86" s="235">
        <v>34</v>
      </c>
      <c r="AI86" s="234">
        <v>35</v>
      </c>
      <c r="AJ86" s="235">
        <v>36</v>
      </c>
      <c r="AK86" s="235">
        <v>37</v>
      </c>
      <c r="AL86" s="234">
        <v>38</v>
      </c>
      <c r="AM86" s="235">
        <v>39</v>
      </c>
      <c r="AN86" s="235">
        <v>40</v>
      </c>
      <c r="AO86" s="234">
        <v>41</v>
      </c>
      <c r="AP86" s="235">
        <v>42</v>
      </c>
      <c r="AQ86" s="235">
        <v>43</v>
      </c>
      <c r="AR86" s="234">
        <v>44</v>
      </c>
      <c r="AS86" s="235">
        <v>45</v>
      </c>
      <c r="AT86" s="235">
        <v>46</v>
      </c>
      <c r="AU86" s="234">
        <v>47</v>
      </c>
      <c r="AV86" s="235">
        <v>48</v>
      </c>
      <c r="AW86" s="235">
        <v>49</v>
      </c>
      <c r="AX86" s="234">
        <v>50</v>
      </c>
      <c r="AY86" s="235">
        <v>51</v>
      </c>
      <c r="AZ86" s="235">
        <v>52</v>
      </c>
      <c r="BA86" s="234">
        <v>53</v>
      </c>
      <c r="BB86" s="235">
        <v>54</v>
      </c>
      <c r="BC86" s="235">
        <v>55</v>
      </c>
      <c r="BD86" s="234">
        <v>56</v>
      </c>
      <c r="BE86" s="235">
        <v>57</v>
      </c>
      <c r="BF86" s="235">
        <v>58</v>
      </c>
      <c r="BG86" s="234">
        <v>59</v>
      </c>
      <c r="BH86" s="235">
        <v>60</v>
      </c>
      <c r="BI86" s="235">
        <v>61</v>
      </c>
      <c r="BJ86" s="234">
        <v>62</v>
      </c>
      <c r="BK86" s="235">
        <v>63</v>
      </c>
      <c r="BL86" s="235">
        <v>64</v>
      </c>
      <c r="BM86" s="234">
        <v>65</v>
      </c>
      <c r="BN86" s="235">
        <v>66</v>
      </c>
      <c r="BO86" s="235">
        <v>67</v>
      </c>
      <c r="BP86" s="234">
        <v>68</v>
      </c>
      <c r="BQ86" s="235">
        <v>69</v>
      </c>
      <c r="BR86" s="235">
        <v>70</v>
      </c>
      <c r="BS86" s="234">
        <v>71</v>
      </c>
      <c r="BT86" s="235">
        <v>72</v>
      </c>
      <c r="BU86" s="235">
        <v>73</v>
      </c>
      <c r="BV86" s="234">
        <v>74</v>
      </c>
      <c r="BW86" s="235">
        <v>75</v>
      </c>
      <c r="BX86" s="235">
        <v>76</v>
      </c>
      <c r="BY86" s="234">
        <v>77</v>
      </c>
      <c r="BZ86" s="235">
        <v>78</v>
      </c>
      <c r="CA86" s="235">
        <v>79</v>
      </c>
      <c r="CB86" s="234">
        <v>80</v>
      </c>
      <c r="CC86" s="235">
        <v>81</v>
      </c>
      <c r="CD86" s="235">
        <v>82</v>
      </c>
      <c r="CE86" s="234">
        <v>83</v>
      </c>
      <c r="CF86" s="235">
        <v>84</v>
      </c>
      <c r="CG86" s="235">
        <v>85</v>
      </c>
      <c r="CH86" s="234">
        <v>86</v>
      </c>
      <c r="CI86" s="235">
        <v>87</v>
      </c>
      <c r="CJ86" s="235">
        <v>88</v>
      </c>
      <c r="CK86" s="234">
        <v>89</v>
      </c>
      <c r="CL86" s="235">
        <v>90</v>
      </c>
      <c r="CM86" s="235">
        <v>91</v>
      </c>
      <c r="CN86" s="234">
        <v>92</v>
      </c>
      <c r="CO86" s="235">
        <v>93</v>
      </c>
      <c r="CP86" s="235">
        <v>94</v>
      </c>
      <c r="CQ86" s="234">
        <v>95</v>
      </c>
      <c r="CR86" s="235">
        <v>96</v>
      </c>
      <c r="CS86" s="235">
        <v>97</v>
      </c>
      <c r="CT86" s="234">
        <v>98</v>
      </c>
      <c r="CU86" s="235">
        <v>99</v>
      </c>
      <c r="CV86" s="235">
        <v>100</v>
      </c>
      <c r="CW86" s="234">
        <v>101</v>
      </c>
      <c r="CX86" s="235">
        <v>102</v>
      </c>
      <c r="CY86" s="235">
        <v>103</v>
      </c>
      <c r="CZ86" s="234">
        <v>104</v>
      </c>
      <c r="DA86" s="235">
        <v>105</v>
      </c>
      <c r="DB86" s="235">
        <v>106</v>
      </c>
      <c r="DC86" s="234">
        <v>107</v>
      </c>
      <c r="DD86" s="235">
        <v>108</v>
      </c>
      <c r="DE86" s="235">
        <v>109</v>
      </c>
      <c r="DF86" s="234">
        <v>110</v>
      </c>
      <c r="DG86" s="235">
        <v>111</v>
      </c>
      <c r="DH86" s="235">
        <v>112</v>
      </c>
      <c r="DI86" s="234">
        <v>113</v>
      </c>
      <c r="DJ86" s="235">
        <v>114</v>
      </c>
      <c r="DK86" s="235">
        <v>115</v>
      </c>
      <c r="DL86" s="234">
        <v>116</v>
      </c>
      <c r="DM86" s="235">
        <v>117</v>
      </c>
      <c r="DN86" s="235">
        <v>118</v>
      </c>
      <c r="DO86" s="234">
        <v>119</v>
      </c>
      <c r="DP86" s="235">
        <v>120</v>
      </c>
      <c r="DQ86" s="235">
        <v>121</v>
      </c>
      <c r="DR86" s="234">
        <v>122</v>
      </c>
      <c r="DS86" s="235">
        <v>123</v>
      </c>
      <c r="DT86" s="235">
        <v>124</v>
      </c>
      <c r="DU86" s="234">
        <v>125</v>
      </c>
      <c r="DV86" s="235">
        <v>126</v>
      </c>
      <c r="DW86" s="235">
        <v>127</v>
      </c>
      <c r="DX86" s="234">
        <v>128</v>
      </c>
      <c r="DY86" s="235">
        <v>129</v>
      </c>
      <c r="DZ86" s="235">
        <v>130</v>
      </c>
      <c r="EA86" s="234">
        <v>131</v>
      </c>
      <c r="EB86" s="235">
        <v>132</v>
      </c>
    </row>
    <row r="87" spans="1:132" x14ac:dyDescent="0.3">
      <c r="BT87" s="166"/>
      <c r="BU87" s="152"/>
      <c r="CL87" s="150"/>
      <c r="CO87" s="212"/>
      <c r="CX87" s="150"/>
      <c r="CZ87" s="151"/>
      <c r="DB87" s="186"/>
      <c r="DC87" s="151"/>
      <c r="DM87" s="167"/>
      <c r="DN87" s="163"/>
      <c r="DO87" s="150"/>
      <c r="DS87" s="152"/>
      <c r="DT87" s="157"/>
      <c r="DY87" s="188"/>
      <c r="DZ87" s="188"/>
    </row>
    <row r="88" spans="1:132" x14ac:dyDescent="0.3">
      <c r="BT88" s="166"/>
      <c r="BU88" s="152"/>
      <c r="CL88" s="150"/>
      <c r="CO88" s="212"/>
      <c r="CX88" s="150"/>
      <c r="CZ88" s="151"/>
      <c r="DB88" s="186"/>
      <c r="DC88" s="151"/>
      <c r="DM88" s="167"/>
      <c r="DN88" s="163"/>
      <c r="DO88" s="150"/>
      <c r="DS88" s="152"/>
      <c r="DT88" s="157"/>
      <c r="DY88" s="188"/>
      <c r="DZ88" s="188"/>
    </row>
    <row r="89" spans="1:132" ht="14.4" thickBot="1" x14ac:dyDescent="0.35">
      <c r="BT89" s="166"/>
      <c r="BU89" s="152"/>
      <c r="CL89" s="150"/>
      <c r="CO89" s="212"/>
      <c r="CX89" s="150"/>
      <c r="CZ89" s="151"/>
      <c r="DB89" s="186"/>
      <c r="DC89" s="151"/>
      <c r="DM89" s="167"/>
      <c r="DN89" s="163"/>
      <c r="DO89" s="150"/>
      <c r="DS89" s="152"/>
      <c r="DT89" s="157"/>
      <c r="DY89" s="188"/>
      <c r="DZ89" s="188"/>
    </row>
    <row r="90" spans="1:132" ht="14.4" thickBot="1" x14ac:dyDescent="0.35">
      <c r="B90" s="131" t="s">
        <v>2043</v>
      </c>
      <c r="C90" s="151">
        <f t="shared" ref="C90:AB90" si="112">AVERAGEIFS(C2:C83,$C2:$C83,"&gt;=2000",$C2:$C83,"&lt;=4999")</f>
        <v>4611</v>
      </c>
      <c r="D90" s="151">
        <f t="shared" si="112"/>
        <v>0</v>
      </c>
      <c r="E90" s="151">
        <f t="shared" si="112"/>
        <v>0</v>
      </c>
      <c r="F90" s="151">
        <f t="shared" si="112"/>
        <v>9366</v>
      </c>
      <c r="G90" s="75" t="e">
        <f t="shared" si="112"/>
        <v>#DIV/0!</v>
      </c>
      <c r="H90" s="151">
        <f t="shared" si="112"/>
        <v>9366</v>
      </c>
      <c r="I90" s="152">
        <f t="shared" si="112"/>
        <v>2.0312299999999999</v>
      </c>
      <c r="J90" s="168">
        <f t="shared" si="112"/>
        <v>195494</v>
      </c>
      <c r="K90" s="168">
        <f t="shared" si="112"/>
        <v>101394</v>
      </c>
      <c r="L90" s="168">
        <f t="shared" si="112"/>
        <v>296888</v>
      </c>
      <c r="M90" s="153">
        <f t="shared" si="112"/>
        <v>64.386900889178051</v>
      </c>
      <c r="N90" s="168">
        <f t="shared" si="112"/>
        <v>22754</v>
      </c>
      <c r="O90" s="168">
        <f t="shared" si="112"/>
        <v>5576</v>
      </c>
      <c r="P90" s="168">
        <f t="shared" si="112"/>
        <v>3600</v>
      </c>
      <c r="Q90" s="168">
        <f t="shared" si="112"/>
        <v>31930</v>
      </c>
      <c r="R90" s="153">
        <f t="shared" si="112"/>
        <v>6.9247451745825197</v>
      </c>
      <c r="S90" s="168">
        <f t="shared" si="112"/>
        <v>49501</v>
      </c>
      <c r="T90" s="168">
        <f t="shared" si="112"/>
        <v>378319</v>
      </c>
      <c r="U90" s="168">
        <f t="shared" si="112"/>
        <v>0</v>
      </c>
      <c r="V90" s="168">
        <f t="shared" si="112"/>
        <v>378319</v>
      </c>
      <c r="W90" s="153">
        <f t="shared" si="112"/>
        <v>82.047061374972884</v>
      </c>
      <c r="X90" s="169">
        <f t="shared" si="112"/>
        <v>0.78475572202294885</v>
      </c>
      <c r="Y90" s="169">
        <f t="shared" si="112"/>
        <v>8.4399673291587263E-2</v>
      </c>
      <c r="Z90" s="169">
        <f t="shared" si="112"/>
        <v>0.13084460468546386</v>
      </c>
      <c r="AA90" s="169">
        <f t="shared" si="112"/>
        <v>0</v>
      </c>
      <c r="AB90" s="168">
        <f t="shared" si="112"/>
        <v>442968</v>
      </c>
      <c r="AC90" s="168">
        <f>AVERAGEIFS(AF2:AF83,$C2:$C83,"&gt;=2000",$C2:$C83,"&lt;=4999")</f>
        <v>378319</v>
      </c>
      <c r="AD90" s="168">
        <f>AVERAGEIFS(AG2:AG83,$C2:$C83,"&gt;=2000",$C2:$C83,"&lt;=4999")</f>
        <v>10000</v>
      </c>
      <c r="AE90" s="168" t="e">
        <f>AVERAGEIFS(AE2:AE83,$C2:$C83,"&gt;=2000",$C2:$C83,"&lt;=4999")</f>
        <v>#DIV/0!</v>
      </c>
      <c r="AF90" s="168" t="e">
        <f>AVERAGEIFS(#REF!,$C2:$C83,"&gt;=2000",$C2:$C83,"&lt;=4999")</f>
        <v>#REF!</v>
      </c>
      <c r="AG90" s="168" t="e">
        <f>AVERAGEIFS(#REF!,$C2:$C83,"&gt;=2000",$C2:$C83,"&lt;=4999")</f>
        <v>#REF!</v>
      </c>
      <c r="AH90" s="168" t="e">
        <f t="shared" ref="AH90:BM90" si="113">AVERAGEIFS(AH2:AH83,$C2:$C83,"&gt;=2000",$C2:$C83,"&lt;=4999")</f>
        <v>#DIV/0!</v>
      </c>
      <c r="AI90" s="168">
        <f t="shared" si="113"/>
        <v>388319</v>
      </c>
      <c r="AJ90" s="153">
        <f t="shared" si="113"/>
        <v>84.215788332248977</v>
      </c>
      <c r="AK90" s="168">
        <f t="shared" si="113"/>
        <v>3601</v>
      </c>
      <c r="AL90" s="168">
        <f t="shared" si="113"/>
        <v>1488</v>
      </c>
      <c r="AM90" s="168">
        <f t="shared" si="113"/>
        <v>1100</v>
      </c>
      <c r="AN90" s="168" t="e">
        <f t="shared" si="113"/>
        <v>#DIV/0!</v>
      </c>
      <c r="AO90" s="168">
        <f t="shared" si="113"/>
        <v>1100</v>
      </c>
      <c r="AP90" s="168">
        <f t="shared" si="113"/>
        <v>384508</v>
      </c>
      <c r="AQ90" s="153">
        <f t="shared" si="113"/>
        <v>83.389286488831061</v>
      </c>
      <c r="AR90" s="168" t="e">
        <f t="shared" si="113"/>
        <v>#DIV/0!</v>
      </c>
      <c r="AS90" s="168">
        <f t="shared" si="113"/>
        <v>0</v>
      </c>
      <c r="AT90" s="168">
        <f t="shared" si="113"/>
        <v>0</v>
      </c>
      <c r="AU90" s="168">
        <f t="shared" si="113"/>
        <v>0</v>
      </c>
      <c r="AV90" s="168">
        <f t="shared" si="113"/>
        <v>0</v>
      </c>
      <c r="AW90" s="168" t="e">
        <f t="shared" si="113"/>
        <v>#DIV/0!</v>
      </c>
      <c r="AX90" s="168">
        <f t="shared" si="113"/>
        <v>421443</v>
      </c>
      <c r="AY90" s="168">
        <f t="shared" si="113"/>
        <v>421443</v>
      </c>
      <c r="AZ90" s="151">
        <f t="shared" si="113"/>
        <v>30107</v>
      </c>
      <c r="BA90" s="152">
        <f t="shared" si="113"/>
        <v>6.5293862502710907</v>
      </c>
      <c r="BB90" s="151">
        <f t="shared" si="113"/>
        <v>540</v>
      </c>
      <c r="BC90" s="151">
        <f t="shared" si="113"/>
        <v>540</v>
      </c>
      <c r="BD90" s="151">
        <f t="shared" si="113"/>
        <v>1490</v>
      </c>
      <c r="BE90" s="151">
        <f t="shared" si="113"/>
        <v>2067</v>
      </c>
      <c r="BF90" s="151">
        <f t="shared" si="113"/>
        <v>107790</v>
      </c>
      <c r="BG90" s="151">
        <f t="shared" si="113"/>
        <v>3</v>
      </c>
      <c r="BH90" s="151">
        <f t="shared" si="113"/>
        <v>89</v>
      </c>
      <c r="BI90" s="151">
        <f t="shared" si="113"/>
        <v>0</v>
      </c>
      <c r="BJ90" s="151">
        <f t="shared" si="113"/>
        <v>92</v>
      </c>
      <c r="BK90" s="151">
        <f t="shared" si="113"/>
        <v>159397</v>
      </c>
      <c r="BL90" s="152">
        <f t="shared" si="113"/>
        <v>34.568857080893515</v>
      </c>
      <c r="BM90" s="151">
        <f t="shared" si="113"/>
        <v>0</v>
      </c>
      <c r="BN90" s="151">
        <f t="shared" ref="BN90:CH90" si="114">AVERAGEIFS(BN2:BN83,$C2:$C83,"&gt;=2000",$C2:$C83,"&lt;=4999")</f>
        <v>4056</v>
      </c>
      <c r="BO90" s="152">
        <f t="shared" si="114"/>
        <v>0.87963565387117759</v>
      </c>
      <c r="BP90" s="151">
        <f t="shared" si="114"/>
        <v>12041</v>
      </c>
      <c r="BQ90" s="151">
        <f t="shared" si="114"/>
        <v>0</v>
      </c>
      <c r="BR90" s="151">
        <f t="shared" si="114"/>
        <v>16208</v>
      </c>
      <c r="BS90" s="151">
        <f t="shared" si="114"/>
        <v>14364</v>
      </c>
      <c r="BT90" s="151">
        <f t="shared" si="114"/>
        <v>30572</v>
      </c>
      <c r="BU90" s="152">
        <f t="shared" si="114"/>
        <v>6.6302320537844288</v>
      </c>
      <c r="BV90" s="151">
        <f t="shared" si="114"/>
        <v>6264.7540983606559</v>
      </c>
      <c r="BW90" s="152">
        <f t="shared" si="114"/>
        <v>13.86485260770975</v>
      </c>
      <c r="BX90" s="152">
        <f t="shared" si="114"/>
        <v>2.1119093672285163</v>
      </c>
      <c r="BY90" s="152">
        <f t="shared" si="114"/>
        <v>0.19179783810234821</v>
      </c>
      <c r="BZ90" s="151">
        <f t="shared" si="114"/>
        <v>170</v>
      </c>
      <c r="CA90" s="151">
        <f t="shared" si="114"/>
        <v>3</v>
      </c>
      <c r="CB90" s="151">
        <f t="shared" si="114"/>
        <v>82</v>
      </c>
      <c r="CC90" s="151">
        <f t="shared" si="114"/>
        <v>255</v>
      </c>
      <c r="CD90" s="151">
        <f t="shared" si="114"/>
        <v>2277</v>
      </c>
      <c r="CE90" s="151">
        <f t="shared" si="114"/>
        <v>36</v>
      </c>
      <c r="CF90" s="151">
        <f t="shared" si="114"/>
        <v>803</v>
      </c>
      <c r="CG90" s="151">
        <f t="shared" si="114"/>
        <v>3116</v>
      </c>
      <c r="CH90" s="152">
        <f t="shared" si="114"/>
        <v>0.67577531988722617</v>
      </c>
      <c r="CI90" s="151">
        <v>16991.18918918919</v>
      </c>
      <c r="CJ90" s="152">
        <f>AVERAGEIFS(CJ2:CJ83,$C2:$C83,"&gt;=2000",$C2:$C83,"&lt;=4999")</f>
        <v>3.1394491433528517</v>
      </c>
      <c r="CK90" s="151">
        <f>AVERAGEIFS(CK2:CK83,$C2:$C83,"&gt;=2000",$C2:$C83,"&lt;=4999")</f>
        <v>42896</v>
      </c>
      <c r="CL90" s="171">
        <f>COUNTIFS(CL2:CL83,"YES",$C2:$C83,"&gt;=2000",$C2:$C83,"&lt;=4999")</f>
        <v>1</v>
      </c>
      <c r="CM90" s="171">
        <f>COUNTIFS(CM2:CM83,"YES",$C2:$C83,"&gt;=2000",$C2:$C83,"&lt;=4999")</f>
        <v>1</v>
      </c>
      <c r="CN90" s="171">
        <f>COUNTIFS(CN2:CN83,"YES",$C2:$C83,"&gt;=2000",$C2:$C83,"&lt;=4999")</f>
        <v>1</v>
      </c>
      <c r="CO90" s="212">
        <f t="shared" ref="CO90:CW90" si="115">AVERAGEIFS(CO2:CO83,$C2:$C83,"&gt;=2000",$C2:$C83,"&lt;=4999")</f>
        <v>2</v>
      </c>
      <c r="CP90" s="151">
        <f t="shared" si="115"/>
        <v>0</v>
      </c>
      <c r="CQ90" s="212">
        <f t="shared" si="115"/>
        <v>0</v>
      </c>
      <c r="CR90" s="212">
        <f t="shared" si="115"/>
        <v>2.88</v>
      </c>
      <c r="CS90" s="212">
        <f t="shared" si="115"/>
        <v>4.88</v>
      </c>
      <c r="CT90" s="151">
        <f t="shared" si="115"/>
        <v>944.87704918032784</v>
      </c>
      <c r="CU90" s="151">
        <f t="shared" si="115"/>
        <v>100</v>
      </c>
      <c r="CV90" s="168">
        <f t="shared" si="115"/>
        <v>62874.239999999998</v>
      </c>
      <c r="CW90" s="152">
        <f t="shared" si="115"/>
        <v>28</v>
      </c>
      <c r="CX90" s="171">
        <f>COUNTIFS(CX2:CX83,"YES", $C2:$C83,"&gt;=2000",$C2:$C83,"&lt;=4999")</f>
        <v>1</v>
      </c>
      <c r="CY90" s="171">
        <f>COUNTIFS(CY2:CY83,"YES", $C2:$C83,"&gt;=2000",$C2:$C83,"&lt;=4999")</f>
        <v>1</v>
      </c>
      <c r="CZ90" s="151">
        <f t="shared" ref="CZ90:DL90" si="116">AVERAGEIFS(CZ2:CZ83,$C2:$C83,"&gt;=2000",$C2:$C83,"&lt;=4999")</f>
        <v>1087</v>
      </c>
      <c r="DA90" s="151">
        <f t="shared" si="116"/>
        <v>1304</v>
      </c>
      <c r="DB90" s="186">
        <f t="shared" si="116"/>
        <v>27</v>
      </c>
      <c r="DC90" s="151">
        <f t="shared" si="116"/>
        <v>2864</v>
      </c>
      <c r="DD90" s="151">
        <f t="shared" si="116"/>
        <v>11235</v>
      </c>
      <c r="DE90" s="151">
        <f t="shared" si="116"/>
        <v>10870</v>
      </c>
      <c r="DF90" s="151">
        <f t="shared" si="116"/>
        <v>3068</v>
      </c>
      <c r="DG90" s="151">
        <f t="shared" si="116"/>
        <v>52</v>
      </c>
      <c r="DH90" s="151">
        <f t="shared" si="116"/>
        <v>0.66536543049230101</v>
      </c>
      <c r="DI90" s="151">
        <f t="shared" si="116"/>
        <v>36</v>
      </c>
      <c r="DJ90" s="151">
        <f t="shared" si="116"/>
        <v>36</v>
      </c>
      <c r="DK90" s="151" t="e">
        <f t="shared" si="116"/>
        <v>#DIV/0!</v>
      </c>
      <c r="DL90" s="151">
        <f t="shared" si="116"/>
        <v>2205</v>
      </c>
      <c r="DM90" s="172"/>
      <c r="DN90" s="170"/>
      <c r="DO90" s="150"/>
      <c r="DS90" s="152"/>
      <c r="DT90" s="157"/>
      <c r="DW90" s="152">
        <f t="shared" ref="DW90:EB90" si="117">AVERAGEIFS(DW2:DW83,$C2:$C83,"&gt;=2000",$C2:$C83,"&lt;=4999")</f>
        <v>2.6113641292561267</v>
      </c>
      <c r="DX90" s="152">
        <f t="shared" si="117"/>
        <v>0</v>
      </c>
      <c r="DY90" s="152">
        <f t="shared" si="117"/>
        <v>3.5150726523530689</v>
      </c>
      <c r="DZ90" s="230">
        <f t="shared" si="117"/>
        <v>3.1151594014313599</v>
      </c>
      <c r="EA90" s="246">
        <f t="shared" si="117"/>
        <v>0.80547983999433603</v>
      </c>
      <c r="EB90" s="246">
        <f t="shared" si="117"/>
        <v>0.38819270398217764</v>
      </c>
    </row>
    <row r="91" spans="1:132" ht="14.4" thickBot="1" x14ac:dyDescent="0.35">
      <c r="B91" s="131" t="s">
        <v>1951</v>
      </c>
      <c r="C91" s="151">
        <f t="shared" ref="C91:AB91" si="118">AVERAGEIFS(C2:C83,$C2:$C83,"&gt;=5000",$C2:$C83,"&lt;=9999")</f>
        <v>7285</v>
      </c>
      <c r="D91" s="151">
        <f t="shared" si="118"/>
        <v>0</v>
      </c>
      <c r="E91" s="151">
        <f t="shared" si="118"/>
        <v>0</v>
      </c>
      <c r="F91" s="151">
        <f t="shared" si="118"/>
        <v>6800</v>
      </c>
      <c r="G91" s="75" t="e">
        <f t="shared" si="118"/>
        <v>#DIV/0!</v>
      </c>
      <c r="H91" s="151">
        <f t="shared" si="118"/>
        <v>6800</v>
      </c>
      <c r="I91" s="152">
        <f t="shared" si="118"/>
        <v>0.92055666666666669</v>
      </c>
      <c r="J91" s="168">
        <f t="shared" si="118"/>
        <v>171581.33333333334</v>
      </c>
      <c r="K91" s="168">
        <f t="shared" si="118"/>
        <v>58411.333333333336</v>
      </c>
      <c r="L91" s="168">
        <f t="shared" si="118"/>
        <v>229992.66666666666</v>
      </c>
      <c r="M91" s="153">
        <f t="shared" si="118"/>
        <v>31.153028152050513</v>
      </c>
      <c r="N91" s="168">
        <f t="shared" si="118"/>
        <v>22417.366666666669</v>
      </c>
      <c r="O91" s="168">
        <f t="shared" si="118"/>
        <v>9226.1033333333344</v>
      </c>
      <c r="P91" s="168">
        <f t="shared" si="118"/>
        <v>7527</v>
      </c>
      <c r="Q91" s="168">
        <f t="shared" si="118"/>
        <v>39170.47</v>
      </c>
      <c r="R91" s="153">
        <f t="shared" si="118"/>
        <v>5.4291390315435111</v>
      </c>
      <c r="S91" s="168">
        <f t="shared" si="118"/>
        <v>50605.389999999992</v>
      </c>
      <c r="T91" s="168">
        <f t="shared" si="118"/>
        <v>319768.52666666667</v>
      </c>
      <c r="U91" s="168">
        <f t="shared" si="118"/>
        <v>0</v>
      </c>
      <c r="V91" s="168">
        <f t="shared" si="118"/>
        <v>319768.52666666667</v>
      </c>
      <c r="W91" s="153">
        <f t="shared" si="118"/>
        <v>42.725785948532632</v>
      </c>
      <c r="X91" s="169">
        <f t="shared" si="118"/>
        <v>0.74332722689960729</v>
      </c>
      <c r="Y91" s="169">
        <f t="shared" si="118"/>
        <v>0.12450489176816663</v>
      </c>
      <c r="Z91" s="169">
        <f t="shared" si="118"/>
        <v>0.13216788133222615</v>
      </c>
      <c r="AA91" s="169">
        <f t="shared" si="118"/>
        <v>0</v>
      </c>
      <c r="AB91" s="168">
        <f t="shared" si="118"/>
        <v>0</v>
      </c>
      <c r="AC91" s="168">
        <f>AVERAGEIFS(AF2:AF83,$C2:$C83,"&gt;=5000",$C2:$C83,"&lt;=9999")</f>
        <v>319768.52666666667</v>
      </c>
      <c r="AD91" s="168">
        <f>AVERAGEIFS(AG2:AG83,$C2:$C83,"&gt;=5000",$C2:$C83,"&lt;=9999")</f>
        <v>23500</v>
      </c>
      <c r="AE91" s="168" t="e">
        <f>AVERAGEIFS(AE2:AE83,$C2:$C83,"&gt;=5000",$C2:$C83,"&lt;=9999")</f>
        <v>#DIV/0!</v>
      </c>
      <c r="AF91" s="168" t="e">
        <f>AVERAGEIFS(#REF!,$C2:$C83,"&gt;=5000",$C2:$C83,"&lt;=9999")</f>
        <v>#REF!</v>
      </c>
      <c r="AG91" s="168" t="e">
        <f>AVERAGEIFS(#REF!,$C2:$C83,"&gt;=5000",$C2:$C83,"&lt;=9999")</f>
        <v>#REF!</v>
      </c>
      <c r="AH91" s="168" t="e">
        <f t="shared" ref="AH91:BM91" si="119">AVERAGEIFS(AH2:AH83,$C2:$C83,"&gt;=5000",$C2:$C83,"&lt;=9999")</f>
        <v>#DIV/0!</v>
      </c>
      <c r="AI91" s="168">
        <f t="shared" si="119"/>
        <v>343268.52666666667</v>
      </c>
      <c r="AJ91" s="153">
        <f t="shared" si="119"/>
        <v>46.225014799101992</v>
      </c>
      <c r="AK91" s="168">
        <f t="shared" si="119"/>
        <v>5727.666666666667</v>
      </c>
      <c r="AL91" s="168">
        <f t="shared" si="119"/>
        <v>0</v>
      </c>
      <c r="AM91" s="168">
        <f t="shared" si="119"/>
        <v>10435</v>
      </c>
      <c r="AN91" s="168" t="e">
        <f t="shared" si="119"/>
        <v>#DIV/0!</v>
      </c>
      <c r="AO91" s="168">
        <f t="shared" si="119"/>
        <v>10435</v>
      </c>
      <c r="AP91" s="168">
        <f t="shared" si="119"/>
        <v>348855</v>
      </c>
      <c r="AQ91" s="153">
        <f t="shared" si="119"/>
        <v>45.889978497833887</v>
      </c>
      <c r="AR91" s="168" t="e">
        <f t="shared" si="119"/>
        <v>#DIV/0!</v>
      </c>
      <c r="AS91" s="168">
        <f t="shared" si="119"/>
        <v>14526</v>
      </c>
      <c r="AT91" s="168">
        <f t="shared" si="119"/>
        <v>0</v>
      </c>
      <c r="AU91" s="168">
        <f t="shared" si="119"/>
        <v>0</v>
      </c>
      <c r="AV91" s="168">
        <f t="shared" si="119"/>
        <v>0</v>
      </c>
      <c r="AW91" s="168" t="e">
        <f t="shared" si="119"/>
        <v>#DIV/0!</v>
      </c>
      <c r="AX91" s="168">
        <f t="shared" si="119"/>
        <v>0</v>
      </c>
      <c r="AY91" s="168">
        <f t="shared" si="119"/>
        <v>14526</v>
      </c>
      <c r="AZ91" s="151">
        <f t="shared" si="119"/>
        <v>23306.666666666668</v>
      </c>
      <c r="BA91" s="152">
        <f t="shared" si="119"/>
        <v>3.085615353210597</v>
      </c>
      <c r="BB91" s="151">
        <f t="shared" si="119"/>
        <v>760.66666666666663</v>
      </c>
      <c r="BC91" s="151">
        <f t="shared" si="119"/>
        <v>760.66666666666663</v>
      </c>
      <c r="BD91" s="151">
        <f t="shared" si="119"/>
        <v>1952</v>
      </c>
      <c r="BE91" s="151">
        <f t="shared" si="119"/>
        <v>1963.3333333333333</v>
      </c>
      <c r="BF91" s="151">
        <f t="shared" si="119"/>
        <v>95666.666666666672</v>
      </c>
      <c r="BG91" s="151">
        <f t="shared" si="119"/>
        <v>5</v>
      </c>
      <c r="BH91" s="151">
        <f t="shared" si="119"/>
        <v>89</v>
      </c>
      <c r="BI91" s="151">
        <f t="shared" si="119"/>
        <v>0</v>
      </c>
      <c r="BJ91" s="151">
        <f t="shared" si="119"/>
        <v>94</v>
      </c>
      <c r="BK91" s="151">
        <f t="shared" si="119"/>
        <v>139270.33333333334</v>
      </c>
      <c r="BL91" s="152">
        <f t="shared" si="119"/>
        <v>20.016133357862053</v>
      </c>
      <c r="BM91" s="151">
        <f t="shared" si="119"/>
        <v>10.666666666666666</v>
      </c>
      <c r="BN91" s="151">
        <f t="shared" ref="BN91:CH91" si="120">AVERAGEIFS(BN2:BN83,$C2:$C83,"&gt;=5000",$C2:$C83,"&lt;=9999")</f>
        <v>9112.6666666666661</v>
      </c>
      <c r="BO91" s="152">
        <f t="shared" si="120"/>
        <v>1.1139929392208692</v>
      </c>
      <c r="BP91" s="151">
        <f t="shared" si="120"/>
        <v>13616.666666666666</v>
      </c>
      <c r="BQ91" s="151">
        <f t="shared" si="120"/>
        <v>0</v>
      </c>
      <c r="BR91" s="151">
        <f t="shared" si="120"/>
        <v>32772.333333333336</v>
      </c>
      <c r="BS91" s="151">
        <f t="shared" si="120"/>
        <v>12606.333333333334</v>
      </c>
      <c r="BT91" s="151">
        <f t="shared" si="120"/>
        <v>45378.666666666664</v>
      </c>
      <c r="BU91" s="152">
        <f t="shared" si="120"/>
        <v>5.9949173924331047</v>
      </c>
      <c r="BV91" s="151">
        <f t="shared" si="120"/>
        <v>8130.6150387247171</v>
      </c>
      <c r="BW91" s="152">
        <f t="shared" si="120"/>
        <v>23.066940185901768</v>
      </c>
      <c r="BX91" s="152">
        <f t="shared" si="120"/>
        <v>1.2734145234398235</v>
      </c>
      <c r="BY91" s="152">
        <f t="shared" si="120"/>
        <v>0.30427200945151489</v>
      </c>
      <c r="BZ91" s="151">
        <f t="shared" si="120"/>
        <v>155.66666666666666</v>
      </c>
      <c r="CA91" s="151">
        <f t="shared" si="120"/>
        <v>25.333333333333332</v>
      </c>
      <c r="CB91" s="151">
        <f t="shared" si="120"/>
        <v>124.66666666666667</v>
      </c>
      <c r="CC91" s="151">
        <f t="shared" si="120"/>
        <v>305.66666666666669</v>
      </c>
      <c r="CD91" s="151">
        <f t="shared" si="120"/>
        <v>2408.3333333333335</v>
      </c>
      <c r="CE91" s="151">
        <f t="shared" si="120"/>
        <v>156.66666666666666</v>
      </c>
      <c r="CF91" s="151">
        <f t="shared" si="120"/>
        <v>1310.6666666666667</v>
      </c>
      <c r="CG91" s="151">
        <f t="shared" si="120"/>
        <v>3875.6666666666665</v>
      </c>
      <c r="CH91" s="152">
        <f t="shared" si="120"/>
        <v>0.53279855993210523</v>
      </c>
      <c r="CI91" s="151">
        <v>25748.146551724138</v>
      </c>
      <c r="CJ91" s="152">
        <f>AVERAGEIFS(CJ2:CJ83,$C2:$C83,"&gt;=5000",$C2:$C83,"&lt;=9999")</f>
        <v>4.8476743212699986</v>
      </c>
      <c r="CK91" s="151">
        <f>AVERAGEIFS(CK2:CK83,$C2:$C83,"&gt;=5000",$C2:$C83,"&lt;=9999")</f>
        <v>5575.333333333333</v>
      </c>
      <c r="CL91" s="171">
        <f>COUNTIFS(CL2:CL83,"YES",$C2:$C83,"&gt;=5000",$C2:$C83,"&lt;=9999")</f>
        <v>3</v>
      </c>
      <c r="CM91" s="171">
        <f>COUNTIFS(CM2:CM83,"YES",$C2:$C83,"&gt;=5000",$C2:$C83,"&lt;=9999")</f>
        <v>3</v>
      </c>
      <c r="CN91" s="171">
        <f>COUNTIFS(CN2:CN83,"YES",$C2:$C83,"&gt;=5000",$C2:$C83,"&lt;=9999")</f>
        <v>3</v>
      </c>
      <c r="CO91" s="212">
        <f t="shared" ref="CO91:CW91" si="121">AVERAGEIFS(CO2:CO83,$C2:$C83,"&gt;=5000",$C2:$C83,"&lt;=9999")</f>
        <v>1</v>
      </c>
      <c r="CP91" s="151">
        <f t="shared" si="121"/>
        <v>5544.666666666667</v>
      </c>
      <c r="CQ91" s="212">
        <f t="shared" si="121"/>
        <v>0</v>
      </c>
      <c r="CR91" s="212">
        <f t="shared" si="121"/>
        <v>4.2699999999999996</v>
      </c>
      <c r="CS91" s="212">
        <f t="shared" si="121"/>
        <v>5.27</v>
      </c>
      <c r="CT91" s="151">
        <f t="shared" si="121"/>
        <v>1617.2596886983983</v>
      </c>
      <c r="CU91" s="151">
        <f t="shared" si="121"/>
        <v>233.66666666666666</v>
      </c>
      <c r="CV91" s="168">
        <f t="shared" si="121"/>
        <v>54661.920000000006</v>
      </c>
      <c r="CW91" s="152">
        <f t="shared" si="121"/>
        <v>40</v>
      </c>
      <c r="CX91" s="171">
        <f>COUNTIFS(CX2:CX83,"YES", $C2:$C83,"&gt;=5000",$C2:$C83,"&lt;=9999")</f>
        <v>3</v>
      </c>
      <c r="CY91" s="171">
        <f>COUNTIFS(CY2:CY83,"YES", $C2:$C83,"&gt;=5000",$C2:$C83,"&lt;=9999")</f>
        <v>3</v>
      </c>
      <c r="CZ91" s="151">
        <f t="shared" ref="CZ91:DL91" si="122">AVERAGEIFS(CZ2:CZ83,$C2:$C83,"&gt;=5000",$C2:$C83,"&lt;=9999")</f>
        <v>2064.3333333333335</v>
      </c>
      <c r="DA91" s="151">
        <f t="shared" si="122"/>
        <v>1331.6666666666667</v>
      </c>
      <c r="DB91" s="186">
        <f t="shared" si="122"/>
        <v>19.666666666666668</v>
      </c>
      <c r="DC91" s="151">
        <f t="shared" si="122"/>
        <v>4199.666666666667</v>
      </c>
      <c r="DD91" s="151">
        <f t="shared" si="122"/>
        <v>21136.666666666668</v>
      </c>
      <c r="DE91" s="151">
        <f t="shared" si="122"/>
        <v>15755</v>
      </c>
      <c r="DF91" s="151">
        <f t="shared" si="122"/>
        <v>2694.3333333333335</v>
      </c>
      <c r="DG91" s="151">
        <f t="shared" si="122"/>
        <v>52</v>
      </c>
      <c r="DH91" s="151">
        <f t="shared" si="122"/>
        <v>0.38632799616380958</v>
      </c>
      <c r="DI91" s="151">
        <f t="shared" si="122"/>
        <v>50.333333333333336</v>
      </c>
      <c r="DJ91" s="151">
        <f t="shared" si="122"/>
        <v>50.333333333333336</v>
      </c>
      <c r="DK91" s="151">
        <f t="shared" si="122"/>
        <v>15137</v>
      </c>
      <c r="DL91" s="151">
        <f t="shared" si="122"/>
        <v>1984.6666666666667</v>
      </c>
      <c r="DM91" s="172"/>
      <c r="DN91" s="170"/>
      <c r="DO91" s="150"/>
      <c r="DS91" s="152"/>
      <c r="DT91" s="157"/>
      <c r="DW91" s="152">
        <f t="shared" ref="DW91:EB91" si="123">AVERAGEIFS(DW2:DW83,$C2:$C83,"&gt;=5000",$C2:$C83,"&lt;=9999")</f>
        <v>1.8708457575101509</v>
      </c>
      <c r="DX91" s="152">
        <f t="shared" si="123"/>
        <v>0</v>
      </c>
      <c r="DY91" s="152">
        <f t="shared" si="123"/>
        <v>4.5094390206832102</v>
      </c>
      <c r="DZ91" s="230">
        <f t="shared" si="123"/>
        <v>1.4854783717498936</v>
      </c>
      <c r="EA91" s="246">
        <f t="shared" si="123"/>
        <v>0.46966811956525328</v>
      </c>
      <c r="EB91" s="246">
        <f t="shared" si="123"/>
        <v>0.9681300664363951</v>
      </c>
    </row>
    <row r="92" spans="1:132" ht="14.4" thickBot="1" x14ac:dyDescent="0.35">
      <c r="B92" s="131" t="s">
        <v>2044</v>
      </c>
      <c r="C92" s="151">
        <f t="shared" ref="C92:AB92" si="124">AVERAGEIFS(C2:C83,$C2:$C83,"&gt;=10000",$C2:$C83,"&lt;=14999")</f>
        <v>13265</v>
      </c>
      <c r="D92" s="151">
        <f t="shared" si="124"/>
        <v>0</v>
      </c>
      <c r="E92" s="151">
        <f t="shared" si="124"/>
        <v>0</v>
      </c>
      <c r="F92" s="151">
        <f t="shared" si="124"/>
        <v>11919</v>
      </c>
      <c r="G92" s="75" t="e">
        <f t="shared" si="124"/>
        <v>#DIV/0!</v>
      </c>
      <c r="H92" s="151">
        <f t="shared" si="124"/>
        <v>11919</v>
      </c>
      <c r="I92" s="152">
        <f t="shared" si="124"/>
        <v>0.93049333333333328</v>
      </c>
      <c r="J92" s="168">
        <f t="shared" si="124"/>
        <v>318726.66666666669</v>
      </c>
      <c r="K92" s="168">
        <f t="shared" si="124"/>
        <v>109240.33333333333</v>
      </c>
      <c r="L92" s="168">
        <f t="shared" si="124"/>
        <v>427967</v>
      </c>
      <c r="M92" s="153">
        <f t="shared" si="124"/>
        <v>33.230182276963703</v>
      </c>
      <c r="N92" s="168">
        <f t="shared" si="124"/>
        <v>48536.666666666664</v>
      </c>
      <c r="O92" s="168">
        <f t="shared" si="124"/>
        <v>28310.666666666668</v>
      </c>
      <c r="P92" s="168">
        <f t="shared" si="124"/>
        <v>3164.3333333333335</v>
      </c>
      <c r="Q92" s="168">
        <f t="shared" si="124"/>
        <v>80011.666666666672</v>
      </c>
      <c r="R92" s="153">
        <f t="shared" si="124"/>
        <v>6.3691400660924087</v>
      </c>
      <c r="S92" s="168">
        <f t="shared" si="124"/>
        <v>136440.66666666666</v>
      </c>
      <c r="T92" s="168">
        <f t="shared" si="124"/>
        <v>644419.33333333337</v>
      </c>
      <c r="U92" s="168">
        <f t="shared" si="124"/>
        <v>0</v>
      </c>
      <c r="V92" s="168">
        <f t="shared" si="124"/>
        <v>644419.33333333337</v>
      </c>
      <c r="W92" s="153">
        <f t="shared" si="124"/>
        <v>50.097226970139282</v>
      </c>
      <c r="X92" s="169">
        <f t="shared" si="124"/>
        <v>0.66513189025524178</v>
      </c>
      <c r="Y92" s="169">
        <f t="shared" si="124"/>
        <v>0.12427730601150089</v>
      </c>
      <c r="Z92" s="169">
        <f t="shared" si="124"/>
        <v>0.21059080373325725</v>
      </c>
      <c r="AA92" s="169">
        <f t="shared" si="124"/>
        <v>0</v>
      </c>
      <c r="AB92" s="168">
        <f t="shared" si="124"/>
        <v>0</v>
      </c>
      <c r="AC92" s="168">
        <f>AVERAGEIFS(AF2:AF83,$C2:$C83,"&gt;=10000",$C2:$C83,"&lt;=14999")</f>
        <v>644419.33333333337</v>
      </c>
      <c r="AD92" s="168">
        <f>AVERAGEIFS(AG2:AG83,$C2:$C83,"&gt;=10000",$C2:$C83,"&lt;=14999")</f>
        <v>25000</v>
      </c>
      <c r="AE92" s="168" t="e">
        <f>AVERAGEIFS(AE2:AE83,$C2:$C83,"&gt;=10000",$C2:$C83,"&lt;=14999")</f>
        <v>#DIV/0!</v>
      </c>
      <c r="AF92" s="168" t="e">
        <f>AVERAGEIFS(#REF!,$C2:$C83,"&gt;=10000",$C2:$C83,"&lt;=14999")</f>
        <v>#REF!</v>
      </c>
      <c r="AG92" s="168" t="e">
        <f>AVERAGEIFS(#REF!,$C2:$C83,"&gt;=10000",$C2:$C83,"&lt;=14999")</f>
        <v>#REF!</v>
      </c>
      <c r="AH92" s="168" t="e">
        <f t="shared" ref="AH92:BM92" si="125">AVERAGEIFS(AH2:AH83,$C2:$C83,"&gt;=10000",$C2:$C83,"&lt;=14999")</f>
        <v>#DIV/0!</v>
      </c>
      <c r="AI92" s="168">
        <f t="shared" si="125"/>
        <v>669419.33333333337</v>
      </c>
      <c r="AJ92" s="153">
        <f t="shared" si="125"/>
        <v>52.404990285933614</v>
      </c>
      <c r="AK92" s="168">
        <f t="shared" si="125"/>
        <v>10112.333333333334</v>
      </c>
      <c r="AL92" s="168">
        <f t="shared" si="125"/>
        <v>11437</v>
      </c>
      <c r="AM92" s="168">
        <f t="shared" si="125"/>
        <v>21727.666666666668</v>
      </c>
      <c r="AN92" s="168" t="e">
        <f t="shared" si="125"/>
        <v>#DIV/0!</v>
      </c>
      <c r="AO92" s="168">
        <f t="shared" si="125"/>
        <v>21727.666666666668</v>
      </c>
      <c r="AP92" s="168">
        <f t="shared" si="125"/>
        <v>681842.66666666663</v>
      </c>
      <c r="AQ92" s="153">
        <f t="shared" si="125"/>
        <v>53.143380193582516</v>
      </c>
      <c r="AR92" s="168" t="e">
        <f t="shared" si="125"/>
        <v>#DIV/0!</v>
      </c>
      <c r="AS92" s="168">
        <f t="shared" si="125"/>
        <v>34589.333333333336</v>
      </c>
      <c r="AT92" s="168">
        <f t="shared" si="125"/>
        <v>0</v>
      </c>
      <c r="AU92" s="168">
        <f t="shared" si="125"/>
        <v>0</v>
      </c>
      <c r="AV92" s="168">
        <f t="shared" si="125"/>
        <v>0</v>
      </c>
      <c r="AW92" s="168" t="e">
        <f t="shared" si="125"/>
        <v>#DIV/0!</v>
      </c>
      <c r="AX92" s="168">
        <f t="shared" si="125"/>
        <v>0</v>
      </c>
      <c r="AY92" s="168">
        <f t="shared" si="125"/>
        <v>34589.333333333336</v>
      </c>
      <c r="AZ92" s="151">
        <f t="shared" si="125"/>
        <v>47365.333333333336</v>
      </c>
      <c r="BA92" s="152">
        <f t="shared" si="125"/>
        <v>3.5883658906313105</v>
      </c>
      <c r="BB92" s="151">
        <f t="shared" si="125"/>
        <v>1418.3333333333333</v>
      </c>
      <c r="BC92" s="151">
        <f t="shared" si="125"/>
        <v>1418.3333333333333</v>
      </c>
      <c r="BD92" s="151">
        <f t="shared" si="125"/>
        <v>2626</v>
      </c>
      <c r="BE92" s="151">
        <f t="shared" si="125"/>
        <v>2104.3333333333335</v>
      </c>
      <c r="BF92" s="151">
        <f t="shared" si="125"/>
        <v>120310.66666666667</v>
      </c>
      <c r="BG92" s="151">
        <f t="shared" si="125"/>
        <v>7.333333333333333</v>
      </c>
      <c r="BH92" s="151">
        <f t="shared" si="125"/>
        <v>89</v>
      </c>
      <c r="BI92" s="151">
        <f t="shared" si="125"/>
        <v>0</v>
      </c>
      <c r="BJ92" s="151">
        <f t="shared" si="125"/>
        <v>96.333333333333329</v>
      </c>
      <c r="BK92" s="151">
        <f t="shared" si="125"/>
        <v>198772</v>
      </c>
      <c r="BL92" s="152">
        <f t="shared" si="125"/>
        <v>15.104633952620901</v>
      </c>
      <c r="BM92" s="151">
        <f t="shared" si="125"/>
        <v>62</v>
      </c>
      <c r="BN92" s="151">
        <f t="shared" ref="BN92:CH92" si="126">AVERAGEIFS(BN2:BN83,$C2:$C83,"&gt;=10000",$C2:$C83,"&lt;=14999")</f>
        <v>8709</v>
      </c>
      <c r="BO92" s="152">
        <f t="shared" si="126"/>
        <v>0.39866699658451216</v>
      </c>
      <c r="BP92" s="151">
        <f t="shared" si="126"/>
        <v>26684.333333333332</v>
      </c>
      <c r="BQ92" s="151">
        <f t="shared" si="126"/>
        <v>0</v>
      </c>
      <c r="BR92" s="151">
        <f t="shared" si="126"/>
        <v>48344.333333333336</v>
      </c>
      <c r="BS92" s="151">
        <f t="shared" si="126"/>
        <v>33277.666666666664</v>
      </c>
      <c r="BT92" s="151">
        <f t="shared" si="126"/>
        <v>81622</v>
      </c>
      <c r="BU92" s="152">
        <f t="shared" si="126"/>
        <v>6.1973008263087328</v>
      </c>
      <c r="BV92" s="151">
        <f t="shared" si="126"/>
        <v>9903.9041302381665</v>
      </c>
      <c r="BW92" s="152">
        <f t="shared" si="126"/>
        <v>42.515011504381341</v>
      </c>
      <c r="BX92" s="152">
        <f t="shared" si="126"/>
        <v>1.6910837302428543</v>
      </c>
      <c r="BY92" s="152">
        <f t="shared" si="126"/>
        <v>0.37286952462952155</v>
      </c>
      <c r="BZ92" s="151">
        <f t="shared" si="126"/>
        <v>257.33333333333331</v>
      </c>
      <c r="CA92" s="151">
        <f t="shared" si="126"/>
        <v>23</v>
      </c>
      <c r="CB92" s="151">
        <f t="shared" si="126"/>
        <v>62.333333333333336</v>
      </c>
      <c r="CC92" s="151">
        <f t="shared" si="126"/>
        <v>342.66666666666669</v>
      </c>
      <c r="CD92" s="151">
        <f t="shared" si="126"/>
        <v>6301.666666666667</v>
      </c>
      <c r="CE92" s="151">
        <f t="shared" si="126"/>
        <v>359</v>
      </c>
      <c r="CF92" s="151">
        <f t="shared" si="126"/>
        <v>1101.3333333333333</v>
      </c>
      <c r="CG92" s="151">
        <f t="shared" si="126"/>
        <v>7762</v>
      </c>
      <c r="CH92" s="152">
        <f t="shared" si="126"/>
        <v>0.60192514821549215</v>
      </c>
      <c r="CI92" s="151">
        <v>34077.107142857145</v>
      </c>
      <c r="CJ92" s="152">
        <f>AVERAGEIFS(CJ2:CJ83,$C2:$C83,"&gt;=10000",$C2:$C83,"&lt;=14999")</f>
        <v>3.4050552380581571</v>
      </c>
      <c r="CK92" s="151">
        <f>AVERAGEIFS(CK2:CK83,$C2:$C83,"&gt;=10000",$C2:$C83,"&lt;=14999")</f>
        <v>5732.333333333333</v>
      </c>
      <c r="CL92" s="171">
        <f>COUNTIFS(CL2:CL83,"YES",$C2:$C83,"&gt;=10000",$C2:$C83,"&lt;=14999")</f>
        <v>3</v>
      </c>
      <c r="CM92" s="171">
        <f>COUNTIFS(CM2:CM83,"YES",$C2:$C83,"&gt;=10000",$C2:$C83,"&lt;=14999")</f>
        <v>3</v>
      </c>
      <c r="CN92" s="171">
        <f>COUNTIFS(CN2:CN83,"YES",$C2:$C83,"&gt;=10000",$C2:$C83,"&lt;=14999")</f>
        <v>3</v>
      </c>
      <c r="CO92" s="212">
        <f t="shared" ref="CO92:CW92" si="127">AVERAGEIFS(CO2:CO83,$C2:$C83,"&gt;=10000",$C2:$C83,"&lt;=14999")</f>
        <v>2.6666666666666665</v>
      </c>
      <c r="CP92" s="151">
        <f t="shared" si="127"/>
        <v>790.22222222222217</v>
      </c>
      <c r="CQ92" s="212">
        <f t="shared" si="127"/>
        <v>0</v>
      </c>
      <c r="CR92" s="212">
        <f t="shared" si="127"/>
        <v>4.4833333333333334</v>
      </c>
      <c r="CS92" s="212">
        <f t="shared" si="127"/>
        <v>7.1499999999999995</v>
      </c>
      <c r="CT92" s="151">
        <f t="shared" si="127"/>
        <v>2546.6063042240312</v>
      </c>
      <c r="CU92" s="151">
        <f t="shared" si="127"/>
        <v>262.33333333333331</v>
      </c>
      <c r="CV92" s="168">
        <f t="shared" si="127"/>
        <v>68183.666666666672</v>
      </c>
      <c r="CW92" s="152">
        <f t="shared" si="127"/>
        <v>40</v>
      </c>
      <c r="CX92" s="171">
        <f>COUNTIFS(CX2:CX83,"YES", $C2:$C83,"&gt;=10000",$C2:$C83,"&lt;=14999")</f>
        <v>3</v>
      </c>
      <c r="CY92" s="171">
        <f>COUNTIFS(CY2:CY83,"YES", $C2:$C83,"&gt;=10000",$C2:$C83,"&lt;=14999")</f>
        <v>3</v>
      </c>
      <c r="CZ92" s="151">
        <f t="shared" ref="CZ92:DL92" si="128">AVERAGEIFS(CZ2:CZ83,$C2:$C83,"&gt;=10000",$C2:$C83,"&lt;=14999")</f>
        <v>1272.6666666666667</v>
      </c>
      <c r="DA92" s="151">
        <f t="shared" si="128"/>
        <v>1174.6666666666667</v>
      </c>
      <c r="DB92" s="186">
        <f t="shared" si="128"/>
        <v>19</v>
      </c>
      <c r="DC92" s="151">
        <f t="shared" si="128"/>
        <v>7349.333333333333</v>
      </c>
      <c r="DD92" s="151">
        <f t="shared" si="128"/>
        <v>19593.5</v>
      </c>
      <c r="DE92" s="151">
        <f t="shared" si="128"/>
        <v>27933</v>
      </c>
      <c r="DF92" s="151">
        <f t="shared" si="128"/>
        <v>2586.3333333333335</v>
      </c>
      <c r="DG92" s="151">
        <f t="shared" si="128"/>
        <v>51.666666666666664</v>
      </c>
      <c r="DH92" s="151">
        <f t="shared" si="128"/>
        <v>0.19978534185854271</v>
      </c>
      <c r="DI92" s="151">
        <f t="shared" si="128"/>
        <v>50.666666666666664</v>
      </c>
      <c r="DJ92" s="151">
        <f t="shared" si="128"/>
        <v>50.666666666666664</v>
      </c>
      <c r="DK92" s="151" t="e">
        <f t="shared" si="128"/>
        <v>#DIV/0!</v>
      </c>
      <c r="DL92" s="151">
        <f t="shared" si="128"/>
        <v>1823.3333333333333</v>
      </c>
      <c r="DM92" s="172"/>
      <c r="DN92" s="170"/>
      <c r="DO92" s="150"/>
      <c r="DS92" s="152"/>
      <c r="DT92" s="157"/>
      <c r="DW92" s="152">
        <f t="shared" ref="DW92:EB92" si="129">AVERAGEIFS(DW2:DW83,$C2:$C83,"&gt;=10000",$C2:$C83,"&lt;=14999")</f>
        <v>2.0297375697796092</v>
      </c>
      <c r="DX92" s="152">
        <f t="shared" si="129"/>
        <v>0</v>
      </c>
      <c r="DY92" s="152">
        <f t="shared" si="129"/>
        <v>3.7456736320493476</v>
      </c>
      <c r="DZ92" s="230">
        <f t="shared" si="129"/>
        <v>2.4516271942593848</v>
      </c>
      <c r="EA92" s="246">
        <f t="shared" si="129"/>
        <v>0.7419971091497134</v>
      </c>
      <c r="EB92" s="246">
        <f t="shared" si="129"/>
        <v>1.4034002764092222</v>
      </c>
    </row>
    <row r="93" spans="1:132" ht="14.4" thickBot="1" x14ac:dyDescent="0.35">
      <c r="B93" s="131" t="s">
        <v>2045</v>
      </c>
      <c r="C93" s="151">
        <f t="shared" ref="C93:AB93" si="130">AVERAGEIFS(C2:C83,$C2:$C83,"&gt;=15000",$C2:$C83,"&lt;=24999")</f>
        <v>21726.400000000001</v>
      </c>
      <c r="D93" s="151">
        <f t="shared" si="130"/>
        <v>0.6</v>
      </c>
      <c r="E93" s="151">
        <f t="shared" si="130"/>
        <v>0</v>
      </c>
      <c r="F93" s="151">
        <f t="shared" si="130"/>
        <v>15297</v>
      </c>
      <c r="G93" s="75" t="e">
        <f t="shared" si="130"/>
        <v>#DIV/0!</v>
      </c>
      <c r="H93" s="151">
        <f t="shared" si="130"/>
        <v>15297</v>
      </c>
      <c r="I93" s="152">
        <f t="shared" si="130"/>
        <v>0.70420800000000006</v>
      </c>
      <c r="J93" s="168">
        <f t="shared" si="130"/>
        <v>287370.40000000002</v>
      </c>
      <c r="K93" s="168">
        <f t="shared" si="130"/>
        <v>99712.6</v>
      </c>
      <c r="L93" s="168">
        <f t="shared" si="130"/>
        <v>387083</v>
      </c>
      <c r="M93" s="153">
        <f t="shared" si="130"/>
        <v>17.984979570740684</v>
      </c>
      <c r="N93" s="168">
        <f t="shared" si="130"/>
        <v>27592.2</v>
      </c>
      <c r="O93" s="168">
        <f t="shared" si="130"/>
        <v>8740.6</v>
      </c>
      <c r="P93" s="168">
        <f t="shared" si="130"/>
        <v>5280.6</v>
      </c>
      <c r="Q93" s="168">
        <f t="shared" si="130"/>
        <v>41613.4</v>
      </c>
      <c r="R93" s="153">
        <f t="shared" si="130"/>
        <v>1.9185673830507226</v>
      </c>
      <c r="S93" s="168">
        <f t="shared" si="130"/>
        <v>80565.600000000006</v>
      </c>
      <c r="T93" s="168">
        <f t="shared" si="130"/>
        <v>509262</v>
      </c>
      <c r="U93" s="168">
        <f t="shared" si="130"/>
        <v>455.2</v>
      </c>
      <c r="V93" s="168">
        <f t="shared" si="130"/>
        <v>509262</v>
      </c>
      <c r="W93" s="153">
        <f t="shared" si="130"/>
        <v>23.643030707093413</v>
      </c>
      <c r="X93" s="169">
        <f t="shared" si="130"/>
        <v>0.76120016457547091</v>
      </c>
      <c r="Y93" s="169">
        <f t="shared" si="130"/>
        <v>8.0594418083851954E-2</v>
      </c>
      <c r="Z93" s="169">
        <f t="shared" si="130"/>
        <v>0.15820541734067711</v>
      </c>
      <c r="AA93" s="169">
        <f t="shared" si="130"/>
        <v>1.3073434677342921E-3</v>
      </c>
      <c r="AB93" s="168">
        <f t="shared" si="130"/>
        <v>538257.80000000005</v>
      </c>
      <c r="AC93" s="168">
        <f>AVERAGEIFS(AF2:AF83,$C2:$C83,"&gt;=15000",$C2:$C83,"&lt;=24999")</f>
        <v>509262</v>
      </c>
      <c r="AD93" s="168">
        <f>AVERAGEIFS(AG2:AG83,$C2:$C83,"&gt;=15000",$C2:$C83,"&lt;=24999")</f>
        <v>310494.8</v>
      </c>
      <c r="AE93" s="168" t="e">
        <f>AVERAGEIFS(AE2:AE83,$C2:$C83,"&gt;=15000",$C2:$C83,"&lt;=24999")</f>
        <v>#DIV/0!</v>
      </c>
      <c r="AF93" s="168" t="e">
        <f>AVERAGEIFS(#REF!,$C2:$C83,"&gt;=15000",$C2:$C83,"&lt;=24999")</f>
        <v>#REF!</v>
      </c>
      <c r="AG93" s="168" t="e">
        <f>AVERAGEIFS(#REF!,$C2:$C83,"&gt;=15000",$C2:$C83,"&lt;=24999")</f>
        <v>#REF!</v>
      </c>
      <c r="AH93" s="168" t="e">
        <f t="shared" ref="AH93:BM93" si="131">AVERAGEIFS(AH2:AH83,$C2:$C83,"&gt;=15000",$C2:$C83,"&lt;=24999")</f>
        <v>#DIV/0!</v>
      </c>
      <c r="AI93" s="168">
        <f t="shared" si="131"/>
        <v>819756.8</v>
      </c>
      <c r="AJ93" s="153">
        <f t="shared" si="131"/>
        <v>38.014227757807973</v>
      </c>
      <c r="AK93" s="168">
        <f t="shared" si="131"/>
        <v>67399.600000000006</v>
      </c>
      <c r="AL93" s="168">
        <f t="shared" si="131"/>
        <v>6617.2</v>
      </c>
      <c r="AM93" s="168">
        <f t="shared" si="131"/>
        <v>17832</v>
      </c>
      <c r="AN93" s="168" t="e">
        <f t="shared" si="131"/>
        <v>#DIV/0!</v>
      </c>
      <c r="AO93" s="168">
        <f t="shared" si="131"/>
        <v>17832</v>
      </c>
      <c r="AP93" s="168">
        <f t="shared" si="131"/>
        <v>530817</v>
      </c>
      <c r="AQ93" s="153">
        <f t="shared" si="131"/>
        <v>24.657724605000929</v>
      </c>
      <c r="AR93" s="168" t="e">
        <f t="shared" si="131"/>
        <v>#DIV/0!</v>
      </c>
      <c r="AS93" s="168">
        <f t="shared" si="131"/>
        <v>2647</v>
      </c>
      <c r="AT93" s="168">
        <f t="shared" si="131"/>
        <v>0</v>
      </c>
      <c r="AU93" s="168">
        <f t="shared" si="131"/>
        <v>0</v>
      </c>
      <c r="AV93" s="168">
        <f t="shared" si="131"/>
        <v>0</v>
      </c>
      <c r="AW93" s="168" t="e">
        <f t="shared" si="131"/>
        <v>#DIV/0!</v>
      </c>
      <c r="AX93" s="168">
        <f t="shared" si="131"/>
        <v>0</v>
      </c>
      <c r="AY93" s="168">
        <f t="shared" si="131"/>
        <v>2647</v>
      </c>
      <c r="AZ93" s="151">
        <f t="shared" si="131"/>
        <v>38476</v>
      </c>
      <c r="BA93" s="152">
        <f t="shared" si="131"/>
        <v>1.7650993320189479</v>
      </c>
      <c r="BB93" s="151">
        <f t="shared" si="131"/>
        <v>2064</v>
      </c>
      <c r="BC93" s="151">
        <f t="shared" si="131"/>
        <v>2064</v>
      </c>
      <c r="BD93" s="151">
        <f t="shared" si="131"/>
        <v>3978.8</v>
      </c>
      <c r="BE93" s="151">
        <f t="shared" si="131"/>
        <v>2026.2</v>
      </c>
      <c r="BF93" s="151">
        <f t="shared" si="131"/>
        <v>108918.6</v>
      </c>
      <c r="BG93" s="151">
        <f t="shared" si="131"/>
        <v>0.8</v>
      </c>
      <c r="BH93" s="151">
        <f t="shared" si="131"/>
        <v>89</v>
      </c>
      <c r="BI93" s="151">
        <f t="shared" si="131"/>
        <v>0</v>
      </c>
      <c r="BJ93" s="151">
        <f t="shared" si="131"/>
        <v>89.8</v>
      </c>
      <c r="BK93" s="151">
        <f t="shared" si="131"/>
        <v>175454.2</v>
      </c>
      <c r="BL93" s="152">
        <f t="shared" si="131"/>
        <v>8.0624864623030774</v>
      </c>
      <c r="BM93" s="151">
        <f t="shared" si="131"/>
        <v>22.2</v>
      </c>
      <c r="BN93" s="151">
        <f t="shared" ref="BN93:CH93" si="132">AVERAGEIFS(BN2:BN83,$C2:$C83,"&gt;=15000",$C2:$C83,"&lt;=24999")</f>
        <v>7668.4</v>
      </c>
      <c r="BO93" s="152">
        <f t="shared" si="132"/>
        <v>0.35921164643192904</v>
      </c>
      <c r="BP93" s="151">
        <f t="shared" si="132"/>
        <v>24217.200000000001</v>
      </c>
      <c r="BQ93" s="151">
        <f t="shared" si="132"/>
        <v>0</v>
      </c>
      <c r="BR93" s="151">
        <f t="shared" si="132"/>
        <v>59583.199999999997</v>
      </c>
      <c r="BS93" s="151">
        <f t="shared" si="132"/>
        <v>16728.2</v>
      </c>
      <c r="BT93" s="151">
        <f t="shared" si="132"/>
        <v>76311.399999999994</v>
      </c>
      <c r="BU93" s="152">
        <f t="shared" si="132"/>
        <v>3.5198173195560485</v>
      </c>
      <c r="BV93" s="151">
        <f t="shared" si="132"/>
        <v>7728.1213594593046</v>
      </c>
      <c r="BW93" s="152">
        <f t="shared" si="132"/>
        <v>23.398465512362968</v>
      </c>
      <c r="BX93" s="152">
        <f t="shared" si="132"/>
        <v>1.5203136426170438</v>
      </c>
      <c r="BY93" s="152">
        <f t="shared" si="132"/>
        <v>0.4111531488534183</v>
      </c>
      <c r="BZ93" s="151">
        <f t="shared" si="132"/>
        <v>185</v>
      </c>
      <c r="CA93" s="151">
        <f t="shared" si="132"/>
        <v>50.4</v>
      </c>
      <c r="CB93" s="151">
        <f t="shared" si="132"/>
        <v>115.2</v>
      </c>
      <c r="CC93" s="151">
        <f t="shared" si="132"/>
        <v>350.6</v>
      </c>
      <c r="CD93" s="151">
        <f t="shared" si="132"/>
        <v>4766.8</v>
      </c>
      <c r="CE93" s="151">
        <f t="shared" si="132"/>
        <v>759.6</v>
      </c>
      <c r="CF93" s="151">
        <f t="shared" si="132"/>
        <v>1972.2</v>
      </c>
      <c r="CG93" s="151">
        <f t="shared" si="132"/>
        <v>7498.6</v>
      </c>
      <c r="CH93" s="152">
        <f t="shared" si="132"/>
        <v>0.34235190940942817</v>
      </c>
      <c r="CI93" s="151">
        <v>66540.372881355928</v>
      </c>
      <c r="CJ93" s="152">
        <f>AVERAGEIFS(CJ2:CJ83,$C2:$C83,"&gt;=15000",$C2:$C83,"&lt;=24999")</f>
        <v>2.4607322711072519</v>
      </c>
      <c r="CK93" s="151">
        <f>AVERAGEIFS(CK2:CK83,$C2:$C83,"&gt;=15000",$C2:$C83,"&lt;=24999")</f>
        <v>8703</v>
      </c>
      <c r="CL93" s="171">
        <f>COUNTIFS(CL2:CL83,"YES",$C2:$C83,"&gt;=15000",$C2:$C83,"&lt;=24999")</f>
        <v>5</v>
      </c>
      <c r="CM93" s="171">
        <f>COUNTIFS(CM2:CM83,"YES",$C2:$C83,"&gt;=15000",$C2:$C83,"&lt;=24999")</f>
        <v>5</v>
      </c>
      <c r="CN93" s="171">
        <f>COUNTIFS(CN2:CN83,"YES",$C2:$C83,"&gt;=15000",$C2:$C83,"&lt;=24999")</f>
        <v>5</v>
      </c>
      <c r="CO93" s="212">
        <f t="shared" ref="CO93:CW93" si="133">AVERAGEIFS(CO2:CO83,$C2:$C83,"&gt;=15000",$C2:$C83,"&lt;=24999")</f>
        <v>1.762</v>
      </c>
      <c r="CP93" s="151">
        <f t="shared" si="133"/>
        <v>5445.3333333333339</v>
      </c>
      <c r="CQ93" s="212">
        <f t="shared" si="133"/>
        <v>0</v>
      </c>
      <c r="CR93" s="212">
        <f t="shared" si="133"/>
        <v>7.4680000000000009</v>
      </c>
      <c r="CS93" s="212">
        <f t="shared" si="133"/>
        <v>9.23</v>
      </c>
      <c r="CT93" s="151">
        <f t="shared" si="133"/>
        <v>2433.5757489674443</v>
      </c>
      <c r="CU93" s="151">
        <f t="shared" si="133"/>
        <v>833.6</v>
      </c>
      <c r="CV93" s="168">
        <f t="shared" si="133"/>
        <v>58557</v>
      </c>
      <c r="CW93" s="152">
        <f t="shared" si="133"/>
        <v>35.799999999999997</v>
      </c>
      <c r="CX93" s="171">
        <f>COUNTIFS(CX2:CX83,"YES", $C2:$C83,"&gt;=15000",$C2:$C83,"&lt;=24999")</f>
        <v>5</v>
      </c>
      <c r="CY93" s="171">
        <f>COUNTIFS(CY2:CY83,"YES", $C2:$C83,"&gt;=15000",$C2:$C83,"&lt;=24999")</f>
        <v>5</v>
      </c>
      <c r="CZ93" s="151">
        <f t="shared" ref="CZ93:DL93" si="134">AVERAGEIFS(CZ2:CZ83,$C2:$C83,"&gt;=15000",$C2:$C83,"&lt;=24999")</f>
        <v>3936.8</v>
      </c>
      <c r="DA93" s="151">
        <f t="shared" si="134"/>
        <v>3320.2</v>
      </c>
      <c r="DB93" s="186">
        <f t="shared" si="134"/>
        <v>29</v>
      </c>
      <c r="DC93" s="151">
        <f t="shared" si="134"/>
        <v>6714.6</v>
      </c>
      <c r="DD93" s="151">
        <f t="shared" si="134"/>
        <v>42809</v>
      </c>
      <c r="DE93" s="151">
        <f t="shared" si="134"/>
        <v>70236</v>
      </c>
      <c r="DF93" s="151">
        <f t="shared" si="134"/>
        <v>4048.4</v>
      </c>
      <c r="DG93" s="151">
        <f t="shared" si="134"/>
        <v>51.8</v>
      </c>
      <c r="DH93" s="151">
        <f t="shared" si="134"/>
        <v>0.18565142480602448</v>
      </c>
      <c r="DI93" s="151">
        <f t="shared" si="134"/>
        <v>39.6</v>
      </c>
      <c r="DJ93" s="151">
        <f t="shared" si="134"/>
        <v>39.6</v>
      </c>
      <c r="DK93" s="151" t="e">
        <f t="shared" si="134"/>
        <v>#DIV/0!</v>
      </c>
      <c r="DL93" s="151">
        <f t="shared" si="134"/>
        <v>3424</v>
      </c>
      <c r="DM93" s="172"/>
      <c r="DN93" s="170"/>
      <c r="DO93" s="150"/>
      <c r="DS93" s="152"/>
      <c r="DT93" s="157"/>
      <c r="DW93" s="152">
        <f t="shared" ref="DW93:EB93" si="135">AVERAGEIFS(DW2:DW83,$C2:$C83,"&gt;=15000",$C2:$C83,"&lt;=24999")</f>
        <v>1.1186942759707215</v>
      </c>
      <c r="DX93" s="152">
        <f t="shared" si="135"/>
        <v>0</v>
      </c>
      <c r="DY93" s="152">
        <f t="shared" si="135"/>
        <v>2.7503643792126282</v>
      </c>
      <c r="DZ93" s="230">
        <f t="shared" si="135"/>
        <v>0.76945294034341971</v>
      </c>
      <c r="EA93" s="246">
        <f t="shared" si="135"/>
        <v>0.41575841491759091</v>
      </c>
      <c r="EB93" s="246">
        <f t="shared" si="135"/>
        <v>0.29278658025473209</v>
      </c>
    </row>
    <row r="94" spans="1:132" ht="14.4" thickBot="1" x14ac:dyDescent="0.35">
      <c r="B94" s="131" t="s">
        <v>2046</v>
      </c>
      <c r="C94" s="151">
        <f t="shared" ref="C94:AB94" si="136">AVERAGEIFS(C2:C83,$C2:$C83,"&gt;=25000",$C2:$C83,"&lt;=49999")</f>
        <v>40885.230769230766</v>
      </c>
      <c r="D94" s="151">
        <f t="shared" si="136"/>
        <v>1.4615384615384615</v>
      </c>
      <c r="E94" s="151">
        <f t="shared" si="136"/>
        <v>0.30769230769230771</v>
      </c>
      <c r="F94" s="151">
        <f t="shared" si="136"/>
        <v>26088.538461538461</v>
      </c>
      <c r="G94" s="75" t="e">
        <f t="shared" si="136"/>
        <v>#DIV/0!</v>
      </c>
      <c r="H94" s="151">
        <f t="shared" si="136"/>
        <v>26088.538461538461</v>
      </c>
      <c r="I94" s="152">
        <f t="shared" si="136"/>
        <v>0.65267076923076917</v>
      </c>
      <c r="J94" s="168">
        <f t="shared" si="136"/>
        <v>535332.23076923075</v>
      </c>
      <c r="K94" s="168">
        <f t="shared" si="136"/>
        <v>195839.61538461538</v>
      </c>
      <c r="L94" s="168">
        <f t="shared" si="136"/>
        <v>731171.84615384613</v>
      </c>
      <c r="M94" s="153">
        <f t="shared" si="136"/>
        <v>17.996769505384552</v>
      </c>
      <c r="N94" s="168">
        <f t="shared" si="136"/>
        <v>66725.307692307688</v>
      </c>
      <c r="O94" s="168">
        <f t="shared" si="136"/>
        <v>26069</v>
      </c>
      <c r="P94" s="168">
        <f t="shared" si="136"/>
        <v>11477.923076923076</v>
      </c>
      <c r="Q94" s="168">
        <f t="shared" si="136"/>
        <v>104272.23076923077</v>
      </c>
      <c r="R94" s="153">
        <f t="shared" si="136"/>
        <v>2.5711264067233746</v>
      </c>
      <c r="S94" s="168">
        <f t="shared" si="136"/>
        <v>184149.76923076922</v>
      </c>
      <c r="T94" s="168">
        <f t="shared" si="136"/>
        <v>1019593.8461538461</v>
      </c>
      <c r="U94" s="168">
        <f t="shared" si="136"/>
        <v>521.30769230769226</v>
      </c>
      <c r="V94" s="168">
        <f t="shared" si="136"/>
        <v>1019593.8461538461</v>
      </c>
      <c r="W94" s="153">
        <f t="shared" si="136"/>
        <v>24.949923011909409</v>
      </c>
      <c r="X94" s="169">
        <f t="shared" si="136"/>
        <v>0.72818534624901765</v>
      </c>
      <c r="Y94" s="169">
        <f t="shared" si="136"/>
        <v>9.7599074080917836E-2</v>
      </c>
      <c r="Z94" s="169">
        <f t="shared" si="136"/>
        <v>0.17421557967006437</v>
      </c>
      <c r="AA94" s="169">
        <f t="shared" si="136"/>
        <v>5.741122396629299E-4</v>
      </c>
      <c r="AB94" s="168">
        <f t="shared" si="136"/>
        <v>45156.153846153844</v>
      </c>
      <c r="AC94" s="168">
        <f>AVERAGEIFS(AF2:AF83,$C2:$C83,"&gt;=25000",$C2:$C83,"&lt;=49999")</f>
        <v>1019593.8461538461</v>
      </c>
      <c r="AD94" s="168">
        <f>AVERAGEIFS(AG2:AG83,$C2:$C83,"&gt;=25000",$C2:$C83,"&lt;=49999")</f>
        <v>643113.23076923075</v>
      </c>
      <c r="AE94" s="168" t="e">
        <f>AVERAGEIFS(AE2:AE83,$C2:$C83,"&gt;=25000",$C2:$C83,"&lt;=49999")</f>
        <v>#DIV/0!</v>
      </c>
      <c r="AF94" s="168" t="e">
        <f>AVERAGEIFS(#REF!,$C2:$C83,"&gt;=25000",$C2:$C83,"&lt;=49999")</f>
        <v>#REF!</v>
      </c>
      <c r="AG94" s="168" t="e">
        <f>AVERAGEIFS(#REF!,$C2:$C83,"&gt;=25000",$C2:$C83,"&lt;=49999")</f>
        <v>#REF!</v>
      </c>
      <c r="AH94" s="168" t="e">
        <f t="shared" ref="AH94:BM94" si="137">AVERAGEIFS(AH2:AH83,$C2:$C83,"&gt;=25000",$C2:$C83,"&lt;=49999")</f>
        <v>#DIV/0!</v>
      </c>
      <c r="AI94" s="168">
        <f t="shared" si="137"/>
        <v>1662707.076923077</v>
      </c>
      <c r="AJ94" s="153">
        <f t="shared" si="137"/>
        <v>40.977960039644827</v>
      </c>
      <c r="AK94" s="168">
        <f t="shared" si="137"/>
        <v>126110.92307692308</v>
      </c>
      <c r="AL94" s="168">
        <f t="shared" si="137"/>
        <v>22082.76923076923</v>
      </c>
      <c r="AM94" s="168">
        <f t="shared" si="137"/>
        <v>28174.153846153848</v>
      </c>
      <c r="AN94" s="168" t="e">
        <f t="shared" si="137"/>
        <v>#DIV/0!</v>
      </c>
      <c r="AO94" s="168">
        <f t="shared" si="137"/>
        <v>28174.153846153848</v>
      </c>
      <c r="AP94" s="168">
        <f t="shared" si="137"/>
        <v>1102804.3076923077</v>
      </c>
      <c r="AQ94" s="153">
        <f t="shared" si="137"/>
        <v>26.993992798674483</v>
      </c>
      <c r="AR94" s="168" t="e">
        <f t="shared" si="137"/>
        <v>#DIV/0!</v>
      </c>
      <c r="AS94" s="168">
        <f t="shared" si="137"/>
        <v>63737.538461538461</v>
      </c>
      <c r="AT94" s="168">
        <f t="shared" si="137"/>
        <v>0</v>
      </c>
      <c r="AU94" s="168">
        <f t="shared" si="137"/>
        <v>0</v>
      </c>
      <c r="AV94" s="168">
        <f t="shared" si="137"/>
        <v>7692.3076923076924</v>
      </c>
      <c r="AW94" s="168" t="e">
        <f t="shared" si="137"/>
        <v>#DIV/0!</v>
      </c>
      <c r="AX94" s="168">
        <f t="shared" si="137"/>
        <v>828</v>
      </c>
      <c r="AY94" s="168">
        <f t="shared" si="137"/>
        <v>72257.846153846156</v>
      </c>
      <c r="AZ94" s="151">
        <f t="shared" si="137"/>
        <v>83256</v>
      </c>
      <c r="BA94" s="152">
        <f t="shared" si="137"/>
        <v>2.0328828337662403</v>
      </c>
      <c r="BB94" s="151">
        <f t="shared" si="137"/>
        <v>4167.9230769230771</v>
      </c>
      <c r="BC94" s="151">
        <f t="shared" si="137"/>
        <v>4167.9230769230771</v>
      </c>
      <c r="BD94" s="151">
        <f t="shared" si="137"/>
        <v>6166.6923076923076</v>
      </c>
      <c r="BE94" s="151">
        <f t="shared" si="137"/>
        <v>2030.9230769230769</v>
      </c>
      <c r="BF94" s="151">
        <f t="shared" si="137"/>
        <v>108402.61538461539</v>
      </c>
      <c r="BG94" s="151">
        <f t="shared" si="137"/>
        <v>5.1538461538461542</v>
      </c>
      <c r="BH94" s="151">
        <f t="shared" si="137"/>
        <v>89</v>
      </c>
      <c r="BI94" s="151">
        <f t="shared" si="137"/>
        <v>0</v>
      </c>
      <c r="BJ94" s="151">
        <f t="shared" si="137"/>
        <v>94.15384615384616</v>
      </c>
      <c r="BK94" s="151">
        <f t="shared" si="137"/>
        <v>226286.92307692306</v>
      </c>
      <c r="BL94" s="152">
        <f t="shared" si="137"/>
        <v>5.5767555318091331</v>
      </c>
      <c r="BM94" s="151">
        <f t="shared" si="137"/>
        <v>72.230769230769226</v>
      </c>
      <c r="BN94" s="151">
        <f t="shared" ref="BN94:CH94" si="138">AVERAGEIFS(BN2:BN83,$C2:$C83,"&gt;=25000",$C2:$C83,"&lt;=49999")</f>
        <v>23182.384615384617</v>
      </c>
      <c r="BO94" s="152">
        <f t="shared" si="138"/>
        <v>0.54216924274406642</v>
      </c>
      <c r="BP94" s="151">
        <f t="shared" si="138"/>
        <v>53461.153846153844</v>
      </c>
      <c r="BQ94" s="151">
        <f t="shared" si="138"/>
        <v>0</v>
      </c>
      <c r="BR94" s="151">
        <f t="shared" si="138"/>
        <v>120353.61538461539</v>
      </c>
      <c r="BS94" s="151">
        <f t="shared" si="138"/>
        <v>38863.230769230766</v>
      </c>
      <c r="BT94" s="151">
        <f t="shared" si="138"/>
        <v>159216.84615384616</v>
      </c>
      <c r="BU94" s="152">
        <f t="shared" si="138"/>
        <v>3.9069943908249769</v>
      </c>
      <c r="BV94" s="151">
        <f t="shared" si="138"/>
        <v>9834.319095248271</v>
      </c>
      <c r="BW94" s="152">
        <f t="shared" si="138"/>
        <v>50.700833392712113</v>
      </c>
      <c r="BX94" s="152">
        <f t="shared" si="138"/>
        <v>1.5328419686809056</v>
      </c>
      <c r="BY94" s="152">
        <f t="shared" si="138"/>
        <v>0.62164142651283505</v>
      </c>
      <c r="BZ94" s="151">
        <f t="shared" si="138"/>
        <v>285.76923076923077</v>
      </c>
      <c r="CA94" s="151">
        <f t="shared" si="138"/>
        <v>33</v>
      </c>
      <c r="CB94" s="151">
        <f t="shared" si="138"/>
        <v>143.38461538461539</v>
      </c>
      <c r="CC94" s="151">
        <f t="shared" si="138"/>
        <v>462.15384615384613</v>
      </c>
      <c r="CD94" s="151">
        <f t="shared" si="138"/>
        <v>7287.9230769230771</v>
      </c>
      <c r="CE94" s="151">
        <f t="shared" si="138"/>
        <v>490.46153846153845</v>
      </c>
      <c r="CF94" s="151">
        <f t="shared" si="138"/>
        <v>2186.6153846153848</v>
      </c>
      <c r="CG94" s="151">
        <f t="shared" si="138"/>
        <v>9965</v>
      </c>
      <c r="CH94" s="152">
        <f t="shared" si="138"/>
        <v>0.24249658510549621</v>
      </c>
      <c r="CI94" s="151">
        <v>112978.4328358209</v>
      </c>
      <c r="CJ94" s="152">
        <f>AVERAGEIFS(CJ2:CJ83,$C2:$C83,"&gt;=25000",$C2:$C83,"&lt;=49999")</f>
        <v>2.2868103160949667</v>
      </c>
      <c r="CK94" s="151">
        <f>AVERAGEIFS(CK2:CK83,$C2:$C83,"&gt;=25000",$C2:$C83,"&lt;=49999")</f>
        <v>20745</v>
      </c>
      <c r="CL94" s="171">
        <f>COUNTIFS(CL2:CL83,"YES",$C2:$C83,"&gt;=25000",$C2:$C83,"&lt;=49999")</f>
        <v>13</v>
      </c>
      <c r="CM94" s="171">
        <f>COUNTIFS(CM2:CM83,"YES",$C2:$C83,"&gt;=25000",$C2:$C83,"&lt;=49999")</f>
        <v>13</v>
      </c>
      <c r="CN94" s="171">
        <f>COUNTIFS(CN2:CN83,"YES",$C2:$C83,"&gt;=25000",$C2:$C83,"&lt;=49999")</f>
        <v>13</v>
      </c>
      <c r="CO94" s="212">
        <f t="shared" ref="CO94:CW94" si="139">AVERAGEIFS(CO2:CO83,$C2:$C83,"&gt;=25000",$C2:$C83,"&lt;=49999")</f>
        <v>3.38</v>
      </c>
      <c r="CP94" s="151">
        <f t="shared" si="139"/>
        <v>9380.0096508459155</v>
      </c>
      <c r="CQ94" s="212">
        <f t="shared" si="139"/>
        <v>0.43769230769230766</v>
      </c>
      <c r="CR94" s="212">
        <f t="shared" si="139"/>
        <v>10.994615384615383</v>
      </c>
      <c r="CS94" s="212">
        <f t="shared" si="139"/>
        <v>14.812307692307693</v>
      </c>
      <c r="CT94" s="151">
        <f t="shared" si="139"/>
        <v>3340.6984947322144</v>
      </c>
      <c r="CU94" s="151">
        <f t="shared" si="139"/>
        <v>985.33333333333337</v>
      </c>
      <c r="CV94" s="168">
        <f t="shared" si="139"/>
        <v>66650.615769230775</v>
      </c>
      <c r="CW94" s="152">
        <f t="shared" si="139"/>
        <v>36.92307692307692</v>
      </c>
      <c r="CX94" s="171">
        <f>COUNTIFS(CX2:CX83,"YES", $C2:$C83,"&gt;=25000",$C2:$C83,"&lt;=49999")</f>
        <v>13</v>
      </c>
      <c r="CY94" s="171">
        <f>COUNTIFS(CY2:CY83,"YES", $C2:$C83,"&gt;=25000",$C2:$C83,"&lt;=49999")</f>
        <v>13</v>
      </c>
      <c r="CZ94" s="151">
        <f t="shared" ref="CZ94:DL94" si="140">AVERAGEIFS(CZ2:CZ83,$C2:$C83,"&gt;=25000",$C2:$C83,"&lt;=49999")</f>
        <v>2317.7692307692309</v>
      </c>
      <c r="DA94" s="151">
        <f t="shared" si="140"/>
        <v>1583.4615384615386</v>
      </c>
      <c r="DB94" s="186">
        <f t="shared" si="140"/>
        <v>43.307692307692307</v>
      </c>
      <c r="DC94" s="151">
        <f t="shared" si="140"/>
        <v>13378.384615384615</v>
      </c>
      <c r="DD94" s="151">
        <f t="shared" si="140"/>
        <v>22754.625</v>
      </c>
      <c r="DE94" s="151">
        <f t="shared" si="140"/>
        <v>60406.8</v>
      </c>
      <c r="DF94" s="151">
        <f t="shared" si="140"/>
        <v>5762.3846153846152</v>
      </c>
      <c r="DG94" s="151">
        <f t="shared" si="140"/>
        <v>51.153846153846153</v>
      </c>
      <c r="DH94" s="151">
        <f t="shared" si="140"/>
        <v>0.14091195049441524</v>
      </c>
      <c r="DI94" s="151">
        <f t="shared" si="140"/>
        <v>42.92307692307692</v>
      </c>
      <c r="DJ94" s="151">
        <f t="shared" si="140"/>
        <v>42.92307692307692</v>
      </c>
      <c r="DK94" s="151">
        <f t="shared" si="140"/>
        <v>4789</v>
      </c>
      <c r="DL94" s="151">
        <f t="shared" si="140"/>
        <v>4264.6923076923076</v>
      </c>
      <c r="DM94" s="172"/>
      <c r="DN94" s="170"/>
      <c r="DO94" s="150"/>
      <c r="DS94" s="152"/>
      <c r="DT94" s="157"/>
      <c r="DW94" s="152">
        <f t="shared" ref="DW94:EB94" si="141">AVERAGEIFS(DW2:DW83,$C2:$C83,"&gt;=25000",$C2:$C83,"&lt;=49999")</f>
        <v>1.3174626380350172</v>
      </c>
      <c r="DX94" s="152">
        <f t="shared" si="141"/>
        <v>0</v>
      </c>
      <c r="DY94" s="152">
        <f t="shared" si="141"/>
        <v>2.9460412111210066</v>
      </c>
      <c r="DZ94" s="230">
        <f t="shared" si="141"/>
        <v>0.96095317970396943</v>
      </c>
      <c r="EA94" s="246">
        <f t="shared" si="141"/>
        <v>0.55280875685976549</v>
      </c>
      <c r="EB94" s="246">
        <f t="shared" si="141"/>
        <v>0.64311455288347497</v>
      </c>
    </row>
    <row r="95" spans="1:132" ht="14.4" thickBot="1" x14ac:dyDescent="0.35">
      <c r="B95" s="131" t="s">
        <v>2047</v>
      </c>
      <c r="C95" s="151">
        <f t="shared" ref="C95:AB95" si="142">AVERAGEIFS(C2:C83,$C2:$C83,"&gt;=50000",$C2:$C83,"&lt;=99999")</f>
        <v>72785.88461538461</v>
      </c>
      <c r="D95" s="151">
        <f t="shared" si="142"/>
        <v>3.3076923076923075</v>
      </c>
      <c r="E95" s="151">
        <f t="shared" si="142"/>
        <v>0.19230769230769232</v>
      </c>
      <c r="F95" s="151">
        <f t="shared" si="142"/>
        <v>34481.076923076922</v>
      </c>
      <c r="G95" s="75" t="e">
        <f t="shared" si="142"/>
        <v>#DIV/0!</v>
      </c>
      <c r="H95" s="151">
        <f t="shared" si="142"/>
        <v>34481.076923076922</v>
      </c>
      <c r="I95" s="152">
        <f t="shared" si="142"/>
        <v>0.47907923076923087</v>
      </c>
      <c r="J95" s="168">
        <f t="shared" si="142"/>
        <v>769520.9615384615</v>
      </c>
      <c r="K95" s="168">
        <f t="shared" si="142"/>
        <v>291801.23076923075</v>
      </c>
      <c r="L95" s="168">
        <f t="shared" si="142"/>
        <v>1061322.1923076923</v>
      </c>
      <c r="M95" s="153">
        <f t="shared" si="142"/>
        <v>14.382046344651854</v>
      </c>
      <c r="N95" s="168">
        <f t="shared" si="142"/>
        <v>97853.346153846156</v>
      </c>
      <c r="O95" s="168">
        <f t="shared" si="142"/>
        <v>24871.192307692309</v>
      </c>
      <c r="P95" s="168">
        <f t="shared" si="142"/>
        <v>16370.653846153846</v>
      </c>
      <c r="Q95" s="168">
        <f t="shared" si="142"/>
        <v>139095.19230769231</v>
      </c>
      <c r="R95" s="153">
        <f t="shared" si="142"/>
        <v>1.8830509274166838</v>
      </c>
      <c r="S95" s="168">
        <f t="shared" si="142"/>
        <v>270502.23076923075</v>
      </c>
      <c r="T95" s="168">
        <f t="shared" si="142"/>
        <v>1470919.6153846155</v>
      </c>
      <c r="U95" s="168">
        <f t="shared" si="142"/>
        <v>628.19230769230774</v>
      </c>
      <c r="V95" s="168">
        <f t="shared" si="142"/>
        <v>1470919.6153846155</v>
      </c>
      <c r="W95" s="153">
        <f t="shared" si="142"/>
        <v>19.898917587319609</v>
      </c>
      <c r="X95" s="169">
        <f t="shared" si="142"/>
        <v>0.72416676603678287</v>
      </c>
      <c r="Y95" s="169">
        <f t="shared" si="142"/>
        <v>9.9459882205380268E-2</v>
      </c>
      <c r="Z95" s="169">
        <f t="shared" si="142"/>
        <v>0.1763733517578368</v>
      </c>
      <c r="AA95" s="169">
        <f t="shared" si="142"/>
        <v>4.2987191585237893E-4</v>
      </c>
      <c r="AB95" s="168">
        <f t="shared" si="142"/>
        <v>74448.230769230766</v>
      </c>
      <c r="AC95" s="168">
        <f>AVERAGEIFS(AF2:AF83,$C2:$C83,"&gt;=50000",$C2:$C83,"&lt;=99999")</f>
        <v>1470919.6153846155</v>
      </c>
      <c r="AD95" s="168">
        <f>AVERAGEIFS(AG2:AG83,$C2:$C83,"&gt;=50000",$C2:$C83,"&lt;=99999")</f>
        <v>1116892.076923077</v>
      </c>
      <c r="AE95" s="168" t="e">
        <f>AVERAGEIFS(AE2:AE83,$C2:$C83,"&gt;=50000",$C2:$C83,"&lt;=99999")</f>
        <v>#DIV/0!</v>
      </c>
      <c r="AF95" s="168" t="e">
        <f>AVERAGEIFS(#REF!,$C2:$C83,"&gt;=50000",$C2:$C83,"&lt;=99999")</f>
        <v>#REF!</v>
      </c>
      <c r="AG95" s="168" t="e">
        <f>AVERAGEIFS(#REF!,$C2:$C83,"&gt;=50000",$C2:$C83,"&lt;=99999")</f>
        <v>#REF!</v>
      </c>
      <c r="AH95" s="168" t="e">
        <f t="shared" ref="AH95:BM95" si="143">AVERAGEIFS(AH2:AH83,$C2:$C83,"&gt;=50000",$C2:$C83,"&lt;=99999")</f>
        <v>#DIV/0!</v>
      </c>
      <c r="AI95" s="168">
        <f t="shared" si="143"/>
        <v>2587811.6923076925</v>
      </c>
      <c r="AJ95" s="153">
        <f t="shared" si="143"/>
        <v>34.931404989689398</v>
      </c>
      <c r="AK95" s="168">
        <f t="shared" si="143"/>
        <v>155929.76923076922</v>
      </c>
      <c r="AL95" s="168">
        <f t="shared" si="143"/>
        <v>12979</v>
      </c>
      <c r="AM95" s="168">
        <f t="shared" si="143"/>
        <v>101827.42307692308</v>
      </c>
      <c r="AN95" s="168" t="e">
        <f t="shared" si="143"/>
        <v>#DIV/0!</v>
      </c>
      <c r="AO95" s="168">
        <f t="shared" si="143"/>
        <v>101827.42307692308</v>
      </c>
      <c r="AP95" s="168">
        <f t="shared" si="143"/>
        <v>1547953.5</v>
      </c>
      <c r="AQ95" s="153">
        <f t="shared" si="143"/>
        <v>20.956471598463413</v>
      </c>
      <c r="AR95" s="168" t="e">
        <f t="shared" si="143"/>
        <v>#DIV/0!</v>
      </c>
      <c r="AS95" s="168">
        <f t="shared" si="143"/>
        <v>45066.384615384617</v>
      </c>
      <c r="AT95" s="168">
        <f t="shared" si="143"/>
        <v>0</v>
      </c>
      <c r="AU95" s="168">
        <f t="shared" si="143"/>
        <v>15384.615384615385</v>
      </c>
      <c r="AV95" s="168">
        <f t="shared" si="143"/>
        <v>0</v>
      </c>
      <c r="AW95" s="168" t="e">
        <f t="shared" si="143"/>
        <v>#DIV/0!</v>
      </c>
      <c r="AX95" s="168">
        <f t="shared" si="143"/>
        <v>1630.9615384615386</v>
      </c>
      <c r="AY95" s="168">
        <f t="shared" si="143"/>
        <v>62081.961538461539</v>
      </c>
      <c r="AZ95" s="151">
        <f t="shared" si="143"/>
        <v>125516.03846153847</v>
      </c>
      <c r="BA95" s="152">
        <f t="shared" si="143"/>
        <v>1.7581364829824813</v>
      </c>
      <c r="BB95" s="151">
        <f t="shared" si="143"/>
        <v>4183.4230769230771</v>
      </c>
      <c r="BC95" s="151">
        <f t="shared" si="143"/>
        <v>4183.4230769230771</v>
      </c>
      <c r="BD95" s="151">
        <f t="shared" si="143"/>
        <v>7662.2307692307695</v>
      </c>
      <c r="BE95" s="151">
        <f t="shared" si="143"/>
        <v>2032.3076923076924</v>
      </c>
      <c r="BF95" s="151">
        <f t="shared" si="143"/>
        <v>110607.26923076923</v>
      </c>
      <c r="BG95" s="151">
        <f t="shared" si="143"/>
        <v>3.2307692307692308</v>
      </c>
      <c r="BH95" s="151">
        <f t="shared" si="143"/>
        <v>89</v>
      </c>
      <c r="BI95" s="151">
        <f t="shared" si="143"/>
        <v>0</v>
      </c>
      <c r="BJ95" s="151">
        <f t="shared" si="143"/>
        <v>92.230769230769226</v>
      </c>
      <c r="BK95" s="151">
        <f t="shared" si="143"/>
        <v>272752.38461538462</v>
      </c>
      <c r="BL95" s="152">
        <f t="shared" si="143"/>
        <v>3.8434993546025371</v>
      </c>
      <c r="BM95" s="151">
        <f t="shared" si="143"/>
        <v>169.65384615384616</v>
      </c>
      <c r="BN95" s="151">
        <f t="shared" ref="BN95:CH95" si="144">AVERAGEIFS(BN2:BN83,$C2:$C83,"&gt;=50000",$C2:$C83,"&lt;=99999")</f>
        <v>31369.538461538461</v>
      </c>
      <c r="BO95" s="152">
        <f t="shared" si="144"/>
        <v>0.40366693875684567</v>
      </c>
      <c r="BP95" s="151">
        <f t="shared" si="144"/>
        <v>77249.576923076922</v>
      </c>
      <c r="BQ95" s="151">
        <f t="shared" si="144"/>
        <v>0</v>
      </c>
      <c r="BR95" s="151">
        <f t="shared" si="144"/>
        <v>172802.19230769231</v>
      </c>
      <c r="BS95" s="151">
        <f t="shared" si="144"/>
        <v>59030.769230769234</v>
      </c>
      <c r="BT95" s="151">
        <f t="shared" si="144"/>
        <v>231832.96153846153</v>
      </c>
      <c r="BU95" s="152">
        <f t="shared" si="144"/>
        <v>3.2409090165532031</v>
      </c>
      <c r="BV95" s="151">
        <f t="shared" si="144"/>
        <v>10351.431343447561</v>
      </c>
      <c r="BW95" s="152">
        <f t="shared" si="144"/>
        <v>50.914171918071013</v>
      </c>
      <c r="BX95" s="152">
        <f t="shared" si="144"/>
        <v>1.8670656462185455</v>
      </c>
      <c r="BY95" s="152">
        <f t="shared" si="144"/>
        <v>0.8105329478582749</v>
      </c>
      <c r="BZ95" s="151">
        <f t="shared" si="144"/>
        <v>403.69230769230768</v>
      </c>
      <c r="CA95" s="151">
        <f t="shared" si="144"/>
        <v>37.5</v>
      </c>
      <c r="CB95" s="151">
        <f t="shared" si="144"/>
        <v>182.46153846153845</v>
      </c>
      <c r="CC95" s="151">
        <f t="shared" si="144"/>
        <v>623.65384615384619</v>
      </c>
      <c r="CD95" s="151">
        <f t="shared" si="144"/>
        <v>9679.5769230769238</v>
      </c>
      <c r="CE95" s="151">
        <f t="shared" si="144"/>
        <v>618.46153846153845</v>
      </c>
      <c r="CF95" s="151">
        <f t="shared" si="144"/>
        <v>2455.9230769230771</v>
      </c>
      <c r="CG95" s="151">
        <f t="shared" si="144"/>
        <v>12753.961538461539</v>
      </c>
      <c r="CH95" s="152">
        <f t="shared" si="144"/>
        <v>0.16974896601587675</v>
      </c>
      <c r="CI95" s="151">
        <v>186963.25806451612</v>
      </c>
      <c r="CJ95" s="152">
        <f>AVERAGEIFS(CJ2:CJ83,$C2:$C83,"&gt;=50000",$C2:$C83,"&lt;=99999")</f>
        <v>1.7355670523155813</v>
      </c>
      <c r="CK95" s="151">
        <f>AVERAGEIFS(CK2:CK83,$C2:$C83,"&gt;=50000",$C2:$C83,"&lt;=99999")</f>
        <v>35027.461538461539</v>
      </c>
      <c r="CL95" s="171">
        <f>COUNTIFS(CL2:CL83,"YES",$C2:$C83,"&gt;=50000",$C2:$C83,"&lt;=99999")</f>
        <v>26</v>
      </c>
      <c r="CM95" s="171">
        <f>COUNTIFS(CM2:CM83,"YES",$C2:$C83,"&gt;=50000",$C2:$C83,"&lt;=99999")</f>
        <v>26</v>
      </c>
      <c r="CN95" s="171">
        <f>COUNTIFS(CN2:CN83,"YES",$C2:$C83,"&gt;=50000",$C2:$C83,"&lt;=99999")</f>
        <v>26</v>
      </c>
      <c r="CO95" s="212">
        <f t="shared" ref="CO95:CW95" si="145">AVERAGEIFS(CO2:CO83,$C2:$C83,"&gt;=50000",$C2:$C83,"&lt;=99999")</f>
        <v>3.9569230769230765</v>
      </c>
      <c r="CP95" s="151">
        <f t="shared" si="145"/>
        <v>16360.453130415595</v>
      </c>
      <c r="CQ95" s="212">
        <f t="shared" si="145"/>
        <v>0.57692307692307687</v>
      </c>
      <c r="CR95" s="212">
        <f t="shared" si="145"/>
        <v>16.486153846153847</v>
      </c>
      <c r="CS95" s="212">
        <f t="shared" si="145"/>
        <v>21.02</v>
      </c>
      <c r="CT95" s="151">
        <f t="shared" si="145"/>
        <v>3662.7098350861411</v>
      </c>
      <c r="CU95" s="151">
        <f t="shared" si="145"/>
        <v>809.28</v>
      </c>
      <c r="CV95" s="168">
        <f t="shared" si="145"/>
        <v>74927.423076923078</v>
      </c>
      <c r="CW95" s="152">
        <f t="shared" si="145"/>
        <v>36.192307692307693</v>
      </c>
      <c r="CX95" s="171">
        <f>COUNTIFS(CX2:CX83,"YES", $C2:$C83,"&gt;=50000",$C2:$C83,"&lt;=99999")</f>
        <v>26</v>
      </c>
      <c r="CY95" s="171">
        <f>COUNTIFS(CY2:CY83,"YES", $C2:$C83,"&gt;=50000",$C2:$C83,"&lt;=99999")</f>
        <v>25</v>
      </c>
      <c r="CZ95" s="151">
        <f t="shared" ref="CZ95:DL95" si="146">AVERAGEIFS(CZ2:CZ83,$C2:$C83,"&gt;=50000",$C2:$C83,"&lt;=99999")</f>
        <v>4732.0384615384619</v>
      </c>
      <c r="DA95" s="151">
        <f t="shared" si="146"/>
        <v>3110.5769230769229</v>
      </c>
      <c r="DB95" s="186">
        <f t="shared" si="146"/>
        <v>60</v>
      </c>
      <c r="DC95" s="151">
        <f t="shared" si="146"/>
        <v>24626.923076923078</v>
      </c>
      <c r="DD95" s="151">
        <f t="shared" si="146"/>
        <v>43318.941176470587</v>
      </c>
      <c r="DE95" s="151">
        <f t="shared" si="146"/>
        <v>117389.75</v>
      </c>
      <c r="DF95" s="151">
        <f t="shared" si="146"/>
        <v>8884.7307692307695</v>
      </c>
      <c r="DG95" s="151">
        <f t="shared" si="146"/>
        <v>49.46153846153846</v>
      </c>
      <c r="DH95" s="151">
        <f t="shared" si="146"/>
        <v>0.12417444225815497</v>
      </c>
      <c r="DI95" s="151">
        <f t="shared" si="146"/>
        <v>43.46153846153846</v>
      </c>
      <c r="DJ95" s="151">
        <f t="shared" si="146"/>
        <v>43.192307692307693</v>
      </c>
      <c r="DK95" s="151">
        <f t="shared" si="146"/>
        <v>6246.8888888888887</v>
      </c>
      <c r="DL95" s="151">
        <f t="shared" si="146"/>
        <v>6999.4230769230771</v>
      </c>
      <c r="DM95" s="172"/>
      <c r="DN95" s="170"/>
      <c r="DO95" s="150"/>
      <c r="DS95" s="152"/>
      <c r="DT95" s="157"/>
      <c r="DW95" s="152">
        <f t="shared" ref="DW95:EB95" si="147">AVERAGEIFS(DW2:DW83,$C2:$C83,"&gt;=50000",$C2:$C83,"&lt;=99999")</f>
        <v>1.0977768287599081</v>
      </c>
      <c r="DX95" s="152">
        <f t="shared" si="147"/>
        <v>0</v>
      </c>
      <c r="DY95" s="152">
        <f t="shared" si="147"/>
        <v>2.4276638417229721</v>
      </c>
      <c r="DZ95" s="230">
        <f t="shared" si="147"/>
        <v>0.81324517483022973</v>
      </c>
      <c r="EA95" s="246">
        <f t="shared" si="147"/>
        <v>0.62637272026908142</v>
      </c>
      <c r="EB95" s="246">
        <f t="shared" si="147"/>
        <v>0.57401234551153957</v>
      </c>
    </row>
    <row r="96" spans="1:132" ht="14.4" thickBot="1" x14ac:dyDescent="0.35">
      <c r="B96" s="131" t="s">
        <v>2048</v>
      </c>
      <c r="C96" s="151">
        <f t="shared" ref="C96:AB96" si="148">AVERAGEIFS(C2:C83,$C2:$C83,"&gt;=100000",$C2:$C83,"&lt;=249999")</f>
        <v>163961.5</v>
      </c>
      <c r="D96" s="151">
        <f t="shared" si="148"/>
        <v>5.25</v>
      </c>
      <c r="E96" s="151">
        <f t="shared" si="148"/>
        <v>0.33333333333333331</v>
      </c>
      <c r="F96" s="151">
        <f t="shared" si="148"/>
        <v>68232.083333333328</v>
      </c>
      <c r="G96" s="75" t="e">
        <f t="shared" si="148"/>
        <v>#DIV/0!</v>
      </c>
      <c r="H96" s="151">
        <f t="shared" si="148"/>
        <v>68232.083333333328</v>
      </c>
      <c r="I96" s="152">
        <f t="shared" si="148"/>
        <v>0.42757249999999997</v>
      </c>
      <c r="J96" s="168">
        <f t="shared" si="148"/>
        <v>1575814.5833333333</v>
      </c>
      <c r="K96" s="168">
        <f t="shared" si="148"/>
        <v>620257</v>
      </c>
      <c r="L96" s="168">
        <f t="shared" si="148"/>
        <v>2196071.5833333335</v>
      </c>
      <c r="M96" s="153">
        <f t="shared" si="148"/>
        <v>13.827870322506932</v>
      </c>
      <c r="N96" s="168">
        <f t="shared" si="148"/>
        <v>176257.5</v>
      </c>
      <c r="O96" s="168">
        <f t="shared" si="148"/>
        <v>68205.75</v>
      </c>
      <c r="P96" s="168">
        <f t="shared" si="148"/>
        <v>33299.692916666667</v>
      </c>
      <c r="Q96" s="168">
        <f t="shared" si="148"/>
        <v>277762.94291666668</v>
      </c>
      <c r="R96" s="153">
        <f t="shared" si="148"/>
        <v>1.7358408875844511</v>
      </c>
      <c r="S96" s="168">
        <f t="shared" si="148"/>
        <v>482811.74541666667</v>
      </c>
      <c r="T96" s="168">
        <f t="shared" si="148"/>
        <v>2956646.2716666665</v>
      </c>
      <c r="U96" s="168">
        <f t="shared" si="148"/>
        <v>2992.0416666666665</v>
      </c>
      <c r="V96" s="168">
        <f t="shared" si="148"/>
        <v>2956646.2716666665</v>
      </c>
      <c r="W96" s="153">
        <f t="shared" si="148"/>
        <v>18.620136685354584</v>
      </c>
      <c r="X96" s="169">
        <f t="shared" si="148"/>
        <v>0.74852267925595217</v>
      </c>
      <c r="Y96" s="169">
        <f t="shared" si="148"/>
        <v>9.401925443605634E-2</v>
      </c>
      <c r="Z96" s="169">
        <f t="shared" si="148"/>
        <v>0.15745806630799139</v>
      </c>
      <c r="AA96" s="169">
        <f t="shared" si="148"/>
        <v>1.2556713525236935E-3</v>
      </c>
      <c r="AB96" s="168">
        <f t="shared" si="148"/>
        <v>55820.625</v>
      </c>
      <c r="AC96" s="168">
        <f>AVERAGEIFS(AF2:AF83,$C2:$C83,"&gt;=100000",$C2:$C83,"&lt;=249999")</f>
        <v>2956646.2716666665</v>
      </c>
      <c r="AD96" s="168">
        <f>AVERAGEIFS(AG2:AG83,$C2:$C83,"&gt;=100000",$C2:$C83,"&lt;=249999")</f>
        <v>2361370.7916666665</v>
      </c>
      <c r="AE96" s="168" t="e">
        <f>AVERAGEIFS(AE2:AE83,$C2:$C83,"&gt;=100000",$C2:$C83,"&lt;=249999")</f>
        <v>#DIV/0!</v>
      </c>
      <c r="AF96" s="168" t="e">
        <f>AVERAGEIFS(#REF!,$C2:$C83,"&gt;=100000",$C2:$C83,"&lt;=249999")</f>
        <v>#REF!</v>
      </c>
      <c r="AG96" s="168" t="e">
        <f>AVERAGEIFS(#REF!,$C2:$C83,"&gt;=100000",$C2:$C83,"&lt;=249999")</f>
        <v>#REF!</v>
      </c>
      <c r="AH96" s="168" t="e">
        <f t="shared" ref="AH96:BM96" si="149">AVERAGEIFS(AH2:AH83,$C2:$C83,"&gt;=100000",$C2:$C83,"&lt;=249999")</f>
        <v>#DIV/0!</v>
      </c>
      <c r="AI96" s="168">
        <f t="shared" si="149"/>
        <v>5318017.0633333335</v>
      </c>
      <c r="AJ96" s="153">
        <f t="shared" si="149"/>
        <v>33.083990779230895</v>
      </c>
      <c r="AK96" s="168">
        <f t="shared" si="149"/>
        <v>235492.20833333334</v>
      </c>
      <c r="AL96" s="168">
        <f t="shared" si="149"/>
        <v>19227.208333333332</v>
      </c>
      <c r="AM96" s="168">
        <f t="shared" si="149"/>
        <v>88028.791666666672</v>
      </c>
      <c r="AN96" s="168" t="e">
        <f t="shared" si="149"/>
        <v>#DIV/0!</v>
      </c>
      <c r="AO96" s="168">
        <f t="shared" si="149"/>
        <v>88028.791666666672</v>
      </c>
      <c r="AP96" s="168">
        <f t="shared" si="149"/>
        <v>3083201.1666666665</v>
      </c>
      <c r="AQ96" s="153">
        <f t="shared" si="149"/>
        <v>19.437584645042026</v>
      </c>
      <c r="AR96" s="168" t="e">
        <f t="shared" si="149"/>
        <v>#DIV/0!</v>
      </c>
      <c r="AS96" s="168">
        <f t="shared" si="149"/>
        <v>43481.666666666664</v>
      </c>
      <c r="AT96" s="168">
        <f t="shared" si="149"/>
        <v>0</v>
      </c>
      <c r="AU96" s="168">
        <f t="shared" si="149"/>
        <v>2083.3333333333335</v>
      </c>
      <c r="AV96" s="168">
        <f t="shared" si="149"/>
        <v>0</v>
      </c>
      <c r="AW96" s="168" t="e">
        <f t="shared" si="149"/>
        <v>#DIV/0!</v>
      </c>
      <c r="AX96" s="168">
        <f t="shared" si="149"/>
        <v>1809.125</v>
      </c>
      <c r="AY96" s="168">
        <f t="shared" si="149"/>
        <v>47374.125</v>
      </c>
      <c r="AZ96" s="151">
        <f t="shared" si="149"/>
        <v>217878.66666666666</v>
      </c>
      <c r="BA96" s="152">
        <f t="shared" si="149"/>
        <v>1.3640787104308798</v>
      </c>
      <c r="BB96" s="151">
        <f t="shared" si="149"/>
        <v>8176.083333333333</v>
      </c>
      <c r="BC96" s="151">
        <f t="shared" si="149"/>
        <v>8176.083333333333</v>
      </c>
      <c r="BD96" s="151">
        <f t="shared" si="149"/>
        <v>15198.541666666666</v>
      </c>
      <c r="BE96" s="151">
        <f t="shared" si="149"/>
        <v>5216.666666666667</v>
      </c>
      <c r="BF96" s="151">
        <f t="shared" si="149"/>
        <v>135921.625</v>
      </c>
      <c r="BG96" s="151">
        <f t="shared" si="149"/>
        <v>8.125</v>
      </c>
      <c r="BH96" s="151">
        <f t="shared" si="149"/>
        <v>89</v>
      </c>
      <c r="BI96" s="151">
        <f t="shared" si="149"/>
        <v>0</v>
      </c>
      <c r="BJ96" s="151">
        <f t="shared" si="149"/>
        <v>97.125</v>
      </c>
      <c r="BK96" s="151">
        <f t="shared" si="149"/>
        <v>421730.25</v>
      </c>
      <c r="BL96" s="152">
        <f t="shared" si="149"/>
        <v>2.7708339020060211</v>
      </c>
      <c r="BM96" s="151">
        <f t="shared" si="149"/>
        <v>146.875</v>
      </c>
      <c r="BN96" s="151">
        <f t="shared" ref="BN96:CH96" si="150">AVERAGEIFS(BN2:BN83,$C2:$C83,"&gt;=100000",$C2:$C83,"&lt;=249999")</f>
        <v>74174.458333333328</v>
      </c>
      <c r="BO96" s="152">
        <f t="shared" si="150"/>
        <v>0.45302204046836558</v>
      </c>
      <c r="BP96" s="151">
        <f t="shared" si="150"/>
        <v>160510</v>
      </c>
      <c r="BQ96" s="151">
        <f t="shared" si="150"/>
        <v>0</v>
      </c>
      <c r="BR96" s="151">
        <f t="shared" si="150"/>
        <v>376799.875</v>
      </c>
      <c r="BS96" s="151">
        <f t="shared" si="150"/>
        <v>206387.79166666666</v>
      </c>
      <c r="BT96" s="151">
        <f t="shared" si="150"/>
        <v>583187.66666666663</v>
      </c>
      <c r="BU96" s="152">
        <f t="shared" si="150"/>
        <v>3.5345396659479178</v>
      </c>
      <c r="BV96" s="151">
        <f t="shared" si="150"/>
        <v>13595.517467432559</v>
      </c>
      <c r="BW96" s="152">
        <f t="shared" si="150"/>
        <v>66.54990145825353</v>
      </c>
      <c r="BX96" s="152">
        <f t="shared" si="150"/>
        <v>2.1053671909785132</v>
      </c>
      <c r="BY96" s="152">
        <f t="shared" si="150"/>
        <v>1.4846750649894689</v>
      </c>
      <c r="BZ96" s="151">
        <f t="shared" si="150"/>
        <v>944.79166666666663</v>
      </c>
      <c r="CA96" s="151">
        <f t="shared" si="150"/>
        <v>116.5</v>
      </c>
      <c r="CB96" s="151">
        <f t="shared" si="150"/>
        <v>483.33333333333331</v>
      </c>
      <c r="CC96" s="151">
        <f t="shared" si="150"/>
        <v>1544.625</v>
      </c>
      <c r="CD96" s="151">
        <f t="shared" si="150"/>
        <v>27250.083333333332</v>
      </c>
      <c r="CE96" s="151">
        <f t="shared" si="150"/>
        <v>2038.3333333333333</v>
      </c>
      <c r="CF96" s="151">
        <f t="shared" si="150"/>
        <v>9233.0833333333339</v>
      </c>
      <c r="CG96" s="151">
        <f t="shared" si="150"/>
        <v>38521.5</v>
      </c>
      <c r="CH96" s="152">
        <f t="shared" si="150"/>
        <v>0.23263483007667049</v>
      </c>
      <c r="CI96" s="151">
        <v>430873.56666666665</v>
      </c>
      <c r="CJ96" s="152">
        <f>AVERAGEIFS(CJ2:CJ83,$C2:$C83,"&gt;=100000",$C2:$C83,"&lt;=249999")</f>
        <v>1.6795977765857861</v>
      </c>
      <c r="CK96" s="151">
        <f>AVERAGEIFS(CK2:CK83,$C2:$C83,"&gt;=100000",$C2:$C83,"&lt;=249999")</f>
        <v>86891.666666666672</v>
      </c>
      <c r="CL96" s="171">
        <f>COUNTIFS(CL2:CL83,"YES",$C2:$C83,"&gt;=100000",$C2:$C83,"&lt;=249999")</f>
        <v>23</v>
      </c>
      <c r="CM96" s="171">
        <f>COUNTIFS(CM2:CM83,"YES",$C2:$C83,"&gt;=100000",$C2:$C83,"&lt;=249999")</f>
        <v>24</v>
      </c>
      <c r="CN96" s="171">
        <f>COUNTIFS(CN2:CN83,"YES",$C2:$C83,"&gt;=100000",$C2:$C83,"&lt;=249999")</f>
        <v>24</v>
      </c>
      <c r="CO96" s="212">
        <f t="shared" ref="CO96:CW96" si="151">AVERAGEIFS(CO2:CO83,$C2:$C83,"&gt;=100000",$C2:$C83,"&lt;=249999")</f>
        <v>8.3733333333333331</v>
      </c>
      <c r="CP96" s="151">
        <f t="shared" si="151"/>
        <v>25313.507204932135</v>
      </c>
      <c r="CQ96" s="212">
        <f t="shared" si="151"/>
        <v>1.2725</v>
      </c>
      <c r="CR96" s="212">
        <f t="shared" si="151"/>
        <v>33.805416666666666</v>
      </c>
      <c r="CS96" s="212">
        <f t="shared" si="151"/>
        <v>43.451249999999995</v>
      </c>
      <c r="CT96" s="151">
        <f t="shared" si="151"/>
        <v>4150.1961925210117</v>
      </c>
      <c r="CU96" s="151">
        <f t="shared" si="151"/>
        <v>2612.0279166666664</v>
      </c>
      <c r="CV96" s="168">
        <f t="shared" si="151"/>
        <v>88203.291666666672</v>
      </c>
      <c r="CW96" s="152">
        <f t="shared" si="151"/>
        <v>37.966666666666669</v>
      </c>
      <c r="CX96" s="171">
        <f>COUNTIFS(CX2:CX83,"YES", $C2:$C83,"&gt;=100000",$C2:$C83,"&lt;=249999")</f>
        <v>23</v>
      </c>
      <c r="CY96" s="171">
        <f>COUNTIFS(CY2:CY83,"YES", $C2:$C83,"&gt;=100000",$C2:$C83,"&lt;=249999")</f>
        <v>23</v>
      </c>
      <c r="CZ96" s="151">
        <f t="shared" ref="CZ96:DL96" si="152">AVERAGEIFS(CZ2:CZ83,$C2:$C83,"&gt;=100000",$C2:$C83,"&lt;=249999")</f>
        <v>5871.166666666667</v>
      </c>
      <c r="DA96" s="151">
        <f t="shared" si="152"/>
        <v>6012</v>
      </c>
      <c r="DB96" s="186">
        <f t="shared" si="152"/>
        <v>107.58333333333333</v>
      </c>
      <c r="DC96" s="151">
        <f t="shared" si="152"/>
        <v>40301.708333333336</v>
      </c>
      <c r="DD96" s="151">
        <f t="shared" si="152"/>
        <v>38556.058823529413</v>
      </c>
      <c r="DE96" s="151">
        <f t="shared" si="152"/>
        <v>174723.23809523811</v>
      </c>
      <c r="DF96" s="151">
        <f t="shared" si="152"/>
        <v>14431.708333333334</v>
      </c>
      <c r="DG96" s="151">
        <f t="shared" si="152"/>
        <v>50.291666666666664</v>
      </c>
      <c r="DH96" s="151">
        <f t="shared" si="152"/>
        <v>9.0308723216088196E-2</v>
      </c>
      <c r="DI96" s="151">
        <f t="shared" si="152"/>
        <v>47.916666666666664</v>
      </c>
      <c r="DJ96" s="151">
        <f t="shared" si="152"/>
        <v>47.541666666666664</v>
      </c>
      <c r="DK96" s="151">
        <f t="shared" si="152"/>
        <v>3667</v>
      </c>
      <c r="DL96" s="151">
        <f t="shared" si="152"/>
        <v>11262.541666666666</v>
      </c>
      <c r="DM96" s="172"/>
      <c r="DN96" s="170"/>
      <c r="DO96" s="150"/>
      <c r="DS96" s="152"/>
      <c r="DT96" s="157"/>
      <c r="DW96" s="152">
        <f t="shared" ref="DW96:EB96" si="153">AVERAGEIFS(DW2:DW83,$C2:$C83,"&gt;=100000",$C2:$C83,"&lt;=249999")</f>
        <v>0.96885529022714534</v>
      </c>
      <c r="DX96" s="152">
        <f t="shared" si="153"/>
        <v>0</v>
      </c>
      <c r="DY96" s="152">
        <f t="shared" si="153"/>
        <v>2.3251697596805201</v>
      </c>
      <c r="DZ96" s="230">
        <f t="shared" si="153"/>
        <v>1.2093699062673979</v>
      </c>
      <c r="EA96" s="246">
        <f t="shared" si="153"/>
        <v>0.35300887941788955</v>
      </c>
      <c r="EB96" s="246">
        <f t="shared" si="153"/>
        <v>0.35750312901273357</v>
      </c>
    </row>
    <row r="97" spans="1:132" x14ac:dyDescent="0.3">
      <c r="B97" s="132" t="s">
        <v>2049</v>
      </c>
      <c r="C97" s="173">
        <f t="shared" ref="C97:AB97" si="154">AVERAGEIFS(C2:C83,$C2:$C83,"&gt;=250000")</f>
        <v>552578.57142857148</v>
      </c>
      <c r="D97" s="173">
        <f t="shared" si="154"/>
        <v>11.714285714285714</v>
      </c>
      <c r="E97" s="173">
        <f t="shared" si="154"/>
        <v>0.42857142857142855</v>
      </c>
      <c r="F97" s="173">
        <f t="shared" si="154"/>
        <v>241058</v>
      </c>
      <c r="G97" s="258" t="e">
        <f t="shared" si="154"/>
        <v>#DIV/0!</v>
      </c>
      <c r="H97" s="173">
        <f t="shared" si="154"/>
        <v>241058</v>
      </c>
      <c r="I97" s="182">
        <f t="shared" si="154"/>
        <v>0.4996557142857142</v>
      </c>
      <c r="J97" s="174">
        <f t="shared" si="154"/>
        <v>7949926.2857142854</v>
      </c>
      <c r="K97" s="174">
        <f t="shared" si="154"/>
        <v>3496569</v>
      </c>
      <c r="L97" s="174">
        <f t="shared" si="154"/>
        <v>11446495.285714285</v>
      </c>
      <c r="M97" s="175">
        <f t="shared" si="154"/>
        <v>20.376007479093261</v>
      </c>
      <c r="N97" s="174">
        <f t="shared" si="154"/>
        <v>1181144.857142857</v>
      </c>
      <c r="O97" s="174">
        <f t="shared" si="154"/>
        <v>908385.28571428568</v>
      </c>
      <c r="P97" s="174">
        <f t="shared" si="154"/>
        <v>99731.28571428571</v>
      </c>
      <c r="Q97" s="174">
        <f t="shared" si="154"/>
        <v>2189261.4285714286</v>
      </c>
      <c r="R97" s="175">
        <f t="shared" si="154"/>
        <v>3.6091958288018198</v>
      </c>
      <c r="S97" s="174">
        <f t="shared" si="154"/>
        <v>3029143.4285714286</v>
      </c>
      <c r="T97" s="174">
        <f t="shared" si="154"/>
        <v>16664900.142857144</v>
      </c>
      <c r="U97" s="174">
        <f t="shared" si="154"/>
        <v>0</v>
      </c>
      <c r="V97" s="174">
        <f t="shared" si="154"/>
        <v>16664900.142857144</v>
      </c>
      <c r="W97" s="175">
        <f t="shared" si="154"/>
        <v>28.549807513565611</v>
      </c>
      <c r="X97" s="176">
        <f t="shared" si="154"/>
        <v>0.71413403431647049</v>
      </c>
      <c r="Y97" s="176">
        <f t="shared" si="154"/>
        <v>0.12574163564181831</v>
      </c>
      <c r="Z97" s="176">
        <f t="shared" si="154"/>
        <v>0.16012433004171109</v>
      </c>
      <c r="AA97" s="176">
        <f t="shared" si="154"/>
        <v>0</v>
      </c>
      <c r="AB97" s="174">
        <f t="shared" si="154"/>
        <v>5292544.2857142854</v>
      </c>
      <c r="AC97" s="174">
        <f>AVERAGEIFS(AF2:AF83,$C2:$C83,"&gt;=250000")</f>
        <v>16664900.142857144</v>
      </c>
      <c r="AD97" s="174">
        <f>AVERAGEIFS(AG2:AG83,$C2:$C83,"&gt;=250000")</f>
        <v>15320612.857142856</v>
      </c>
      <c r="AE97" s="174" t="e">
        <f>AVERAGEIFS(AE2:AE83,$C2:$C83,"&gt;=250000")</f>
        <v>#DIV/0!</v>
      </c>
      <c r="AF97" s="174" t="e">
        <f>AVERAGEIFS(#REF!,$C2:$C83,"&gt;=250000")</f>
        <v>#REF!</v>
      </c>
      <c r="AG97" s="174" t="e">
        <f>AVERAGEIFS(#REF!,$C2:$C83,"&gt;=250000")</f>
        <v>#REF!</v>
      </c>
      <c r="AH97" s="174" t="e">
        <f t="shared" ref="AH97:BM97" si="155">AVERAGEIFS(AH2:AH83,$C2:$C83,"&gt;=250000")</f>
        <v>#DIV/0!</v>
      </c>
      <c r="AI97" s="174">
        <f t="shared" si="155"/>
        <v>31985513</v>
      </c>
      <c r="AJ97" s="175">
        <f t="shared" si="155"/>
        <v>54.383762111641893</v>
      </c>
      <c r="AK97" s="174">
        <f t="shared" si="155"/>
        <v>383165.57142857142</v>
      </c>
      <c r="AL97" s="174">
        <f t="shared" si="155"/>
        <v>59343.428571428572</v>
      </c>
      <c r="AM97" s="174">
        <f t="shared" si="155"/>
        <v>1395603.7142857143</v>
      </c>
      <c r="AN97" s="174" t="e">
        <f t="shared" si="155"/>
        <v>#DIV/0!</v>
      </c>
      <c r="AO97" s="174">
        <f t="shared" si="155"/>
        <v>1395603.7142857143</v>
      </c>
      <c r="AP97" s="174">
        <f t="shared" si="155"/>
        <v>18290761.142857142</v>
      </c>
      <c r="AQ97" s="175">
        <f t="shared" si="155"/>
        <v>30.922990629757077</v>
      </c>
      <c r="AR97" s="174" t="e">
        <f t="shared" si="155"/>
        <v>#DIV/0!</v>
      </c>
      <c r="AS97" s="174">
        <f t="shared" si="155"/>
        <v>2075234.857142857</v>
      </c>
      <c r="AT97" s="174">
        <f t="shared" si="155"/>
        <v>0</v>
      </c>
      <c r="AU97" s="174">
        <f t="shared" si="155"/>
        <v>0</v>
      </c>
      <c r="AV97" s="174">
        <f t="shared" si="155"/>
        <v>6305.1428571428569</v>
      </c>
      <c r="AW97" s="174" t="e">
        <f t="shared" si="155"/>
        <v>#DIV/0!</v>
      </c>
      <c r="AX97" s="174">
        <f t="shared" si="155"/>
        <v>64251.142857142855</v>
      </c>
      <c r="AY97" s="174">
        <f t="shared" si="155"/>
        <v>2145791.1428571427</v>
      </c>
      <c r="AZ97" s="173">
        <f t="shared" si="155"/>
        <v>714591.85714285716</v>
      </c>
      <c r="BA97" s="182">
        <f t="shared" si="155"/>
        <v>1.405039918566882</v>
      </c>
      <c r="BB97" s="173">
        <f t="shared" si="155"/>
        <v>34472.142857142855</v>
      </c>
      <c r="BC97" s="173">
        <f t="shared" si="155"/>
        <v>34472.142857142855</v>
      </c>
      <c r="BD97" s="173">
        <f t="shared" si="155"/>
        <v>35724.857142857145</v>
      </c>
      <c r="BE97" s="173">
        <f t="shared" si="155"/>
        <v>2157.2857142857142</v>
      </c>
      <c r="BF97" s="173">
        <f t="shared" si="155"/>
        <v>156252.85714285713</v>
      </c>
      <c r="BG97" s="173">
        <f t="shared" si="155"/>
        <v>17</v>
      </c>
      <c r="BH97" s="173">
        <f t="shared" si="155"/>
        <v>89</v>
      </c>
      <c r="BI97" s="173">
        <f t="shared" si="155"/>
        <v>0</v>
      </c>
      <c r="BJ97" s="173">
        <f t="shared" si="155"/>
        <v>106</v>
      </c>
      <c r="BK97" s="173">
        <f t="shared" si="155"/>
        <v>1005018.2857142857</v>
      </c>
      <c r="BL97" s="182">
        <f t="shared" si="155"/>
        <v>2.0858553493310752</v>
      </c>
      <c r="BM97" s="173">
        <f t="shared" si="155"/>
        <v>735.14285714285711</v>
      </c>
      <c r="BN97" s="173">
        <f t="shared" ref="BN97:CH97" si="156">AVERAGEIFS(BN2:BN83,$C2:$C83,"&gt;=250000")</f>
        <v>363449</v>
      </c>
      <c r="BO97" s="182">
        <f t="shared" si="156"/>
        <v>0.54201911740264319</v>
      </c>
      <c r="BP97" s="173">
        <f t="shared" si="156"/>
        <v>1527831.7142857143</v>
      </c>
      <c r="BQ97" s="173">
        <f t="shared" si="156"/>
        <v>0</v>
      </c>
      <c r="BR97" s="173">
        <f t="shared" si="156"/>
        <v>2493598.4285714286</v>
      </c>
      <c r="BS97" s="173">
        <f t="shared" si="156"/>
        <v>3141101.2857142859</v>
      </c>
      <c r="BT97" s="173">
        <f t="shared" si="156"/>
        <v>5634699.7142857146</v>
      </c>
      <c r="BU97" s="182">
        <f t="shared" si="156"/>
        <v>9.3013384824327741</v>
      </c>
      <c r="BV97" s="173">
        <f t="shared" si="156"/>
        <v>28263.516543714974</v>
      </c>
      <c r="BW97" s="182">
        <f t="shared" si="156"/>
        <v>199.03676696926141</v>
      </c>
      <c r="BX97" s="182">
        <f t="shared" si="156"/>
        <v>3.5369989957984282</v>
      </c>
      <c r="BY97" s="182">
        <f t="shared" si="156"/>
        <v>5.0714955612759747</v>
      </c>
      <c r="BZ97" s="173">
        <f t="shared" si="156"/>
        <v>4166.1428571428569</v>
      </c>
      <c r="CA97" s="173">
        <f t="shared" si="156"/>
        <v>720.28571428571433</v>
      </c>
      <c r="CB97" s="173">
        <f t="shared" si="156"/>
        <v>1665.8571428571429</v>
      </c>
      <c r="CC97" s="173">
        <f t="shared" si="156"/>
        <v>6552.2857142857147</v>
      </c>
      <c r="CD97" s="173">
        <f t="shared" si="156"/>
        <v>131302.85714285713</v>
      </c>
      <c r="CE97" s="173">
        <f t="shared" si="156"/>
        <v>9866.7142857142862</v>
      </c>
      <c r="CF97" s="173">
        <f t="shared" si="156"/>
        <v>22278.857142857141</v>
      </c>
      <c r="CG97" s="173">
        <f t="shared" si="156"/>
        <v>163448.42857142858</v>
      </c>
      <c r="CH97" s="182">
        <f t="shared" si="156"/>
        <v>0.25234766767048733</v>
      </c>
      <c r="CI97" s="173">
        <v>2028440.8125</v>
      </c>
      <c r="CJ97" s="182">
        <f>AVERAGEIFS(CJ2:CJ83,$C2:$C83,"&gt;=250000")</f>
        <v>2.7156831397798924</v>
      </c>
      <c r="CK97" s="173">
        <f>AVERAGEIFS(CK2:CK83,$C2:$C83,"&gt;=250000")</f>
        <v>346810</v>
      </c>
      <c r="CL97" s="178">
        <f>COUNTIFS(CL2:CL83,"YES",$C2:$C83,"&gt;=250000")</f>
        <v>7</v>
      </c>
      <c r="CM97" s="178">
        <f>COUNTIFS(CM2:CM83,"YES",$C2:$C83,"&gt;=250000")</f>
        <v>7</v>
      </c>
      <c r="CN97" s="178">
        <f>COUNTIFS(CN2:CN83,"YES",$C2:$C83,"&gt;=250000")</f>
        <v>7</v>
      </c>
      <c r="CO97" s="219">
        <f t="shared" ref="CO97:CW97" si="157">AVERAGEIFS(CO2:CO83,$C2:$C83,"&gt;=250000")</f>
        <v>57.34571428571428</v>
      </c>
      <c r="CP97" s="173">
        <f t="shared" si="157"/>
        <v>17404.339317694394</v>
      </c>
      <c r="CQ97" s="219">
        <f t="shared" si="157"/>
        <v>1.1342857142857141</v>
      </c>
      <c r="CR97" s="219">
        <f t="shared" si="157"/>
        <v>120.13428571428571</v>
      </c>
      <c r="CS97" s="219">
        <f t="shared" si="157"/>
        <v>178.6142857142857</v>
      </c>
      <c r="CT97" s="173">
        <f t="shared" si="157"/>
        <v>3240.971505343693</v>
      </c>
      <c r="CU97" s="173">
        <f t="shared" si="157"/>
        <v>10871.666666666666</v>
      </c>
      <c r="CV97" s="174">
        <f t="shared" si="157"/>
        <v>135307.71428571429</v>
      </c>
      <c r="CW97" s="182">
        <f t="shared" si="157"/>
        <v>40</v>
      </c>
      <c r="CX97" s="178">
        <f>COUNTIFS(CX2:CX83,"YES", $C2:$C83,"&gt;250000")</f>
        <v>7</v>
      </c>
      <c r="CY97" s="178">
        <f>COUNTIFS(CY2:CY83,"YES", $C2:$C83,"&gt;250000")</f>
        <v>7</v>
      </c>
      <c r="CZ97" s="173">
        <f t="shared" ref="CZ97:DL97" si="158">AVERAGEIFS(CZ2:CZ83,$C2:$C83,"&gt;=250000")</f>
        <v>15798</v>
      </c>
      <c r="DA97" s="173">
        <f t="shared" si="158"/>
        <v>21568.142857142859</v>
      </c>
      <c r="DB97" s="226">
        <f t="shared" si="158"/>
        <v>363.71428571428572</v>
      </c>
      <c r="DC97" s="173">
        <f t="shared" si="158"/>
        <v>198531.57142857142</v>
      </c>
      <c r="DD97" s="173">
        <f t="shared" si="158"/>
        <v>610206.6</v>
      </c>
      <c r="DE97" s="173">
        <f t="shared" si="158"/>
        <v>4319581.5714285718</v>
      </c>
      <c r="DF97" s="173">
        <f t="shared" si="158"/>
        <v>37071.857142857145</v>
      </c>
      <c r="DG97" s="173">
        <f t="shared" si="158"/>
        <v>51.857142857142854</v>
      </c>
      <c r="DH97" s="173">
        <f t="shared" si="158"/>
        <v>7.4411397904373081E-2</v>
      </c>
      <c r="DI97" s="173">
        <f t="shared" si="158"/>
        <v>56.428571428571431</v>
      </c>
      <c r="DJ97" s="173">
        <f t="shared" si="158"/>
        <v>56.428571428571431</v>
      </c>
      <c r="DK97" s="173">
        <f t="shared" si="158"/>
        <v>30331</v>
      </c>
      <c r="DL97" s="173">
        <f t="shared" si="158"/>
        <v>28152.071428571428</v>
      </c>
      <c r="DM97" s="179"/>
      <c r="DN97" s="177"/>
      <c r="DO97" s="180"/>
      <c r="DP97" s="180"/>
      <c r="DQ97" s="181"/>
      <c r="DR97" s="181"/>
      <c r="DS97" s="182"/>
      <c r="DT97" s="181"/>
      <c r="DU97" s="181"/>
      <c r="DV97" s="181"/>
      <c r="DW97" s="182">
        <f t="shared" ref="DW97:EB97" si="159">AVERAGEIFS(DW2:DW83,$C2:$C83,"&gt;=250000")</f>
        <v>2.195704979199296</v>
      </c>
      <c r="DX97" s="182">
        <f t="shared" si="159"/>
        <v>0</v>
      </c>
      <c r="DY97" s="182">
        <f t="shared" si="159"/>
        <v>3.9415000882080551</v>
      </c>
      <c r="DZ97" s="231">
        <f t="shared" si="159"/>
        <v>5.3598383942247221</v>
      </c>
      <c r="EA97" s="247">
        <f t="shared" si="159"/>
        <v>0.36035068614976684</v>
      </c>
      <c r="EB97" s="247">
        <f t="shared" si="159"/>
        <v>0.37609383017709569</v>
      </c>
    </row>
    <row r="98" spans="1:132" x14ac:dyDescent="0.3">
      <c r="G98" s="95"/>
      <c r="AB98" s="168">
        <f>SUM(AB2:AB97)</f>
        <v>94538115.095329672</v>
      </c>
      <c r="BT98" s="166"/>
      <c r="BU98" s="152"/>
      <c r="CL98" s="150"/>
      <c r="CO98" s="212"/>
      <c r="CX98" s="150"/>
      <c r="CZ98" s="151"/>
      <c r="DB98" s="186"/>
      <c r="DC98" s="151"/>
      <c r="DM98" s="167"/>
      <c r="DN98" s="163"/>
      <c r="DO98" s="150"/>
      <c r="DS98" s="152"/>
      <c r="DT98" s="157"/>
    </row>
    <row r="99" spans="1:132" ht="14.4" thickBot="1" x14ac:dyDescent="0.35">
      <c r="BT99" s="166"/>
      <c r="BU99" s="152"/>
      <c r="CL99" s="150"/>
      <c r="CO99" s="212"/>
      <c r="CX99" s="150"/>
      <c r="CZ99" s="151"/>
      <c r="DB99" s="186"/>
      <c r="DC99" s="151"/>
      <c r="DM99" s="167"/>
      <c r="DN99" s="163"/>
      <c r="DO99" s="150"/>
      <c r="DS99" s="152"/>
      <c r="DT99" s="157"/>
    </row>
    <row r="100" spans="1:132" s="150" customFormat="1" ht="66.45" customHeight="1" thickBot="1" x14ac:dyDescent="0.35">
      <c r="A100" s="133" t="s">
        <v>2923</v>
      </c>
      <c r="B100" s="133"/>
      <c r="C100" s="79" t="s">
        <v>1821</v>
      </c>
      <c r="D100" s="79" t="s">
        <v>1828</v>
      </c>
      <c r="E100" s="79" t="s">
        <v>1829</v>
      </c>
      <c r="F100" s="79" t="s">
        <v>1830</v>
      </c>
      <c r="G100" s="79" t="s">
        <v>1944</v>
      </c>
      <c r="H100" s="79" t="s">
        <v>1945</v>
      </c>
      <c r="I100" s="80" t="s">
        <v>1946</v>
      </c>
      <c r="J100" s="208" t="s">
        <v>1831</v>
      </c>
      <c r="K100" s="208" t="s">
        <v>1832</v>
      </c>
      <c r="L100" s="208" t="s">
        <v>1833</v>
      </c>
      <c r="M100" s="206" t="s">
        <v>1923</v>
      </c>
      <c r="N100" s="208" t="s">
        <v>1834</v>
      </c>
      <c r="O100" s="208" t="s">
        <v>1835</v>
      </c>
      <c r="P100" s="208" t="s">
        <v>1836</v>
      </c>
      <c r="Q100" s="208" t="s">
        <v>1837</v>
      </c>
      <c r="R100" s="206" t="s">
        <v>1924</v>
      </c>
      <c r="S100" s="208" t="s">
        <v>1838</v>
      </c>
      <c r="T100" s="208" t="s">
        <v>1839</v>
      </c>
      <c r="U100" s="208" t="s">
        <v>1840</v>
      </c>
      <c r="V100" s="208" t="s">
        <v>1841</v>
      </c>
      <c r="W100" s="206" t="s">
        <v>1925</v>
      </c>
      <c r="X100" s="136" t="s">
        <v>1940</v>
      </c>
      <c r="Y100" s="136" t="s">
        <v>1941</v>
      </c>
      <c r="Z100" s="136" t="s">
        <v>1942</v>
      </c>
      <c r="AA100" s="136" t="s">
        <v>1943</v>
      </c>
      <c r="AB100" s="208" t="s">
        <v>1842</v>
      </c>
      <c r="AC100" s="208" t="s">
        <v>1843</v>
      </c>
      <c r="AD100" s="208" t="s">
        <v>1844</v>
      </c>
      <c r="AE100" s="208" t="s">
        <v>1845</v>
      </c>
      <c r="AF100" s="208" t="s">
        <v>1846</v>
      </c>
      <c r="AG100" s="208" t="s">
        <v>1847</v>
      </c>
      <c r="AH100" s="208" t="s">
        <v>1848</v>
      </c>
      <c r="AI100" s="208" t="s">
        <v>1849</v>
      </c>
      <c r="AJ100" s="206" t="s">
        <v>1926</v>
      </c>
      <c r="AK100" s="208" t="s">
        <v>1850</v>
      </c>
      <c r="AL100" s="208" t="s">
        <v>1852</v>
      </c>
      <c r="AM100" s="208" t="s">
        <v>1854</v>
      </c>
      <c r="AN100" s="208" t="s">
        <v>1855</v>
      </c>
      <c r="AO100" s="208" t="s">
        <v>1856</v>
      </c>
      <c r="AP100" s="208" t="s">
        <v>1857</v>
      </c>
      <c r="AQ100" s="206" t="s">
        <v>1927</v>
      </c>
      <c r="AR100" s="208" t="s">
        <v>1858</v>
      </c>
      <c r="AS100" s="208" t="s">
        <v>1859</v>
      </c>
      <c r="AT100" s="208" t="s">
        <v>1860</v>
      </c>
      <c r="AU100" s="208" t="s">
        <v>1861</v>
      </c>
      <c r="AV100" s="208" t="s">
        <v>1863</v>
      </c>
      <c r="AW100" s="208" t="s">
        <v>1864</v>
      </c>
      <c r="AX100" s="208" t="s">
        <v>1865</v>
      </c>
      <c r="AY100" s="208" t="s">
        <v>1866</v>
      </c>
      <c r="AZ100" s="79" t="s">
        <v>1869</v>
      </c>
      <c r="BA100" s="135" t="s">
        <v>1928</v>
      </c>
      <c r="BB100" s="79" t="s">
        <v>1871</v>
      </c>
      <c r="BC100" s="79" t="s">
        <v>1872</v>
      </c>
      <c r="BD100" s="79" t="s">
        <v>1874</v>
      </c>
      <c r="BE100" s="79" t="s">
        <v>1875</v>
      </c>
      <c r="BF100" s="79" t="s">
        <v>1876</v>
      </c>
      <c r="BG100" s="79" t="s">
        <v>1877</v>
      </c>
      <c r="BH100" s="79" t="s">
        <v>1878</v>
      </c>
      <c r="BI100" s="79" t="s">
        <v>1879</v>
      </c>
      <c r="BJ100" s="79" t="s">
        <v>1880</v>
      </c>
      <c r="BK100" s="79" t="s">
        <v>1882</v>
      </c>
      <c r="BL100" s="135" t="s">
        <v>1929</v>
      </c>
      <c r="BM100" s="79" t="s">
        <v>1883</v>
      </c>
      <c r="BN100" s="79" t="s">
        <v>1885</v>
      </c>
      <c r="BO100" s="135" t="s">
        <v>1935</v>
      </c>
      <c r="BP100" s="79" t="s">
        <v>2898</v>
      </c>
      <c r="BQ100" s="79" t="s">
        <v>2899</v>
      </c>
      <c r="BR100" s="79" t="s">
        <v>2900</v>
      </c>
      <c r="BS100" s="79" t="s">
        <v>2901</v>
      </c>
      <c r="BT100" s="79" t="s">
        <v>2902</v>
      </c>
      <c r="BU100" s="135" t="s">
        <v>1930</v>
      </c>
      <c r="BV100" s="79" t="s">
        <v>1931</v>
      </c>
      <c r="BW100" s="137" t="s">
        <v>1932</v>
      </c>
      <c r="BX100" s="80" t="s">
        <v>1933</v>
      </c>
      <c r="BY100" s="80" t="s">
        <v>1934</v>
      </c>
      <c r="BZ100" s="79" t="s">
        <v>1891</v>
      </c>
      <c r="CA100" s="79" t="s">
        <v>1892</v>
      </c>
      <c r="CB100" s="79" t="s">
        <v>1893</v>
      </c>
      <c r="CC100" s="79" t="s">
        <v>1894</v>
      </c>
      <c r="CD100" s="79" t="s">
        <v>1895</v>
      </c>
      <c r="CE100" s="79" t="s">
        <v>1896</v>
      </c>
      <c r="CF100" s="79" t="s">
        <v>1897</v>
      </c>
      <c r="CG100" s="79" t="s">
        <v>1898</v>
      </c>
      <c r="CH100" s="135" t="s">
        <v>1936</v>
      </c>
      <c r="CI100" s="79" t="s">
        <v>2912</v>
      </c>
      <c r="CJ100" s="135" t="s">
        <v>1937</v>
      </c>
      <c r="CK100" s="79" t="s">
        <v>2913</v>
      </c>
      <c r="CL100" s="134" t="s">
        <v>2914</v>
      </c>
      <c r="CM100" s="134" t="s">
        <v>2147</v>
      </c>
      <c r="CN100" s="134" t="s">
        <v>2146</v>
      </c>
      <c r="CO100" s="138" t="s">
        <v>1902</v>
      </c>
      <c r="CP100" s="79" t="s">
        <v>1938</v>
      </c>
      <c r="CQ100" s="138" t="s">
        <v>1903</v>
      </c>
      <c r="CR100" s="138" t="s">
        <v>1904</v>
      </c>
      <c r="CS100" s="138" t="s">
        <v>1905</v>
      </c>
      <c r="CT100" s="79" t="s">
        <v>1939</v>
      </c>
      <c r="CU100" s="79" t="s">
        <v>1906</v>
      </c>
      <c r="CV100" s="208" t="s">
        <v>1907</v>
      </c>
      <c r="CW100" s="135" t="s">
        <v>1908</v>
      </c>
      <c r="CX100" s="134" t="s">
        <v>1909</v>
      </c>
      <c r="CY100" s="134" t="s">
        <v>2158</v>
      </c>
      <c r="CZ100" s="79" t="s">
        <v>1911</v>
      </c>
      <c r="DA100" s="79" t="s">
        <v>1912</v>
      </c>
      <c r="DB100" s="79" t="s">
        <v>2162</v>
      </c>
      <c r="DC100" s="79" t="s">
        <v>2163</v>
      </c>
      <c r="DD100" s="79" t="s">
        <v>1914</v>
      </c>
      <c r="DE100" s="79" t="s">
        <v>1916</v>
      </c>
      <c r="DF100" s="79" t="s">
        <v>1917</v>
      </c>
      <c r="DG100" s="79" t="s">
        <v>1918</v>
      </c>
      <c r="DH100" s="79" t="s">
        <v>2932</v>
      </c>
      <c r="DI100" s="79" t="s">
        <v>2175</v>
      </c>
      <c r="DJ100" s="79" t="s">
        <v>2176</v>
      </c>
      <c r="DK100" s="110" t="s">
        <v>1947</v>
      </c>
      <c r="DL100" s="110" t="s">
        <v>1948</v>
      </c>
      <c r="DM100" s="134" t="s">
        <v>1823</v>
      </c>
      <c r="DN100" s="133" t="s">
        <v>1819</v>
      </c>
      <c r="DO100" s="133" t="s">
        <v>1820</v>
      </c>
      <c r="DP100" s="133" t="s">
        <v>21</v>
      </c>
      <c r="DQ100" s="133" t="s">
        <v>1822</v>
      </c>
      <c r="DR100" s="133" t="s">
        <v>1824</v>
      </c>
      <c r="DS100" s="133" t="s">
        <v>1825</v>
      </c>
      <c r="DT100" s="134" t="s">
        <v>1826</v>
      </c>
      <c r="DU100" s="134" t="s">
        <v>1827</v>
      </c>
      <c r="DV100" s="111" t="s">
        <v>15</v>
      </c>
      <c r="DW100" s="80" t="s">
        <v>1952</v>
      </c>
      <c r="DX100" s="80" t="s">
        <v>1953</v>
      </c>
      <c r="DY100" s="80" t="s">
        <v>1954</v>
      </c>
      <c r="DZ100" s="80" t="s">
        <v>1955</v>
      </c>
      <c r="EA100" s="244" t="s">
        <v>2951</v>
      </c>
      <c r="EB100" s="244" t="s">
        <v>2952</v>
      </c>
    </row>
    <row r="101" spans="1:132" x14ac:dyDescent="0.3">
      <c r="B101" s="139" t="s">
        <v>11</v>
      </c>
      <c r="BT101" s="166"/>
      <c r="BU101" s="152"/>
      <c r="CL101" s="150"/>
      <c r="CO101" s="212"/>
      <c r="CX101" s="150"/>
      <c r="CZ101" s="151"/>
      <c r="DB101" s="186"/>
      <c r="DC101" s="151"/>
      <c r="DM101" s="167"/>
      <c r="DN101" s="163"/>
      <c r="DO101" s="150"/>
      <c r="DS101" s="152"/>
      <c r="DT101" s="157"/>
    </row>
    <row r="102" spans="1:132" x14ac:dyDescent="0.3">
      <c r="B102" s="157" t="str">
        <f>VLOOKUP(Input!$C$11,'2020Data'!$A2:$DX83,122,0)</f>
        <v>NW Regional</v>
      </c>
      <c r="C102" s="151">
        <f>VLOOKUP(Input!$C11,'2020Data'!$A2:$DX83,3,0)</f>
        <v>169664</v>
      </c>
      <c r="D102" s="151">
        <f>VLOOKUP(Input!$C11,'2020Data'!$A2:$DX83,4,0)</f>
        <v>13</v>
      </c>
      <c r="E102" s="151">
        <f>VLOOKUP(Input!$C11,'2020Data'!$A1:$DX83,5,0)</f>
        <v>1</v>
      </c>
      <c r="F102" s="151">
        <f>VLOOKUP(Input!$C11,'2020Data'!$A1:$DX83,6,0)</f>
        <v>98120</v>
      </c>
      <c r="G102" s="75">
        <f>VLOOKUP(Input!$C11,'2020Data'!$A1:$DX83,7,0)</f>
        <v>0</v>
      </c>
      <c r="H102" s="151">
        <f>VLOOKUP(Input!$C11,'2020Data'!$A1:$DX83,8,0)</f>
        <v>98120</v>
      </c>
      <c r="I102" s="152">
        <f>VLOOKUP(Input!$C11,'2020Data'!$A1:$DX83,9,0)</f>
        <v>0.61075000000000002</v>
      </c>
      <c r="J102" s="168">
        <f>VLOOKUP(Input!$C11,'2020Data'!$A1:$DX83,10,0)</f>
        <v>1320844</v>
      </c>
      <c r="K102" s="168">
        <f>VLOOKUP(Input!$C11,'2020Data'!$A1:$DX83,11,0)</f>
        <v>454512</v>
      </c>
      <c r="L102" s="168">
        <f>VLOOKUP(Input!$C11,'2020Data'!$A1:$DX83,12,0)</f>
        <v>1775356</v>
      </c>
      <c r="M102" s="153">
        <f>VLOOKUP(Input!$C11,'2020Data'!$A1:$DX83,13,0)</f>
        <v>10.463952282157676</v>
      </c>
      <c r="N102" s="168">
        <f>VLOOKUP(Input!$C11,'2020Data'!$A1:$DX83,14,0)</f>
        <v>99263</v>
      </c>
      <c r="O102" s="168">
        <f>VLOOKUP(Input!$C11,'2020Data'!$A1:$DX83,15,0)</f>
        <v>38024</v>
      </c>
      <c r="P102" s="168">
        <f>VLOOKUP(Input!$C11,'2020Data'!$A1:$DX83,16,0)</f>
        <v>8953</v>
      </c>
      <c r="Q102" s="168">
        <f>VLOOKUP(Input!$C11,'2020Data'!$A1:$DX83,17,0)</f>
        <v>146240</v>
      </c>
      <c r="R102" s="153">
        <f>VLOOKUP(Input!$C11,'2020Data'!$A1:$DX83,18,0)</f>
        <v>0.86193889098453413</v>
      </c>
      <c r="S102" s="168">
        <f>VLOOKUP(Input!$C11,'2020Data'!$A1:$DX83,19,0)</f>
        <v>505993</v>
      </c>
      <c r="T102" s="168">
        <f>VLOOKUP(Input!$C11,'2020Data'!$A1:$DX83,20,0)</f>
        <v>2427589</v>
      </c>
      <c r="U102" s="168">
        <f>VLOOKUP(Input!$C11,'2020Data'!$A1:$DX83,21,0)</f>
        <v>19008</v>
      </c>
      <c r="V102" s="168">
        <f>VLOOKUP(Input!$C11,'2020Data'!$A1:$DX83,22,0)</f>
        <v>2427589</v>
      </c>
      <c r="W102" s="153">
        <f>VLOOKUP(Input!$C11,'2020Data'!$A1:$DX83,23,0)</f>
        <v>14.308215060354582</v>
      </c>
      <c r="X102" s="169">
        <f>VLOOKUP(Input!$C11,'2020Data'!$A1:$DX83,24,0)</f>
        <v>0.73132478356097341</v>
      </c>
      <c r="Y102" s="169">
        <f>VLOOKUP(Input!$C11,'2020Data'!$A1:$DX83,25,0)</f>
        <v>6.0240839779715595E-2</v>
      </c>
      <c r="Z102" s="169">
        <f>VLOOKUP(Input!$C11,'2020Data'!$A1:$DX83,26,0)</f>
        <v>0.20843437665931094</v>
      </c>
      <c r="AA102" s="169">
        <f>VLOOKUP(Input!$C11,'2020Data'!$A1:$DX83,27,0)</f>
        <v>7.8299909910615022E-3</v>
      </c>
      <c r="AB102" s="168">
        <f>VLOOKUP(Input!$C11,'2020Data'!$A1:$DX83,28,0)</f>
        <v>0</v>
      </c>
      <c r="AC102" s="168">
        <f>VLOOKUP(Input!$C11,'2020Data'!$A1:$DX83,29,0)</f>
        <v>0</v>
      </c>
      <c r="AD102" s="168">
        <f>VLOOKUP(Input!$C11,'2020Data'!$A1:$DX83,30,0)</f>
        <v>0</v>
      </c>
      <c r="AE102" s="168">
        <f>VLOOKUP(Input!$C11,'2020Data'!$A1:$DX83,31,0)</f>
        <v>0</v>
      </c>
      <c r="AF102" s="168">
        <f>VLOOKUP(Input!$C11,'2020Data'!$A1:$DX83,32,0)</f>
        <v>2427589</v>
      </c>
      <c r="AG102" s="168">
        <f>VLOOKUP(Input!$C11,'2020Data'!$A1:$DX83,33,0)</f>
        <v>1639491</v>
      </c>
      <c r="AH102" s="168">
        <f>VLOOKUP(Input!$C11,'2020Data'!$A1:$DX83,34,0)</f>
        <v>0</v>
      </c>
      <c r="AI102" s="168">
        <f>VLOOKUP(Input!$C11,'2020Data'!$A1:$DX83,35,0)</f>
        <v>4067080</v>
      </c>
      <c r="AJ102" s="153">
        <f>VLOOKUP(Input!$C11,'2020Data'!$A1:$DX83,36,0)</f>
        <v>23.97137872500943</v>
      </c>
      <c r="AK102" s="168">
        <f>VLOOKUP(Input!$C11,'2020Data'!$A1:$DX83,37,0)</f>
        <v>454548</v>
      </c>
      <c r="AL102" s="168">
        <f>VLOOKUP(Input!$C11,'2020Data'!$A1:$DX83,38,0)</f>
        <v>4000</v>
      </c>
      <c r="AM102" s="168">
        <f>VLOOKUP(Input!$C11,'2020Data'!$A1:$DX83,39,0)</f>
        <v>133559</v>
      </c>
      <c r="AN102" s="168">
        <f>VLOOKUP(Input!$C11,'2020Data'!$A1:$DX83,40,0)</f>
        <v>0</v>
      </c>
      <c r="AO102" s="168">
        <f>VLOOKUP(Input!$C11,'2020Data'!$A1:$DX83,41,0)</f>
        <v>133559</v>
      </c>
      <c r="AP102" s="168">
        <f>VLOOKUP(Input!$C11,'2020Data'!$A1:$DX83,42,0)</f>
        <v>2534448</v>
      </c>
      <c r="AQ102" s="153">
        <f>VLOOKUP(Input!$C11,'2020Data'!$A1:$DX83,43,0)</f>
        <v>14.938042248208223</v>
      </c>
      <c r="AR102" s="168">
        <f>VLOOKUP(Input!$C11,'2020Data'!$A1:$DX83,44,0)</f>
        <v>0</v>
      </c>
      <c r="AS102" s="168">
        <f>VLOOKUP(Input!$C11,'2020Data'!$A1:$DX83,45,0)</f>
        <v>0</v>
      </c>
      <c r="AT102" s="168">
        <f>VLOOKUP(Input!$C11,'2020Data'!$A1:$DX83,46,0)</f>
        <v>0</v>
      </c>
      <c r="AU102" s="168">
        <f>VLOOKUP(Input!$C11,'2020Data'!$A1:$DX83,47,0)</f>
        <v>0</v>
      </c>
      <c r="AV102" s="168">
        <f>VLOOKUP(Input!$C11,'2020Data'!$A1:$DX83,48,0)</f>
        <v>0</v>
      </c>
      <c r="AW102" s="168">
        <f>VLOOKUP(Input!$C11,'2020Data'!$A1:$DX83,49,0)</f>
        <v>0</v>
      </c>
      <c r="AX102" s="168">
        <f>VLOOKUP(Input!$C11,'2020Data'!$A1:$DX83,50,0)</f>
        <v>0</v>
      </c>
      <c r="AY102" s="168">
        <f>VLOOKUP(Input!$C11,'2020Data'!$A1:$DX83,51,0)</f>
        <v>0</v>
      </c>
      <c r="AZ102" s="151">
        <f>VLOOKUP(Input!$C11,'2020Data'!$A1:$DX83,52,0)</f>
        <v>332109</v>
      </c>
      <c r="BA102" s="152">
        <f>VLOOKUP(Input!$C11,'2020Data'!$A1:$DX83,53,0)</f>
        <v>1.9574511976612599</v>
      </c>
      <c r="BB102" s="151">
        <f>VLOOKUP(Input!$C11,'2020Data'!$A1:$DX83,54,0)</f>
        <v>6601</v>
      </c>
      <c r="BC102" s="151">
        <f>VLOOKUP(Input!$C11,'2020Data'!$A1:$DX83,55,0)</f>
        <v>6601</v>
      </c>
      <c r="BD102" s="151">
        <f>VLOOKUP(Input!$C11,'2020Data'!$A1:$DX83,56,0)</f>
        <v>15248</v>
      </c>
      <c r="BE102" s="151">
        <f>VLOOKUP(Input!$C11,'2020Data'!$A1:$DX83,57,0)</f>
        <v>1760</v>
      </c>
      <c r="BF102" s="151">
        <f>VLOOKUP(Input!$C11,'2020Data'!$A1:$DX83,58,0)</f>
        <v>73451</v>
      </c>
      <c r="BG102" s="151">
        <f>VLOOKUP(Input!$C11,'2020Data'!$A1:$DX83,59,0)</f>
        <v>1</v>
      </c>
      <c r="BH102" s="151">
        <f>VLOOKUP(Input!$C11,'2020Data'!$A1:$DX83,60,0)</f>
        <v>89</v>
      </c>
      <c r="BI102" s="151">
        <f>VLOOKUP(Input!$C11,'2020Data'!$A1:$DX83,61,0)</f>
        <v>0</v>
      </c>
      <c r="BJ102" s="151">
        <f>VLOOKUP(Input!$C11,'2020Data'!$A1:$DX83,62,0)</f>
        <v>90</v>
      </c>
      <c r="BK102" s="151">
        <f>VLOOKUP(Input!$C11,'2020Data'!$A1:$DX83,63,0)</f>
        <v>442369</v>
      </c>
      <c r="BL102" s="152">
        <f>VLOOKUP(Input!$C11,'2020Data'!$A1:$DX83,64,0)</f>
        <v>2.6073238872123725</v>
      </c>
      <c r="BM102" s="151">
        <f>VLOOKUP(Input!$C11,'2020Data'!$A1:$DX83,65,0)</f>
        <v>0</v>
      </c>
      <c r="BN102" s="151">
        <f>VLOOKUP(Input!$C11,'2020Data'!$A1:$DX83,66,0)</f>
        <v>129530</v>
      </c>
      <c r="BO102" s="152">
        <f>VLOOKUP(Input!$C11,'2020Data'!$A1:$DX83,67,0)</f>
        <v>0.76345011316484346</v>
      </c>
      <c r="BP102" s="151">
        <f>VLOOKUP(Input!$C11,'2020Data'!$A1:$DX83,68,0)</f>
        <v>139514</v>
      </c>
      <c r="BQ102" s="151">
        <f>VLOOKUP(Input!$C11,'2020Data'!$A1:$DX83,69,0)</f>
        <v>0</v>
      </c>
      <c r="BR102" s="151">
        <f>VLOOKUP(Input!$C11,'2020Data'!$A1:$DX83,70,0)</f>
        <v>338250</v>
      </c>
      <c r="BS102" s="151">
        <f>VLOOKUP(Input!$C11,'2020Data'!$A1:$DX83,71,0)</f>
        <v>53559</v>
      </c>
      <c r="BT102" s="151">
        <f>VLOOKUP(Input!$C11,'2020Data'!$A1:$DX83,72,0)</f>
        <v>391809</v>
      </c>
      <c r="BU102" s="152">
        <f>VLOOKUP(Input!$C11,'2020Data'!$A1:$DX83,73,0)</f>
        <v>2.3093231327800829</v>
      </c>
      <c r="BV102" s="151">
        <f>VLOOKUP(Input!$C11,'2020Data'!$A1:$DX83,74,0)</f>
        <v>8130.5042539946053</v>
      </c>
      <c r="BW102" s="152">
        <f>VLOOKUP(Input!$C11,'2020Data'!$A1:$DX83,75,0)</f>
        <v>15.29966027568433</v>
      </c>
      <c r="BX102" s="152">
        <f>VLOOKUP(Input!$C11,'2020Data'!$A1:$DX83,76,0)</f>
        <v>1.6023073022312373</v>
      </c>
      <c r="BY102" s="152">
        <f>VLOOKUP(Input!$C11,'2020Data'!$A1:$DX83,77,0)</f>
        <v>0.88570627688649073</v>
      </c>
      <c r="BZ102" s="151">
        <f>VLOOKUP(Input!$C11,'2020Data'!$A1:$DX83,78,0)</f>
        <v>1975</v>
      </c>
      <c r="CA102" s="151">
        <f>VLOOKUP(Input!$C11,'2020Data'!$A1:$DX83,79,0)</f>
        <v>305</v>
      </c>
      <c r="CB102" s="151">
        <f>VLOOKUP(Input!$C11,'2020Data'!$A1:$DX83,80,0)</f>
        <v>1371</v>
      </c>
      <c r="CC102" s="151">
        <f>VLOOKUP(Input!$C11,'2020Data'!$A1:$DX83,81,0)</f>
        <v>3651</v>
      </c>
      <c r="CD102" s="151">
        <f>VLOOKUP(Input!$C11,'2020Data'!$A1:$DX83,82,0)</f>
        <v>91359</v>
      </c>
      <c r="CE102" s="151">
        <f>VLOOKUP(Input!$C11,'2020Data'!$A1:$DX83,83,0)</f>
        <v>12376</v>
      </c>
      <c r="CF102" s="151">
        <f>VLOOKUP(Input!$C11,'2020Data'!$A1:$DX83,84,0)</f>
        <v>37136</v>
      </c>
      <c r="CG102" s="151">
        <f>VLOOKUP(Input!$C11,'2020Data'!$A1:$DX83,85,0)</f>
        <v>140871</v>
      </c>
      <c r="CH102" s="152">
        <f>VLOOKUP(Input!$C11,'2020Data'!$A1:$DX83,86,0)</f>
        <v>0.83029399283289329</v>
      </c>
      <c r="CI102" s="151">
        <f>VLOOKUP(Input!$C11,'2020Data'!$A1:$DX83,87,0)</f>
        <v>244528</v>
      </c>
      <c r="CJ102" s="152">
        <f>VLOOKUP(Input!$C11,'2020Data'!$A1:$DX83,88,0)</f>
        <v>1.4412485854394568</v>
      </c>
      <c r="CK102" s="151">
        <f>VLOOKUP(Input!$C11,'2020Data'!$A1:$DX83,89,0)</f>
        <v>67633</v>
      </c>
      <c r="CL102" s="150" t="str">
        <f>VLOOKUP(Input!$C11,'2020Data'!$A1:$DX83,90,0)</f>
        <v>Yes</v>
      </c>
      <c r="CM102" s="150" t="str">
        <f>VLOOKUP(Input!$C11,'2020Data'!$A1:$DX83,91,0)</f>
        <v>Yes</v>
      </c>
      <c r="CN102" s="150" t="str">
        <f>VLOOKUP(Input!$C11,'2020Data'!$A1:$DX83,92,0)</f>
        <v>Yes</v>
      </c>
      <c r="CO102" s="212">
        <f>VLOOKUP(Input!$C11,'2020Data'!$A1:$DX83,93,0)</f>
        <v>2</v>
      </c>
      <c r="CP102" s="151">
        <f>VLOOKUP(Input!$C11,'2020Data'!$A1:$DX83,94,0)</f>
        <v>0</v>
      </c>
      <c r="CQ102" s="212">
        <f>VLOOKUP(Input!$C11,'2020Data'!$A1:$DX83,95,0)</f>
        <v>0</v>
      </c>
      <c r="CR102" s="212">
        <f>VLOOKUP(Input!$C11,'2020Data'!$A1:$DX83,96,0)</f>
        <v>46.19</v>
      </c>
      <c r="CS102" s="212">
        <f>VLOOKUP(Input!$C11,'2020Data'!$A1:$DX83,97,0)</f>
        <v>48.19</v>
      </c>
      <c r="CT102" s="151">
        <f>VLOOKUP(Input!$C11,'2020Data'!$A1:$DX83,98,0)</f>
        <v>3520.7304420004152</v>
      </c>
      <c r="CU102" s="151">
        <f>VLOOKUP(Input!$C11,'2020Data'!$A1:$DX83,99,0)</f>
        <v>4751</v>
      </c>
      <c r="CV102" s="168">
        <f>VLOOKUP(Input!$C11,'2020Data'!$A1:$DX83,100,0)</f>
        <v>67121</v>
      </c>
      <c r="CW102" s="152">
        <f>VLOOKUP(Input!$C11,'2020Data'!$A1:$DX83,101,0)</f>
        <v>40</v>
      </c>
      <c r="CX102" s="150" t="str">
        <f>VLOOKUP(Input!$C11,'2020Data'!$A1:$DX83,102,0)</f>
        <v>Yes</v>
      </c>
      <c r="CY102" s="150" t="str">
        <f>VLOOKUP(Input!$C11,'2020Data'!$A1:$DX83,103,0)</f>
        <v>Yes</v>
      </c>
      <c r="CZ102" s="151">
        <f>VLOOKUP(Input!$C11,'2020Data'!$A1:$DX83,104,0)</f>
        <v>18271</v>
      </c>
      <c r="DA102" s="151">
        <f>VLOOKUP(Input!$C11,'2020Data'!$A1:$DX83,105,0)</f>
        <v>22602</v>
      </c>
      <c r="DB102" s="186">
        <f>VLOOKUP(Input!$C11,'2020Data'!$A1:$DX83,106,0)</f>
        <v>158</v>
      </c>
      <c r="DC102" s="151">
        <f>VLOOKUP(Input!$C11,'2020Data'!$A1:$DX83,107,0)</f>
        <v>55105</v>
      </c>
      <c r="DD102" s="184">
        <f>VLOOKUP(Input!$C11,'2020Data'!$A1:$DX83,108,0)</f>
        <v>120740</v>
      </c>
      <c r="DE102" s="151">
        <f>VLOOKUP(Input!$C11,'2020Data'!$A1:$DX83,109,0)</f>
        <v>89374</v>
      </c>
      <c r="DF102" s="151">
        <f>VLOOKUP(Input!$C11,'2020Data'!$A1:$DX83,110,0)</f>
        <v>33258</v>
      </c>
      <c r="DG102" s="151">
        <f>VLOOKUP(Input!$C11,'2020Data'!$A1:$DX83,111,0)</f>
        <v>52</v>
      </c>
      <c r="DH102" s="151">
        <f>VLOOKUP(Input!$C11,'2020Data'!$A1:$DX83,112,0)</f>
        <v>0.19602272727272727</v>
      </c>
      <c r="DI102" s="151">
        <f>VLOOKUP(Input!$C11,'2020Data'!$A1:$DX83,113,0)</f>
        <v>46</v>
      </c>
      <c r="DJ102" s="151">
        <f>VLOOKUP(Input!$C11,'2020Data'!$A1:$DX83,114,0)</f>
        <v>46</v>
      </c>
      <c r="DK102" s="151">
        <f>VLOOKUP(Input!$C11,'2020Data'!$A1:$DX83,115,0)</f>
        <v>0</v>
      </c>
      <c r="DL102" s="151">
        <f>VLOOKUP(Input!$C11,'2020Data'!$A1:$DX83,116,0)</f>
        <v>25609</v>
      </c>
      <c r="DM102" s="151">
        <f>VLOOKUP(Input!$C11,'2020Data'!$A1:$DX83,117,0)</f>
        <v>0</v>
      </c>
      <c r="DN102" s="151" t="str">
        <f>VLOOKUP(Input!$C11,'2020Data'!$A1:$DX83,118,0)</f>
        <v>NC0013</v>
      </c>
      <c r="DO102" s="255" t="str">
        <f>VLOOKUP(Input!$C11,'2020Data'!$A1:$DX83,119,0)</f>
        <v>Regional</v>
      </c>
      <c r="DP102" s="151">
        <f>VLOOKUP(Input!$C11,'2020Data'!$A1:$DX83,120,0)</f>
        <v>0</v>
      </c>
      <c r="DQ102" s="151">
        <f>VLOOKUP(Input!$C11,'2020Data'!$A1:$DX83,121,0)</f>
        <v>0</v>
      </c>
      <c r="DR102" s="151" t="str">
        <f>VLOOKUP(Input!$C11,'2020Data'!$A1:$DX83,122,0)</f>
        <v>NW Regional</v>
      </c>
      <c r="DS102" s="151" t="str">
        <f>VLOOKUP(Input!$C11,'2020Data'!$A1:$DX83,123,0)</f>
        <v>SURRY</v>
      </c>
      <c r="DT102" s="241">
        <f>VLOOKUP(Input!$C11,'2020Data'!$A1:$DX83,124,0)</f>
        <v>43282</v>
      </c>
      <c r="DU102" s="241">
        <f>VLOOKUP(Input!$C11,'2020Data'!$A1:$DX83,125,0)</f>
        <v>43646</v>
      </c>
      <c r="DW102" s="152">
        <f>VLOOKUP(Input!$C11,'2020Data'!$A2:$DZ83,127,0)</f>
        <v>0.82229583176159937</v>
      </c>
      <c r="DX102" s="152">
        <f>VLOOKUP(Input!$C11,'2020Data'!$A2:$DZ83,128,0)</f>
        <v>0</v>
      </c>
      <c r="DY102" s="152">
        <f>VLOOKUP(Input!$C11,'2020Data'!$A2:$DZ83,129,0)</f>
        <v>1.9936462655601659</v>
      </c>
      <c r="DZ102" s="152">
        <f>VLOOKUP(Input!$C11,'2020Data'!$A2:$DZ83,130,0)</f>
        <v>0.315676867219917</v>
      </c>
      <c r="EA102" s="153">
        <f>VLOOKUP(Input!$C11,'2020Data'!$A2:$EB83,131,0)</f>
        <v>0.20776575882653361</v>
      </c>
      <c r="EB102" s="153">
        <f>VLOOKUP(Input!$C11,'2020Data'!$A2:$EB83,132,0)</f>
        <v>0.70994604081480239</v>
      </c>
    </row>
    <row r="103" spans="1:132" ht="14.4" thickBot="1" x14ac:dyDescent="0.35">
      <c r="B103" s="157" t="str">
        <f>IF($C102&lt;1999,#REF!,(IF($C102&lt;4999,B90,(IF($C102&lt;9999,B91,(IF($C102&lt;14999,B92,(IF($C102&lt;24999,B93,(IF($C102&lt;49999,B94,(IF($C102&lt;99999,B95,(IF($C102&lt;249999,B96,B97)))))))))))))))</f>
        <v>Average 100,000-249,999 population</v>
      </c>
      <c r="C103" s="151">
        <f>IF($C102&lt;1999,#REF!,(IF($C102&lt;4999,C90,(IF($C102&lt;9999,C91,(IF($C102&lt;14999,C92,(IF($C102&lt;24999,C93,(IF($C102&lt;49999,C94,(IF($C102&lt;99999,C95,(IF($C102&lt;249999,C96,C97)))))))))))))))</f>
        <v>163961.5</v>
      </c>
      <c r="D103" s="151">
        <f>IF($C102&lt;1999,#REF!,(IF($C102&lt;4999,D90,(IF($C102&lt;9999,D91,(IF($C102&lt;14999,D92,(IF($C102&lt;24999,D93,(IF($C102&lt;49999,D94,(IF($C102&lt;99999,D95,(IF($C102&lt;249999,D96,D97)))))))))))))))</f>
        <v>5.25</v>
      </c>
      <c r="E103" s="151">
        <f>IF($C102&lt;1999,#REF!,(IF($C102&lt;4999,E90,(IF($C102&lt;9999,E91,(IF($C102&lt;14999,E92,(IF($C102&lt;24999,E93,(IF($C102&lt;49999,E94,(IF($C102&lt;99999,E95,(IF($C102&lt;249999,E96,E97)))))))))))))))</f>
        <v>0.33333333333333331</v>
      </c>
      <c r="F103" s="151">
        <f>IF($C102&lt;1999,#REF!,(IF($C102&lt;4999,F90,(IF($C102&lt;9999,F91,(IF($C102&lt;14999,F92,(IF($C102&lt;24999,F93,(IF($C102&lt;49999,F94,(IF($C102&lt;99999,F95,(IF($C102&lt;249999,F96,F97)))))))))))))))</f>
        <v>68232.083333333328</v>
      </c>
      <c r="G103" s="75" t="e">
        <f>IF($C102&lt;1999,#REF!,(IF($C102&lt;4999,G90,(IF($C102&lt;9999,G91,(IF($C102&lt;14999,G92,(IF($C102&lt;24999,G93,(IF($C102&lt;49999,G94,(IF($C102&lt;99999,G95,(IF($C102&lt;249999,G96,G97)))))))))))))))</f>
        <v>#DIV/0!</v>
      </c>
      <c r="H103" s="151">
        <f>IF($C102&lt;1999,#REF!,(IF($C102&lt;4999,H90,(IF($C102&lt;9999,H91,(IF($C102&lt;14999,H92,(IF($C102&lt;24999,H93,(IF($C102&lt;49999,H94,(IF($C102&lt;99999,H95,(IF($C102&lt;249999,H96,H97)))))))))))))))</f>
        <v>68232.083333333328</v>
      </c>
      <c r="I103" s="152">
        <f>IF($C102&lt;1999,#REF!,(IF($C102&lt;4999,I90,(IF($C102&lt;9999,I91,(IF($C102&lt;14999,I92,(IF($C102&lt;24999,I93,(IF($C102&lt;49999,I94,(IF($C102&lt;99999,I95,(IF($C102&lt;249999,I96,I97)))))))))))))))</f>
        <v>0.42757249999999997</v>
      </c>
      <c r="J103" s="168">
        <f>IF($C102&lt;1999,#REF!,(IF($C102&lt;4999,J90,(IF($C102&lt;9999,J91,(IF($C102&lt;14999,J92,(IF($C102&lt;24999,J93,(IF($C102&lt;49999,J94,(IF($C102&lt;99999,J95,(IF($C102&lt;249999,J96,J97)))))))))))))))</f>
        <v>1575814.5833333333</v>
      </c>
      <c r="K103" s="168">
        <f>IF($C102&lt;1999,#REF!,(IF($C102&lt;4999,K90,(IF($C102&lt;9999,K91,(IF($C102&lt;14999,K92,(IF($C102&lt;24999,K93,(IF($C102&lt;49999,K94,(IF($C102&lt;99999,K95,(IF($C102&lt;249999,K96,K97)))))))))))))))</f>
        <v>620257</v>
      </c>
      <c r="L103" s="168">
        <f>IF($C102&lt;1999,#REF!,(IF($C102&lt;4999,L90,(IF($C102&lt;9999,L91,(IF($C102&lt;14999,L92,(IF($C102&lt;24999,L93,(IF($C102&lt;49999,L94,(IF($C102&lt;99999,L95,(IF($C102&lt;249999,L96,L97)))))))))))))))</f>
        <v>2196071.5833333335</v>
      </c>
      <c r="M103" s="153">
        <f>IF($C102&lt;1999,#REF!,(IF($C102&lt;4999,M90,(IF($C102&lt;9999,M91,(IF($C102&lt;14999,M92,(IF($C102&lt;24999,M93,(IF($C102&lt;49999,M94,(IF($C102&lt;99999,M95,(IF($C102&lt;249999,M96,M97)))))))))))))))</f>
        <v>13.827870322506932</v>
      </c>
      <c r="N103" s="168">
        <f>IF($C102&lt;1999,#REF!,(IF($C102&lt;4999,N90,(IF($C102&lt;9999,N91,(IF($C102&lt;14999,N92,(IF($C102&lt;24999,N93,(IF($C102&lt;49999,N94,(IF($C102&lt;99999,N95,(IF($C102&lt;249999,N96,N97)))))))))))))))</f>
        <v>176257.5</v>
      </c>
      <c r="O103" s="168">
        <f>IF($C102&lt;1999,#REF!,(IF($C102&lt;4999,O90,(IF($C102&lt;9999,O91,(IF($C102&lt;14999,O92,(IF($C102&lt;24999,O93,(IF($C102&lt;49999,O94,(IF($C102&lt;99999,O95,(IF($C102&lt;249999,O96,O97)))))))))))))))</f>
        <v>68205.75</v>
      </c>
      <c r="P103" s="168">
        <f>IF($C102&lt;1999,#REF!,(IF($C102&lt;4999,P90,(IF($C102&lt;9999,P91,(IF($C102&lt;14999,P92,(IF($C102&lt;24999,P93,(IF($C102&lt;49999,P94,(IF($C102&lt;99999,P95,(IF($C102&lt;249999,P96,P97)))))))))))))))</f>
        <v>33299.692916666667</v>
      </c>
      <c r="Q103" s="168">
        <f>IF($C102&lt;1999,#REF!,(IF($C102&lt;4999,Q90,(IF($C102&lt;9999,Q91,(IF($C102&lt;14999,Q92,(IF($C102&lt;24999,Q93,(IF($C102&lt;49999,Q94,(IF($C102&lt;99999,Q95,(IF($C102&lt;249999,Q96,Q97)))))))))))))))</f>
        <v>277762.94291666668</v>
      </c>
      <c r="R103" s="153">
        <f>IF($C102&lt;1999,#REF!,(IF($C102&lt;4999,R90,(IF($C102&lt;9999,R91,(IF($C102&lt;14999,R92,(IF($C102&lt;24999,R93,(IF($C102&lt;49999,R94,(IF($C102&lt;99999,R95,(IF($C102&lt;249999,R96,R97)))))))))))))))</f>
        <v>1.7358408875844511</v>
      </c>
      <c r="S103" s="168">
        <f>IF($C102&lt;1999,#REF!,(IF($C102&lt;4999,S90,(IF($C102&lt;9999,S91,(IF($C102&lt;14999,S92,(IF($C102&lt;24999,S93,(IF($C102&lt;49999,S94,(IF($C102&lt;99999,S95,(IF($C102&lt;249999,S96,S97)))))))))))))))</f>
        <v>482811.74541666667</v>
      </c>
      <c r="T103" s="168">
        <f>IF($C102&lt;1999,#REF!,(IF($C102&lt;4999,T90,(IF($C102&lt;9999,T91,(IF($C102&lt;14999,T92,(IF($C102&lt;24999,T93,(IF($C102&lt;49999,T94,(IF($C102&lt;99999,T95,(IF($C102&lt;249999,T96,T97)))))))))))))))</f>
        <v>2956646.2716666665</v>
      </c>
      <c r="U103" s="168">
        <f>IF($C102&lt;1999,#REF!,(IF($C102&lt;4999,U90,(IF($C102&lt;9999,U91,(IF($C102&lt;14999,U92,(IF($C102&lt;24999,U93,(IF($C102&lt;49999,U94,(IF($C102&lt;99999,U95,(IF($C102&lt;249999,U96,U97)))))))))))))))</f>
        <v>2992.0416666666665</v>
      </c>
      <c r="V103" s="168">
        <f>IF($C102&lt;1999,#REF!,(IF($C102&lt;4999,V90,(IF($C102&lt;9999,V91,(IF($C102&lt;14999,V92,(IF($C102&lt;24999,V93,(IF($C102&lt;49999,V94,(IF($C102&lt;99999,V95,(IF($C102&lt;249999,V96,V97)))))))))))))))</f>
        <v>2956646.2716666665</v>
      </c>
      <c r="W103" s="153">
        <f>IF($C102&lt;1999,#REF!,(IF($C102&lt;4999,W90,(IF($C102&lt;9999,W91,(IF($C102&lt;14999,W92,(IF($C102&lt;24999,W93,(IF($C102&lt;49999,W94,(IF($C102&lt;99999,W95,(IF($C102&lt;249999,W96,W97)))))))))))))))</f>
        <v>18.620136685354584</v>
      </c>
      <c r="X103" s="169">
        <f>IF($C102&lt;1999,#REF!,(IF($C102&lt;4999,X90,(IF($C102&lt;9999,X91,(IF($C102&lt;14999,X92,(IF($C102&lt;24999,X93,(IF($C102&lt;49999,X94,(IF($C102&lt;99999,X95,(IF($C102&lt;249999,X96,X97)))))))))))))))</f>
        <v>0.74852267925595217</v>
      </c>
      <c r="Y103" s="169">
        <f>IF($C102&lt;1999,#REF!,(IF($C102&lt;4999,Y90,(IF($C102&lt;9999,Y91,(IF($C102&lt;14999,Y92,(IF($C102&lt;24999,Y93,(IF($C102&lt;49999,Y94,(IF($C102&lt;99999,Y95,(IF($C102&lt;249999,Y96,Y97)))))))))))))))</f>
        <v>9.401925443605634E-2</v>
      </c>
      <c r="Z103" s="169">
        <f>IF($C102&lt;1999,#REF!,(IF($C102&lt;4999,Z90,(IF($C102&lt;9999,Z91,(IF($C102&lt;14999,Z92,(IF($C102&lt;24999,Z93,(IF($C102&lt;49999,Z94,(IF($C102&lt;99999,Z95,(IF($C102&lt;249999,Z96,Z97)))))))))))))))</f>
        <v>0.15745806630799139</v>
      </c>
      <c r="AA103" s="169">
        <f>IF($C102&lt;1999,#REF!,(IF($C102&lt;4999,AA90,(IF($C102&lt;9999,AA91,(IF($C102&lt;14999,AA92,(IF($C102&lt;24999,AA93,(IF($C102&lt;49999,AA94,(IF($C102&lt;99999,AA95,(IF($C102&lt;249999,AA96,AA97)))))))))))))))</f>
        <v>1.2556713525236935E-3</v>
      </c>
      <c r="AB103" s="168">
        <f>IF($C102&lt;1999,#REF!,(IF($C102&lt;4999,AB90,(IF($C102&lt;9999,AB91,(IF($C102&lt;14999,AB92,(IF($C102&lt;24999,AB93,(IF($C102&lt;49999,AB94,(IF($C102&lt;99999,AB95,(IF($C102&lt;249999,AB96,AB97)))))))))))))))</f>
        <v>55820.625</v>
      </c>
      <c r="AC103" s="168">
        <f>IF($C102&lt;1999,#REF!,(IF($C102&lt;4999,AC90,(IF($C102&lt;9999,AC91,(IF($C102&lt;14999,AC92,(IF($C102&lt;24999,AC93,(IF($C102&lt;49999,AC94,(IF($C102&lt;99999,AC95,(IF($C102&lt;249999,AC96,AC97)))))))))))))))</f>
        <v>2956646.2716666665</v>
      </c>
      <c r="AD103" s="168">
        <f>IF($C102&lt;1999,#REF!,(IF($C102&lt;4999,AD90,(IF($C102&lt;9999,AD91,(IF($C102&lt;14999,AD92,(IF($C102&lt;24999,AD93,(IF($C102&lt;49999,AD94,(IF($C102&lt;99999,AD95,(IF($C102&lt;249999,AD96,AD97)))))))))))))))</f>
        <v>2361370.7916666665</v>
      </c>
      <c r="AE103" s="168" t="e">
        <f>IF($C102&lt;1999,#REF!,(IF($C102&lt;4999,AE90,(IF($C102&lt;9999,AE91,(IF($C102&lt;14999,AE92,(IF($C102&lt;24999,AE93,(IF($C102&lt;49999,AE94,(IF($C102&lt;99999,AE95,(IF($C102&lt;249999,AE96,AE97)))))))))))))))</f>
        <v>#DIV/0!</v>
      </c>
      <c r="AF103" s="168" t="e">
        <f>IF($C102&lt;1999,#REF!,(IF($C102&lt;4999,AF90,(IF($C102&lt;9999,AF91,(IF($C102&lt;14999,AF92,(IF($C102&lt;24999,AF93,(IF($C102&lt;49999,AF94,(IF($C102&lt;99999,AF95,(IF($C102&lt;249999,AF96,AF97)))))))))))))))</f>
        <v>#REF!</v>
      </c>
      <c r="AG103" s="168" t="e">
        <f>IF($C102&lt;1999,#REF!,(IF($C102&lt;4999,AG90,(IF($C102&lt;9999,AG91,(IF($C102&lt;14999,AG92,(IF($C102&lt;24999,AG93,(IF($C102&lt;49999,AG94,(IF($C102&lt;99999,AG95,(IF($C102&lt;249999,AG96,AG97)))))))))))))))</f>
        <v>#REF!</v>
      </c>
      <c r="AH103" s="168" t="e">
        <f>IF($C102&lt;1999,#REF!,(IF($C102&lt;4999,AH90,(IF($C102&lt;9999,AH91,(IF($C102&lt;14999,AH92,(IF($C102&lt;24999,AH93,(IF($C102&lt;49999,AH94,(IF($C102&lt;99999,AH95,(IF($C102&lt;249999,AH96,AH97)))))))))))))))</f>
        <v>#DIV/0!</v>
      </c>
      <c r="AI103" s="168">
        <f>IF($C102&lt;1999,#REF!,(IF($C102&lt;4999,AI90,(IF($C102&lt;9999,AI91,(IF($C102&lt;14999,AI92,(IF($C102&lt;24999,AI93,(IF($C102&lt;49999,AI94,(IF($C102&lt;99999,AI95,(IF($C102&lt;249999,AI96,AI97)))))))))))))))</f>
        <v>5318017.0633333335</v>
      </c>
      <c r="AJ103" s="153">
        <f>IF($C102&lt;1999,#REF!,(IF($C102&lt;4999,AJ90,(IF($C102&lt;9999,AJ91,(IF($C102&lt;14999,AJ92,(IF($C102&lt;24999,AJ93,(IF($C102&lt;49999,AJ94,(IF($C102&lt;99999,AJ95,(IF($C102&lt;249999,AJ96,AJ97)))))))))))))))</f>
        <v>33.083990779230895</v>
      </c>
      <c r="AK103" s="168">
        <f>IF($C102&lt;1999,#REF!,(IF($C102&lt;4999,AK90,(IF($C102&lt;9999,AK91,(IF($C102&lt;14999,AK92,(IF($C102&lt;24999,AK93,(IF($C102&lt;49999,AK94,(IF($C102&lt;99999,AK95,(IF($C102&lt;249999,AK96,AK97)))))))))))))))</f>
        <v>235492.20833333334</v>
      </c>
      <c r="AL103" s="168">
        <f>IF($C102&lt;1999,#REF!,(IF($C102&lt;4999,AL90,(IF($C102&lt;9999,AL91,(IF($C102&lt;14999,AL92,(IF($C102&lt;24999,AL93,(IF($C102&lt;49999,AL94,(IF($C102&lt;99999,AL95,(IF($C102&lt;249999,AL96,AL97)))))))))))))))</f>
        <v>19227.208333333332</v>
      </c>
      <c r="AM103" s="168">
        <f>IF($C102&lt;1999,#REF!,(IF($C102&lt;4999,AM90,(IF($C102&lt;9999,AM91,(IF($C102&lt;14999,AM92,(IF($C102&lt;24999,AM93,(IF($C102&lt;49999,AM94,(IF($C102&lt;99999,AM95,(IF($C102&lt;249999,AM96,AM97)))))))))))))))</f>
        <v>88028.791666666672</v>
      </c>
      <c r="AN103" s="168" t="e">
        <f>IF($C102&lt;1999,#REF!,(IF($C102&lt;4999,AN90,(IF($C102&lt;9999,AN91,(IF($C102&lt;14999,AN92,(IF($C102&lt;24999,AN93,(IF($C102&lt;49999,AN94,(IF($C102&lt;99999,AN95,(IF($C102&lt;249999,AN96,AN97)))))))))))))))</f>
        <v>#DIV/0!</v>
      </c>
      <c r="AO103" s="168">
        <f>IF($C102&lt;1999,#REF!,(IF($C102&lt;4999,AO90,(IF($C102&lt;9999,AO91,(IF($C102&lt;14999,AO92,(IF($C102&lt;24999,AO93,(IF($C102&lt;49999,AO94,(IF($C102&lt;99999,AO95,(IF($C102&lt;249999,AO96,AO97)))))))))))))))</f>
        <v>88028.791666666672</v>
      </c>
      <c r="AP103" s="168">
        <f>IF($C102&lt;1999,#REF!,(IF($C102&lt;4999,AP90,(IF($C102&lt;9999,AP91,(IF($C102&lt;14999,AP92,(IF($C102&lt;24999,AP93,(IF($C102&lt;49999,AP94,(IF($C102&lt;99999,AP95,(IF($C102&lt;249999,AP96,AP97)))))))))))))))</f>
        <v>3083201.1666666665</v>
      </c>
      <c r="AQ103" s="153">
        <f>IF($C102&lt;1999,#REF!,(IF($C102&lt;4999,AQ90,(IF($C102&lt;9999,AQ91,(IF($C102&lt;14999,AQ92,(IF($C102&lt;24999,AQ93,(IF($C102&lt;49999,AQ94,(IF($C102&lt;99999,AQ95,(IF($C102&lt;249999,AQ96,AQ97)))))))))))))))</f>
        <v>19.437584645042026</v>
      </c>
      <c r="AR103" s="168" t="e">
        <f>IF($C102&lt;1999,#REF!,(IF($C102&lt;4999,AR90,(IF($C102&lt;9999,AR91,(IF($C102&lt;14999,AR92,(IF($C102&lt;24999,AR93,(IF($C102&lt;49999,AR94,(IF($C102&lt;99999,AR95,(IF($C102&lt;249999,AR96,AR97)))))))))))))))</f>
        <v>#DIV/0!</v>
      </c>
      <c r="AS103" s="168">
        <f>IF($C102&lt;1999,#REF!,(IF($C102&lt;4999,AS90,(IF($C102&lt;9999,AS91,(IF($C102&lt;14999,AS92,(IF($C102&lt;24999,AS93,(IF($C102&lt;49999,AS94,(IF($C102&lt;99999,AS95,(IF($C102&lt;249999,AS96,AS97)))))))))))))))</f>
        <v>43481.666666666664</v>
      </c>
      <c r="AT103" s="168">
        <f>IF($C102&lt;1999,#REF!,(IF($C102&lt;4999,AT90,(IF($C102&lt;9999,AT91,(IF($C102&lt;14999,AT92,(IF($C102&lt;24999,AT93,(IF($C102&lt;49999,AT94,(IF($C102&lt;99999,AT95,(IF($C102&lt;249999,AT96,AT97)))))))))))))))</f>
        <v>0</v>
      </c>
      <c r="AU103" s="168">
        <f>IF($C102&lt;1999,#REF!,(IF($C102&lt;4999,AU90,(IF($C102&lt;9999,AU91,(IF($C102&lt;14999,AU92,(IF($C102&lt;24999,AU93,(IF($C102&lt;49999,AU94,(IF($C102&lt;99999,AU95,(IF($C102&lt;249999,AU96,AU97)))))))))))))))</f>
        <v>2083.3333333333335</v>
      </c>
      <c r="AV103" s="168">
        <f>IF($C102&lt;1999,#REF!,(IF($C102&lt;4999,AV90,(IF($C102&lt;9999,AV91,(IF($C102&lt;14999,AV92,(IF($C102&lt;24999,AV93,(IF($C102&lt;49999,AV94,(IF($C102&lt;99999,AV95,(IF($C102&lt;249999,AV96,AV97)))))))))))))))</f>
        <v>0</v>
      </c>
      <c r="AW103" s="168" t="e">
        <f>IF($C102&lt;1999,#REF!,(IF($C102&lt;4999,AW90,(IF($C102&lt;9999,AW91,(IF($C102&lt;14999,AW92,(IF($C102&lt;24999,AW93,(IF($C102&lt;49999,AW94,(IF($C102&lt;99999,AW95,(IF($C102&lt;249999,AW96,AW97)))))))))))))))</f>
        <v>#DIV/0!</v>
      </c>
      <c r="AX103" s="168">
        <f>IF($C102&lt;1999,#REF!,(IF($C102&lt;4999,AX90,(IF($C102&lt;9999,AX91,(IF($C102&lt;14999,AX92,(IF($C102&lt;24999,AX93,(IF($C102&lt;49999,AX94,(IF($C102&lt;99999,AX95,(IF($C102&lt;249999,AX96,AX97)))))))))))))))</f>
        <v>1809.125</v>
      </c>
      <c r="AY103" s="168">
        <f>IF($C102&lt;1999,#REF!,(IF($C102&lt;4999,AY90,(IF($C102&lt;9999,AY91,(IF($C102&lt;14999,AY92,(IF($C102&lt;24999,AY93,(IF($C102&lt;49999,AY94,(IF($C102&lt;99999,AY95,(IF($C102&lt;249999,AY96,AY97)))))))))))))))</f>
        <v>47374.125</v>
      </c>
      <c r="AZ103" s="151">
        <f>IF($C102&lt;1999,#REF!,(IF($C102&lt;4999,AZ90,(IF($C102&lt;9999,AZ91,(IF($C102&lt;14999,AZ92,(IF($C102&lt;24999,AZ93,(IF($C102&lt;49999,AZ94,(IF($C102&lt;99999,AZ95,(IF($C102&lt;249999,AZ96,AZ97)))))))))))))))</f>
        <v>217878.66666666666</v>
      </c>
      <c r="BA103" s="152">
        <f>IF($C102&lt;1999,#REF!,(IF($C102&lt;4999,BA90,(IF($C102&lt;9999,BA91,(IF($C102&lt;14999,BA92,(IF($C102&lt;24999,BA93,(IF($C102&lt;49999,BA94,(IF($C102&lt;99999,BA95,(IF($C102&lt;249999,BA96,BA97)))))))))))))))</f>
        <v>1.3640787104308798</v>
      </c>
      <c r="BB103" s="151">
        <f>IF($C102&lt;1999,#REF!,(IF($C102&lt;4999,BB90,(IF($C102&lt;9999,BB91,(IF($C102&lt;14999,BB92,(IF($C102&lt;24999,BB93,(IF($C102&lt;49999,BB94,(IF($C102&lt;99999,BB95,(IF($C102&lt;249999,BB96,BB97)))))))))))))))</f>
        <v>8176.083333333333</v>
      </c>
      <c r="BC103" s="151">
        <f>IF($C102&lt;1999,#REF!,(IF($C102&lt;4999,BC90,(IF($C102&lt;9999,BC91,(IF($C102&lt;14999,BC92,(IF($C102&lt;24999,BC93,(IF($C102&lt;49999,BC94,(IF($C102&lt;99999,BC95,(IF($C102&lt;249999,BC96,BC97)))))))))))))))</f>
        <v>8176.083333333333</v>
      </c>
      <c r="BD103" s="151">
        <f>IF($C102&lt;1999,#REF!,(IF($C102&lt;4999,BD90,(IF($C102&lt;9999,BD91,(IF($C102&lt;14999,BD92,(IF($C102&lt;24999,BD93,(IF($C102&lt;49999,BD94,(IF($C102&lt;99999,BD95,(IF($C102&lt;249999,BD96,BD97)))))))))))))))</f>
        <v>15198.541666666666</v>
      </c>
      <c r="BE103" s="151">
        <f>IF($C102&lt;1999,#REF!,(IF($C102&lt;4999,BE90,(IF($C102&lt;9999,BE91,(IF($C102&lt;14999,BE92,(IF($C102&lt;24999,BE93,(IF($C102&lt;49999,BE94,(IF($C102&lt;99999,BE95,(IF($C102&lt;249999,BE96,BE97)))))))))))))))</f>
        <v>5216.666666666667</v>
      </c>
      <c r="BF103" s="151">
        <f>IF($C102&lt;1999,#REF!,(IF($C102&lt;4999,BF90,(IF($C102&lt;9999,BF91,(IF($C102&lt;14999,BF92,(IF($C102&lt;24999,BF93,(IF($C102&lt;49999,BF94,(IF($C102&lt;99999,BF95,(IF($C102&lt;249999,BF96,BF97)))))))))))))))</f>
        <v>135921.625</v>
      </c>
      <c r="BG103" s="151">
        <f>IF($C102&lt;1999,#REF!,(IF($C102&lt;4999,BG90,(IF($C102&lt;9999,BG91,(IF($C102&lt;14999,BG92,(IF($C102&lt;24999,BG93,(IF($C102&lt;49999,BG94,(IF($C102&lt;99999,BG95,(IF($C102&lt;249999,BG96,BG97)))))))))))))))</f>
        <v>8.125</v>
      </c>
      <c r="BH103" s="151">
        <f>IF($C102&lt;1999,#REF!,(IF($C102&lt;4999,BH90,(IF($C102&lt;9999,BH91,(IF($C102&lt;14999,BH92,(IF($C102&lt;24999,BH93,(IF($C102&lt;49999,BH94,(IF($C102&lt;99999,BH95,(IF($C102&lt;249999,BH96,BH97)))))))))))))))</f>
        <v>89</v>
      </c>
      <c r="BI103" s="151">
        <f>IF($C102&lt;1999,#REF!,(IF($C102&lt;4999,BI90,(IF($C102&lt;9999,BI91,(IF($C102&lt;14999,BI92,(IF($C102&lt;24999,BI93,(IF($C102&lt;49999,BI94,(IF($C102&lt;99999,BI95,(IF($C102&lt;249999,BI96,BI97)))))))))))))))</f>
        <v>0</v>
      </c>
      <c r="BJ103" s="151">
        <f>IF($C102&lt;1999,#REF!,(IF($C102&lt;4999,BJ90,(IF($C102&lt;9999,BJ91,(IF($C102&lt;14999,BJ92,(IF($C102&lt;24999,BJ93,(IF($C102&lt;49999,BJ94,(IF($C102&lt;99999,BJ95,(IF($C102&lt;249999,BJ96,BJ97)))))))))))))))</f>
        <v>97.125</v>
      </c>
      <c r="BK103" s="151">
        <f>IF($C102&lt;1999,#REF!,(IF($C102&lt;4999,BK90,(IF($C102&lt;9999,BK91,(IF($C102&lt;14999,BK92,(IF($C102&lt;24999,BK93,(IF($C102&lt;49999,BK94,(IF($C102&lt;99999,BK95,(IF($C102&lt;249999,BK96,BK97)))))))))))))))</f>
        <v>421730.25</v>
      </c>
      <c r="BL103" s="152">
        <f>IF($C102&lt;1999,#REF!,(IF($C102&lt;4999,BL90,(IF($C102&lt;9999,BL91,(IF($C102&lt;14999,BL92,(IF($C102&lt;24999,BL93,(IF($C102&lt;49999,BL94,(IF($C102&lt;99999,BL95,(IF($C102&lt;249999,BL96,BL97)))))))))))))))</f>
        <v>2.7708339020060211</v>
      </c>
      <c r="BM103" s="151">
        <f>IF($C102&lt;1999,#REF!,(IF($C102&lt;4999,BM90,(IF($C102&lt;9999,BM91,(IF($C102&lt;14999,BM92,(IF($C102&lt;24999,BM93,(IF($C102&lt;49999,BM94,(IF($C102&lt;99999,BM95,(IF($C102&lt;249999,BM96,BM97)))))))))))))))</f>
        <v>146.875</v>
      </c>
      <c r="BN103" s="151">
        <f>IF($C102&lt;1999,#REF!,(IF($C102&lt;4999,BN90,(IF($C102&lt;9999,BN91,(IF($C102&lt;14999,BN92,(IF($C102&lt;24999,BN93,(IF($C102&lt;49999,BN94,(IF($C102&lt;99999,BN95,(IF($C102&lt;249999,BN96,BN97)))))))))))))))</f>
        <v>74174.458333333328</v>
      </c>
      <c r="BO103" s="152">
        <f>IF($C102&lt;1999,#REF!,(IF($C102&lt;4999,BO90,(IF($C102&lt;9999,BO91,(IF($C102&lt;14999,BO92,(IF($C102&lt;24999,BO93,(IF($C102&lt;49999,BO94,(IF($C102&lt;99999,BO95,(IF($C102&lt;249999,BO96,BO97)))))))))))))))</f>
        <v>0.45302204046836558</v>
      </c>
      <c r="BP103" s="151">
        <f>IF($C102&lt;1999,#REF!,(IF($C102&lt;4999,BP90,(IF($C102&lt;9999,BP91,(IF($C102&lt;14999,BP92,(IF($C102&lt;24999,BP93,(IF($C102&lt;49999,BP94,(IF($C102&lt;99999,BP95,(IF($C102&lt;249999,BP96,BP97)))))))))))))))</f>
        <v>160510</v>
      </c>
      <c r="BQ103" s="151">
        <f>IF($C102&lt;1999,#REF!,(IF($C102&lt;4999,BQ90,(IF($C102&lt;9999,BQ91,(IF($C102&lt;14999,BQ92,(IF($C102&lt;24999,BQ93,(IF($C102&lt;49999,BQ94,(IF($C102&lt;99999,BQ95,(IF($C102&lt;249999,BQ96,BQ97)))))))))))))))</f>
        <v>0</v>
      </c>
      <c r="BR103" s="151">
        <f>IF($C102&lt;1999,#REF!,(IF($C102&lt;4999,BR90,(IF($C102&lt;9999,BR91,(IF($C102&lt;14999,BR92,(IF($C102&lt;24999,BR93,(IF($C102&lt;49999,BR94,(IF($C102&lt;99999,BR95,(IF($C102&lt;249999,BR96,BR97)))))))))))))))</f>
        <v>376799.875</v>
      </c>
      <c r="BS103" s="151">
        <f>IF($C102&lt;1999,#REF!,(IF($C102&lt;4999,BS90,(IF($C102&lt;9999,BS91,(IF($C102&lt;14999,BS92,(IF($C102&lt;24999,BS93,(IF($C102&lt;49999,BS94,(IF($C102&lt;99999,BS95,(IF($C102&lt;249999,BS96,BS97)))))))))))))))</f>
        <v>206387.79166666666</v>
      </c>
      <c r="BT103" s="151">
        <f>IF($C102&lt;1999,#REF!,(IF($C102&lt;4999,BT90,(IF($C102&lt;9999,BT91,(IF($C102&lt;14999,BT92,(IF($C102&lt;24999,BT93,(IF($C102&lt;49999,BT94,(IF($C102&lt;99999,BT95,(IF($C102&lt;249999,BT96,BT97)))))))))))))))</f>
        <v>583187.66666666663</v>
      </c>
      <c r="BU103" s="152">
        <f>IF($C102&lt;1999,#REF!,(IF($C102&lt;4999,BU90,(IF($C102&lt;9999,BU91,(IF($C102&lt;14999,BU92,(IF($C102&lt;24999,BU93,(IF($C102&lt;49999,BU94,(IF($C102&lt;99999,BU95,(IF($C102&lt;249999,BU96,BU97)))))))))))))))</f>
        <v>3.5345396659479178</v>
      </c>
      <c r="BV103" s="151">
        <f>IF($C102&lt;1999,#REF!,(IF($C102&lt;4999,BV90,(IF($C102&lt;9999,BV91,(IF($C102&lt;14999,BV92,(IF($C102&lt;24999,BV93,(IF($C102&lt;49999,BV94,(IF($C102&lt;99999,BV95,(IF($C102&lt;249999,BV96,BV97)))))))))))))))</f>
        <v>13595.517467432559</v>
      </c>
      <c r="BW103" s="152">
        <f>IF($C102&lt;1999,#REF!,(IF($C102&lt;4999,BW90,(IF($C102&lt;9999,BW91,(IF($C102&lt;14999,BW92,(IF($C102&lt;24999,BW93,(IF($C102&lt;49999,BW94,(IF($C102&lt;99999,BW95,(IF($C102&lt;249999,BW96,BW97)))))))))))))))</f>
        <v>66.54990145825353</v>
      </c>
      <c r="BX103" s="152">
        <f>IF($C102&lt;1999,#REF!,(IF($C102&lt;4999,BX90,(IF($C102&lt;9999,BX91,(IF($C102&lt;14999,BX92,(IF($C102&lt;24999,BX93,(IF($C102&lt;49999,BX94,(IF($C102&lt;99999,BX95,(IF($C102&lt;249999,BX96,BX97)))))))))))))))</f>
        <v>2.1053671909785132</v>
      </c>
      <c r="BY103" s="152">
        <f>IF($C102&lt;1999,#REF!,(IF($C102&lt;4999,BY90,(IF($C102&lt;9999,BY91,(IF($C102&lt;14999,BY92,(IF($C102&lt;24999,BY93,(IF($C102&lt;49999,BY94,(IF($C102&lt;99999,BY95,(IF($C102&lt;249999,BY96,BY97)))))))))))))))</f>
        <v>1.4846750649894689</v>
      </c>
      <c r="BZ103" s="151">
        <f>IF($C102&lt;1999,#REF!,(IF($C102&lt;4999,BZ90,(IF($C102&lt;9999,BZ91,(IF($C102&lt;14999,BZ92,(IF($C102&lt;24999,BZ93,(IF($C102&lt;49999,BZ94,(IF($C102&lt;99999,BZ95,(IF($C102&lt;249999,BZ96,BZ97)))))))))))))))</f>
        <v>944.79166666666663</v>
      </c>
      <c r="CA103" s="151">
        <f>IF($C102&lt;1999,#REF!,(IF($C102&lt;4999,CA90,(IF($C102&lt;9999,CA91,(IF($C102&lt;14999,CA92,(IF($C102&lt;24999,CA93,(IF($C102&lt;49999,CA94,(IF($C102&lt;99999,CA95,(IF($C102&lt;249999,CA96,CA97)))))))))))))))</f>
        <v>116.5</v>
      </c>
      <c r="CB103" s="151">
        <f>IF($C102&lt;1999,#REF!,(IF($C102&lt;4999,CB90,(IF($C102&lt;9999,CB91,(IF($C102&lt;14999,CB92,(IF($C102&lt;24999,CB93,(IF($C102&lt;49999,CB94,(IF($C102&lt;99999,CB95,(IF($C102&lt;249999,CB96,CB97)))))))))))))))</f>
        <v>483.33333333333331</v>
      </c>
      <c r="CC103" s="151">
        <f>IF($C102&lt;1999,#REF!,(IF($C102&lt;4999,CC90,(IF($C102&lt;9999,CC91,(IF($C102&lt;14999,CC92,(IF($C102&lt;24999,CC93,(IF($C102&lt;49999,CC94,(IF($C102&lt;99999,CC95,(IF($C102&lt;249999,CC96,CC97)))))))))))))))</f>
        <v>1544.625</v>
      </c>
      <c r="CD103" s="151">
        <f>IF($C102&lt;1999,#REF!,(IF($C102&lt;4999,CD90,(IF($C102&lt;9999,CD91,(IF($C102&lt;14999,CD92,(IF($C102&lt;24999,CD93,(IF($C102&lt;49999,CD94,(IF($C102&lt;99999,CD95,(IF($C102&lt;249999,CD96,CD97)))))))))))))))</f>
        <v>27250.083333333332</v>
      </c>
      <c r="CE103" s="151">
        <f>IF($C102&lt;1999,#REF!,(IF($C102&lt;4999,CE90,(IF($C102&lt;9999,CE91,(IF($C102&lt;14999,CE92,(IF($C102&lt;24999,CE93,(IF($C102&lt;49999,CE94,(IF($C102&lt;99999,CE95,(IF($C102&lt;249999,CE96,CE97)))))))))))))))</f>
        <v>2038.3333333333333</v>
      </c>
      <c r="CF103" s="151">
        <f>IF($C102&lt;1999,#REF!,(IF($C102&lt;4999,CF90,(IF($C102&lt;9999,CF91,(IF($C102&lt;14999,CF92,(IF($C102&lt;24999,CF93,(IF($C102&lt;49999,CF94,(IF($C102&lt;99999,CF95,(IF($C102&lt;249999,CF96,CF97)))))))))))))))</f>
        <v>9233.0833333333339</v>
      </c>
      <c r="CG103" s="151">
        <f>IF($C102&lt;1999,#REF!,(IF($C102&lt;4999,CG90,(IF($C102&lt;9999,CG91,(IF($C102&lt;14999,CG92,(IF($C102&lt;24999,CG93,(IF($C102&lt;49999,CG94,(IF($C102&lt;99999,CG95,(IF($C102&lt;249999,CG96,CG97)))))))))))))))</f>
        <v>38521.5</v>
      </c>
      <c r="CH103" s="152">
        <f>IF($C102&lt;1999,#REF!,(IF($C102&lt;4999,CH90,(IF($C102&lt;9999,CH91,(IF($C102&lt;14999,CH92,(IF($C102&lt;24999,CH93,(IF($C102&lt;49999,CH94,(IF($C102&lt;99999,CH95,(IF($C102&lt;249999,CH96,CH97)))))))))))))))</f>
        <v>0.23263483007667049</v>
      </c>
      <c r="CI103" s="151">
        <f>IF($C102&lt;1999,#REF!,(IF($C102&lt;4999,CI90,(IF($C102&lt;9999,CI91,(IF($C102&lt;14999,CI92,(IF($C102&lt;24999,CI93,(IF($C102&lt;49999,CI94,(IF($C102&lt;99999,CI95,(IF($C102&lt;249999,CI96,CI97)))))))))))))))</f>
        <v>430873.56666666665</v>
      </c>
      <c r="CJ103" s="152">
        <f>IF($C102&lt;1999,#REF!,(IF($C102&lt;4999,CJ90,(IF($C102&lt;9999,CJ91,(IF($C102&lt;14999,CJ92,(IF($C102&lt;24999,CJ93,(IF($C102&lt;49999,CJ94,(IF($C102&lt;99999,CJ95,(IF($C102&lt;249999,CJ96,CJ97)))))))))))))))</f>
        <v>1.6795977765857861</v>
      </c>
      <c r="CK103" s="151">
        <f>IF($C102&lt;1999,#REF!,(IF($C102&lt;4999,CK90,(IF($C102&lt;9999,CK91,(IF($C102&lt;14999,CK92,(IF($C102&lt;24999,CK93,(IF($C102&lt;49999,CK94,(IF($C102&lt;99999,CK95,(IF($C102&lt;249999,CK96,CK97)))))))))))))))</f>
        <v>86891.666666666672</v>
      </c>
      <c r="CL103" s="150">
        <f>IF($C102&lt;1999,#REF!,(IF($C102&lt;4999,CL90,(IF($C102&lt;9999,CL91,(IF($C102&lt;14999,CL92,(IF($C102&lt;24999,CL93,(IF($C102&lt;49999,CL94,(IF($C102&lt;99999,CL95,(IF($C102&lt;249999,CL96,CL97)))))))))))))))</f>
        <v>23</v>
      </c>
      <c r="CM103" s="150">
        <f>IF($C102&lt;1999,#REF!,(IF($C102&lt;4999,CM90,(IF($C102&lt;9999,CM91,(IF($C102&lt;14999,CM92,(IF($C102&lt;24999,CM93,(IF($C102&lt;49999,CM94,(IF($C102&lt;99999,CM95,(IF($C102&lt;249999,CM96,CM97)))))))))))))))</f>
        <v>24</v>
      </c>
      <c r="CN103" s="150">
        <f>IF($C102&lt;1999,#REF!,(IF($C102&lt;4999,CN90,(IF($C102&lt;9999,CN91,(IF($C102&lt;14999,CN92,(IF($C102&lt;24999,CN93,(IF($C102&lt;49999,CN94,(IF($C102&lt;99999,CN95,(IF($C102&lt;249999,CN96,CN97)))))))))))))))</f>
        <v>24</v>
      </c>
      <c r="CO103" s="212">
        <f>IF($C102&lt;1999,#REF!,(IF($C102&lt;4999,CO90,(IF($C102&lt;9999,CO91,(IF($C102&lt;14999,CO92,(IF($C102&lt;24999,CO93,(IF($C102&lt;49999,CO94,(IF($C102&lt;99999,CO95,(IF($C102&lt;249999,CO96,CO97)))))))))))))))</f>
        <v>8.3733333333333331</v>
      </c>
      <c r="CP103" s="151">
        <f>IF($C102&lt;1999,#REF!,(IF($C102&lt;4999,CP90,(IF($C102&lt;9999,CP91,(IF($C102&lt;14999,CP92,(IF($C102&lt;24999,CP93,(IF($C102&lt;49999,CP94,(IF($C102&lt;99999,CP95,(IF($C102&lt;249999,CP96,CP97)))))))))))))))</f>
        <v>25313.507204932135</v>
      </c>
      <c r="CQ103" s="212">
        <f>IF($C102&lt;1999,#REF!,(IF($C102&lt;4999,CQ90,(IF($C102&lt;9999,CQ91,(IF($C102&lt;14999,CQ92,(IF($C102&lt;24999,CQ93,(IF($C102&lt;49999,CQ94,(IF($C102&lt;99999,CQ95,(IF($C102&lt;249999,CQ96,CQ97)))))))))))))))</f>
        <v>1.2725</v>
      </c>
      <c r="CR103" s="212">
        <f>IF($C102&lt;1999,#REF!,(IF($C102&lt;4999,CR90,(IF($C102&lt;9999,CR91,(IF($C102&lt;14999,CR92,(IF($C102&lt;24999,CR93,(IF($C102&lt;49999,CR94,(IF($C102&lt;99999,CR95,(IF($C102&lt;249999,CR96,CR97)))))))))))))))</f>
        <v>33.805416666666666</v>
      </c>
      <c r="CS103" s="212">
        <f>IF($C102&lt;1999,#REF!,(IF($C102&lt;4999,CS90,(IF($C102&lt;9999,CS91,(IF($C102&lt;14999,CS92,(IF($C102&lt;24999,CS93,(IF($C102&lt;49999,CS94,(IF($C102&lt;99999,CS95,(IF($C102&lt;249999,CS96,CS97)))))))))))))))</f>
        <v>43.451249999999995</v>
      </c>
      <c r="CT103" s="151">
        <f>IF($C102&lt;1999,#REF!,(IF($C102&lt;4999,CT90,(IF($C102&lt;9999,CT91,(IF($C102&lt;14999,CT92,(IF($C102&lt;24999,CT93,(IF($C102&lt;49999,CT94,(IF($C102&lt;99999,CT95,(IF($C102&lt;249999,CT96,CT97)))))))))))))))</f>
        <v>4150.1961925210117</v>
      </c>
      <c r="CU103" s="151">
        <f>IF($C102&lt;1999,#REF!,(IF($C102&lt;4999,CU90,(IF($C102&lt;9999,CU91,(IF($C102&lt;14999,CU92,(IF($C102&lt;24999,CU93,(IF($C102&lt;49999,CU94,(IF($C102&lt;99999,CU95,(IF($C102&lt;249999,CU96,CU97)))))))))))))))</f>
        <v>2612.0279166666664</v>
      </c>
      <c r="CV103" s="168">
        <f>IF($C102&lt;1999,#REF!,(IF($C102&lt;4999,CV90,(IF($C102&lt;9999,CV91,(IF($C102&lt;14999,CV92,(IF($C102&lt;24999,CV93,(IF($C102&lt;49999,CV94,(IF($C102&lt;99999,CV95,(IF($C102&lt;249999,CV96,CV97)))))))))))))))</f>
        <v>88203.291666666672</v>
      </c>
      <c r="CW103" s="152">
        <f>IF($C102&lt;1999,#REF!,(IF($C102&lt;4999,CW90,(IF($C102&lt;9999,CW91,(IF($C102&lt;14999,CW92,(IF($C102&lt;24999,CW93,(IF($C102&lt;49999,CW94,(IF($C102&lt;99999,CW95,(IF($C102&lt;249999,CW96,CW97)))))))))))))))</f>
        <v>37.966666666666669</v>
      </c>
      <c r="CX103" s="150">
        <f>IF($C102&lt;1999,#REF!,(IF($C102&lt;4999,CX90,(IF($C102&lt;9999,CX91,(IF($C102&lt;14999,CX92,(IF($C102&lt;24999,CX93,(IF($C102&lt;49999,CX94,(IF($C102&lt;99999,CX95,(IF($C102&lt;249999,CX96,CX97)))))))))))))))</f>
        <v>23</v>
      </c>
      <c r="CY103" s="150">
        <f>IF($C102&lt;1999,#REF!,(IF($C102&lt;4999,CY90,(IF($C102&lt;9999,CY91,(IF($C102&lt;14999,CY92,(IF($C102&lt;24999,CY93,(IF($C102&lt;49999,CY94,(IF($C102&lt;99999,CY95,(IF($C102&lt;249999,CY96,CY97)))))))))))))))</f>
        <v>23</v>
      </c>
      <c r="CZ103" s="151">
        <f>IF($C102&lt;1999,#REF!,(IF($C102&lt;4999,CZ90,(IF($C102&lt;9999,CZ91,(IF($C102&lt;14999,CZ92,(IF($C102&lt;24999,CZ93,(IF($C102&lt;49999,CZ94,(IF($C102&lt;99999,CZ95,(IF($C102&lt;249999,CZ96,CZ97)))))))))))))))</f>
        <v>5871.166666666667</v>
      </c>
      <c r="DA103" s="151">
        <f>IF($C102&lt;1999,#REF!,(IF($C102&lt;4999,DA90,(IF($C102&lt;9999,DA91,(IF($C102&lt;14999,DA92,(IF($C102&lt;24999,DA93,(IF($C102&lt;49999,DA94,(IF($C102&lt;99999,DA95,(IF($C102&lt;249999,DA96,DA97)))))))))))))))</f>
        <v>6012</v>
      </c>
      <c r="DB103" s="186">
        <f>IF($C102&lt;1999,#REF!,(IF($C102&lt;4999,DB90,(IF($C102&lt;9999,DB91,(IF($C102&lt;14999,DB92,(IF($C102&lt;24999,DB93,(IF($C102&lt;49999,DB94,(IF($C102&lt;99999,DB95,(IF($C102&lt;249999,DB96,DB97)))))))))))))))</f>
        <v>107.58333333333333</v>
      </c>
      <c r="DC103" s="151">
        <f>IF($C102&lt;1999,#REF!,(IF($C102&lt;4999,DC90,(IF($C102&lt;9999,DC91,(IF($C102&lt;14999,DC92,(IF($C102&lt;24999,DC93,(IF($C102&lt;49999,DC94,(IF($C102&lt;99999,DC95,(IF($C102&lt;249999,DC96,DC97)))))))))))))))</f>
        <v>40301.708333333336</v>
      </c>
      <c r="DD103" s="151">
        <f>IF($C102&lt;1999,#REF!,(IF($C102&lt;4999,DD90,(IF($C102&lt;9999,DD91,(IF($C102&lt;14999,DD92,(IF($C102&lt;24999,DD93,(IF($C102&lt;49999,DD94,(IF($C102&lt;99999,DD95,(IF($C102&lt;249999,DD96,DD97)))))))))))))))</f>
        <v>38556.058823529413</v>
      </c>
      <c r="DE103" s="151">
        <f>IF($C102&lt;1999,#REF!,(IF($C102&lt;4999,DE90,(IF($C102&lt;9999,DE91,(IF($C102&lt;14999,DE92,(IF($C102&lt;24999,DE93,(IF($C102&lt;49999,DE94,(IF($C102&lt;99999,DE95,(IF($C102&lt;249999,DE96,DE97)))))))))))))))</f>
        <v>174723.23809523811</v>
      </c>
      <c r="DF103" s="151">
        <f>IF($C102&lt;1999,#REF!,(IF($C102&lt;4999,DF90,(IF($C102&lt;9999,DF91,(IF($C102&lt;14999,DF92,(IF($C102&lt;24999,DF93,(IF($C102&lt;49999,DF94,(IF($C102&lt;99999,DF95,(IF($C102&lt;249999,DF96,DF97)))))))))))))))</f>
        <v>14431.708333333334</v>
      </c>
      <c r="DG103" s="151">
        <f>IF($C102&lt;1999,#REF!,(IF($C102&lt;4999,DG90,(IF($C102&lt;9999,DG91,(IF($C102&lt;14999,DG92,(IF($C102&lt;24999,DG93,(IF($C102&lt;49999,DG94,(IF($C102&lt;99999,DG95,(IF($C102&lt;249999,DG96,DG97)))))))))))))))</f>
        <v>50.291666666666664</v>
      </c>
      <c r="DH103" s="151">
        <f>IF($C102&lt;1999,#REF!,(IF($C102&lt;4999,DH90,(IF($C102&lt;9999,DH91,(IF($C102&lt;14999,DH92,(IF($C102&lt;24999,DH93,(IF($C102&lt;49999,DH94,(IF($C102&lt;99999,DH95,(IF($C102&lt;249999,DH96,DH97)))))))))))))))</f>
        <v>9.0308723216088196E-2</v>
      </c>
      <c r="DI103" s="151">
        <f>IF($C102&lt;1999,#REF!,(IF($C102&lt;4999,DI90,(IF($C102&lt;9999,DI91,(IF($C102&lt;14999,DI92,(IF($C102&lt;24999,DI93,(IF($C102&lt;49999,DI94,(IF($C102&lt;99999,DI95,(IF($C102&lt;249999,DI96,DI97)))))))))))))))</f>
        <v>47.916666666666664</v>
      </c>
      <c r="DJ103" s="151">
        <f>IF($C102&lt;1999,#REF!,(IF($C102&lt;4999,DJ90,(IF($C102&lt;9999,DJ91,(IF($C102&lt;14999,DJ92,(IF($C102&lt;24999,DJ93,(IF($C102&lt;49999,DJ94,(IF($C102&lt;99999,DJ95,(IF($C102&lt;249999,DJ96,DJ97)))))))))))))))</f>
        <v>47.541666666666664</v>
      </c>
      <c r="DK103" s="151">
        <f>IF($C102&lt;1999,#REF!,(IF($C102&lt;4999,DK90,(IF($C102&lt;9999,DK91,(IF($C102&lt;14999,DK92,(IF($C102&lt;24999,DK93,(IF($C102&lt;49999,DK94,(IF($C102&lt;99999,DK95,(IF($C102&lt;249999,DK96,DK97)))))))))))))))</f>
        <v>3667</v>
      </c>
      <c r="DL103" s="151">
        <f>IF($C102&lt;1999,#REF!,(IF($C102&lt;4999,DL90,(IF($C102&lt;9999,DL91,(IF($C102&lt;14999,DL92,(IF($C102&lt;24999,DL93,(IF($C102&lt;49999,DL94,(IF($C102&lt;99999,DL95,(IF($C102&lt;249999,DL96,DL97)))))))))))))))</f>
        <v>11262.541666666666</v>
      </c>
      <c r="DM103" s="172"/>
      <c r="DN103" s="170"/>
      <c r="DO103" s="150"/>
      <c r="DS103" s="152"/>
      <c r="DT103" s="157"/>
      <c r="DW103" s="152">
        <f>IF($C102&lt;1999,#REF!,(IF($C102&lt;4999,DW90,(IF($C102&lt;9999,DW91,(IF($C102&lt;14999,DW92,(IF($C102&lt;24999,DW93,(IF($C102&lt;49999,DW94,(IF($C102&lt;99999,DW95,(IF($C102&lt;249999,DW96,DW97)))))))))))))))</f>
        <v>0.96885529022714534</v>
      </c>
      <c r="DX103" s="152">
        <f>IF($C102&lt;1999,#REF!,(IF($C102&lt;4999,DX90,(IF($C102&lt;9999,DX91,(IF($C102&lt;14999,DX92,(IF($C102&lt;24999,DX93,(IF($C102&lt;49999,DX94,(IF($C102&lt;99999,DX95,(IF($C102&lt;249999,DX96,DX97)))))))))))))))</f>
        <v>0</v>
      </c>
      <c r="DY103" s="152">
        <f>IF($C102&lt;1999,#REF!,(IF($C102&lt;4999,DY90,(IF($C102&lt;9999,DY91,(IF($C102&lt;14999,DY92,(IF($C102&lt;24999,DY93,(IF($C102&lt;49999,DY94,(IF($C102&lt;99999,DY95,(IF($C102&lt;249999,DY96,DY97)))))))))))))))</f>
        <v>2.3251697596805201</v>
      </c>
      <c r="DZ103" s="152">
        <f>IF($C102&lt;1999,#REF!,(IF($C102&lt;4999,DZ90,(IF($C102&lt;9999,DZ91,(IF($C102&lt;14999,DZ92,(IF($C102&lt;24999,DZ93,(IF($C102&lt;49999,DZ94,(IF($C102&lt;99999,DZ95,(IF($C102&lt;249999,DZ96,DZ97)))))))))))))))</f>
        <v>1.2093699062673979</v>
      </c>
      <c r="EA103" s="153">
        <f>IF($C102&lt;1999,#REF!,(IF($C102&lt;4999,EA90,(IF($C102&lt;9999,EA91,(IF($C102&lt;14999,EA92,(IF($C102&lt;24999,EA93,(IF($C102&lt;49999,EA94,(IF($C102&lt;99999,EA95,(IF($C102&lt;249999,EA96,EA97)))))))))))))))</f>
        <v>0.35300887941788955</v>
      </c>
      <c r="EB103" s="153">
        <f>IF($C102&lt;1999,#REF!,(IF($C102&lt;4999,EB90,(IF($C102&lt;9999,EB91,(IF($C102&lt;14999,EB92,(IF($C102&lt;24999,EB93,(IF($C102&lt;49999,EB94,(IF($C102&lt;99999,EB95,(IF($C102&lt;249999,EB96,EB97)))))))))))))))</f>
        <v>0.35750312901273357</v>
      </c>
    </row>
    <row r="104" spans="1:132" ht="14.4" thickBot="1" x14ac:dyDescent="0.35">
      <c r="B104" s="140" t="s">
        <v>16</v>
      </c>
      <c r="C104" s="151">
        <f>AVERAGE(C2:C83)</f>
        <v>126853.17073170732</v>
      </c>
      <c r="D104" s="151">
        <f>AVERAGE(D2:D83)</f>
        <v>3.8536585365853657</v>
      </c>
      <c r="E104" s="151">
        <f>AVERAGE(E2:E83)</f>
        <v>0.24390243902439024</v>
      </c>
      <c r="F104" s="151">
        <f>AVERAGE(F2:F83)</f>
        <v>57349.304878048781</v>
      </c>
      <c r="G104" s="257">
        <f>SUM(G2:G83)/339</f>
        <v>0</v>
      </c>
      <c r="H104" s="151">
        <f t="shared" ref="H104:AB104" si="160">AVERAGE(H2:H83)</f>
        <v>57349.304878048781</v>
      </c>
      <c r="I104" s="152">
        <f t="shared" si="160"/>
        <v>0.55860402439024393</v>
      </c>
      <c r="J104" s="168">
        <f t="shared" si="160"/>
        <v>1506575.2195121951</v>
      </c>
      <c r="K104" s="168">
        <f t="shared" si="160"/>
        <v>617046.46341463411</v>
      </c>
      <c r="L104" s="168">
        <f t="shared" si="160"/>
        <v>2123621.6829268294</v>
      </c>
      <c r="M104" s="153">
        <f t="shared" si="160"/>
        <v>17.437238764081602</v>
      </c>
      <c r="N104" s="168">
        <f t="shared" si="160"/>
        <v>198577.89146341462</v>
      </c>
      <c r="O104" s="168">
        <f t="shared" si="160"/>
        <v>111500.88182926827</v>
      </c>
      <c r="P104" s="168">
        <f t="shared" si="160"/>
        <v>26027.300365853658</v>
      </c>
      <c r="Q104" s="168">
        <f t="shared" si="160"/>
        <v>336106.0736585366</v>
      </c>
      <c r="R104" s="153">
        <f t="shared" si="160"/>
        <v>2.4539138888612335</v>
      </c>
      <c r="S104" s="168">
        <f t="shared" si="160"/>
        <v>527219.00073170732</v>
      </c>
      <c r="T104" s="168">
        <f t="shared" si="160"/>
        <v>2986946.7573170732</v>
      </c>
      <c r="U104" s="168">
        <f t="shared" si="160"/>
        <v>1185.3048780487804</v>
      </c>
      <c r="V104" s="168">
        <f t="shared" si="160"/>
        <v>2986946.7573170732</v>
      </c>
      <c r="W104" s="153">
        <f t="shared" si="160"/>
        <v>23.990049306525083</v>
      </c>
      <c r="X104" s="154">
        <f t="shared" si="160"/>
        <v>0.73261416898678755</v>
      </c>
      <c r="Y104" s="154">
        <f t="shared" si="160"/>
        <v>0.10030630260243596</v>
      </c>
      <c r="Z104" s="154">
        <f t="shared" si="160"/>
        <v>0.16707952841077636</v>
      </c>
      <c r="AA104" s="154">
        <f t="shared" si="160"/>
        <v>6.7454827715878103E-4</v>
      </c>
      <c r="AB104" s="168">
        <f t="shared" si="160"/>
        <v>537127.39024390245</v>
      </c>
      <c r="AC104" s="168">
        <f>AVERAGE(AF2:AF83)</f>
        <v>2986946.7573170732</v>
      </c>
      <c r="AD104" s="168">
        <f>AVERAGE(AG2:AG83)</f>
        <v>2475912.5487804879</v>
      </c>
      <c r="AE104" s="168" t="e">
        <f>AVERAGE(AE2:AE83)</f>
        <v>#DIV/0!</v>
      </c>
      <c r="AF104" s="168" t="e">
        <f>AVERAGE(#REF!)</f>
        <v>#REF!</v>
      </c>
      <c r="AG104" s="168" t="e">
        <f>AVERAGE(#REF!)</f>
        <v>#REF!</v>
      </c>
      <c r="AH104" s="168" t="e">
        <f t="shared" ref="AH104:BM104" si="161">AVERAGE(AH2:AH83)</f>
        <v>#DIV/0!</v>
      </c>
      <c r="AI104" s="168">
        <f t="shared" si="161"/>
        <v>5462859.3060975615</v>
      </c>
      <c r="AJ104" s="153">
        <f t="shared" si="161"/>
        <v>38.851330074472422</v>
      </c>
      <c r="AK104" s="168">
        <f t="shared" si="161"/>
        <v>175801.30487804877</v>
      </c>
      <c r="AL104" s="168">
        <f t="shared" si="161"/>
        <v>19149.658536585364</v>
      </c>
      <c r="AM104" s="168">
        <f t="shared" si="161"/>
        <v>183932.21951219512</v>
      </c>
      <c r="AN104" s="168" t="e">
        <f t="shared" si="161"/>
        <v>#DIV/0!</v>
      </c>
      <c r="AO104" s="168">
        <f t="shared" si="161"/>
        <v>183932.21951219512</v>
      </c>
      <c r="AP104" s="168">
        <f t="shared" si="161"/>
        <v>3204220.5975609757</v>
      </c>
      <c r="AQ104" s="153">
        <f t="shared" si="161"/>
        <v>25.396720968539146</v>
      </c>
      <c r="AR104" s="168" t="e">
        <f t="shared" si="161"/>
        <v>#DIV/0!</v>
      </c>
      <c r="AS104" s="168">
        <f t="shared" si="161"/>
        <v>216232.91463414635</v>
      </c>
      <c r="AT104" s="168">
        <f t="shared" si="161"/>
        <v>0</v>
      </c>
      <c r="AU104" s="168">
        <f t="shared" si="161"/>
        <v>5487.8048780487807</v>
      </c>
      <c r="AV104" s="168">
        <f t="shared" si="161"/>
        <v>1757.7560975609756</v>
      </c>
      <c r="AW104" s="168" t="e">
        <f t="shared" si="161"/>
        <v>#DIV/0!</v>
      </c>
      <c r="AX104" s="168">
        <f t="shared" si="161"/>
        <v>11802.304878048781</v>
      </c>
      <c r="AY104" s="168">
        <f t="shared" si="161"/>
        <v>235280.78048780488</v>
      </c>
      <c r="AZ104" s="151">
        <f t="shared" si="161"/>
        <v>183066.81707317074</v>
      </c>
      <c r="BA104" s="152">
        <f t="shared" si="161"/>
        <v>1.8303539087647127</v>
      </c>
      <c r="BB104" s="151">
        <f t="shared" si="161"/>
        <v>7535.1219512195121</v>
      </c>
      <c r="BC104" s="151">
        <f t="shared" si="161"/>
        <v>7535.1219512195121</v>
      </c>
      <c r="BD104" s="151">
        <f t="shared" si="161"/>
        <v>11333.439024390244</v>
      </c>
      <c r="BE104" s="151">
        <f t="shared" si="161"/>
        <v>2974.9268292682927</v>
      </c>
      <c r="BF104" s="151">
        <f t="shared" si="161"/>
        <v>121234.4756097561</v>
      </c>
      <c r="BG104" s="151">
        <f t="shared" si="161"/>
        <v>6.2073170731707314</v>
      </c>
      <c r="BH104" s="151">
        <f t="shared" si="161"/>
        <v>89</v>
      </c>
      <c r="BI104" s="151">
        <f t="shared" si="161"/>
        <v>0</v>
      </c>
      <c r="BJ104" s="151">
        <f t="shared" si="161"/>
        <v>95.207317073170728</v>
      </c>
      <c r="BK104" s="151">
        <f t="shared" si="161"/>
        <v>356594.40243902442</v>
      </c>
      <c r="BL104" s="152">
        <f t="shared" si="161"/>
        <v>5.289919482323227</v>
      </c>
      <c r="BM104" s="151">
        <f t="shared" si="161"/>
        <v>175</v>
      </c>
      <c r="BN104" s="151">
        <f t="shared" ref="BN104:CH104" si="162">AVERAGE(BN2:BN83)</f>
        <v>68252.629629629635</v>
      </c>
      <c r="BO104" s="152">
        <f t="shared" si="162"/>
        <v>0.48077898841289152</v>
      </c>
      <c r="BP104" s="151">
        <f t="shared" si="162"/>
        <v>213470.43902439025</v>
      </c>
      <c r="BQ104" s="151">
        <f t="shared" si="162"/>
        <v>0</v>
      </c>
      <c r="BR104" s="151">
        <f t="shared" si="162"/>
        <v>403820.90243902442</v>
      </c>
      <c r="BS104" s="151">
        <f t="shared" si="162"/>
        <v>356301.15853658534</v>
      </c>
      <c r="BT104" s="151">
        <f t="shared" si="162"/>
        <v>760122.06097560981</v>
      </c>
      <c r="BU104" s="152">
        <f t="shared" si="162"/>
        <v>4.2170592216911889</v>
      </c>
      <c r="BV104" s="151">
        <f t="shared" si="162"/>
        <v>12440.601421887757</v>
      </c>
      <c r="BW104" s="152">
        <f t="shared" si="162"/>
        <v>64.645577353638927</v>
      </c>
      <c r="BX104" s="152">
        <f t="shared" si="162"/>
        <v>1.9800662230484027</v>
      </c>
      <c r="BY104" s="152">
        <f t="shared" si="162"/>
        <v>1.275205534905776</v>
      </c>
      <c r="BZ104" s="151">
        <f t="shared" si="162"/>
        <v>833.93902439024396</v>
      </c>
      <c r="CA104" s="151">
        <f t="shared" si="162"/>
        <v>117.58536585365853</v>
      </c>
      <c r="CB104" s="151">
        <f t="shared" si="162"/>
        <v>379.1219512195122</v>
      </c>
      <c r="CC104" s="151">
        <f t="shared" si="162"/>
        <v>1330.6463414634147</v>
      </c>
      <c r="CD104" s="151">
        <f t="shared" si="162"/>
        <v>24046.036585365855</v>
      </c>
      <c r="CE104" s="151">
        <f t="shared" si="162"/>
        <v>1778.3414634146341</v>
      </c>
      <c r="CF104" s="151">
        <f t="shared" si="162"/>
        <v>5947.8780487804879</v>
      </c>
      <c r="CG104" s="151">
        <f t="shared" si="162"/>
        <v>31772.256097560974</v>
      </c>
      <c r="CH104" s="152">
        <f t="shared" si="162"/>
        <v>0.25252810133774278</v>
      </c>
      <c r="CI104" s="151">
        <v>128973.69797421731</v>
      </c>
      <c r="CJ104" s="152">
        <f>AVERAGE(CJ2:CJ83)</f>
        <v>2.1265207958881884</v>
      </c>
      <c r="CK104" s="151">
        <f>AVERAGE(CK2:CK83)</f>
        <v>70900.036585365859</v>
      </c>
      <c r="CL104" s="185"/>
      <c r="CM104" s="185"/>
      <c r="CN104" s="185"/>
      <c r="CO104" s="212">
        <f t="shared" ref="CO104:CW104" si="163">AVERAGE(CO2:CO83)</f>
        <v>9.4025609756097559</v>
      </c>
      <c r="CP104" s="151">
        <f t="shared" si="163"/>
        <v>16132.899857650826</v>
      </c>
      <c r="CQ104" s="212">
        <f t="shared" si="163"/>
        <v>0.72158536585365851</v>
      </c>
      <c r="CR104" s="212">
        <f t="shared" si="163"/>
        <v>27.930731707317076</v>
      </c>
      <c r="CS104" s="212">
        <f t="shared" si="163"/>
        <v>38.054878048780481</v>
      </c>
      <c r="CT104" s="151">
        <f t="shared" si="163"/>
        <v>3494.5780374933361</v>
      </c>
      <c r="CU104" s="151">
        <f t="shared" si="163"/>
        <v>2097.8565822784808</v>
      </c>
      <c r="CV104" s="168">
        <f t="shared" si="163"/>
        <v>80521.951280487803</v>
      </c>
      <c r="CW104" s="152">
        <f t="shared" si="163"/>
        <v>37.307317073170729</v>
      </c>
      <c r="CX104" s="185"/>
      <c r="CY104" s="185"/>
      <c r="CZ104" s="151">
        <f t="shared" ref="CZ104:DJ104" si="164">AVERAGE(CZ2:CZ83)</f>
        <v>5310.2439024390242</v>
      </c>
      <c r="DA104" s="151">
        <f t="shared" si="164"/>
        <v>5148.1585365853662</v>
      </c>
      <c r="DB104" s="151">
        <f t="shared" si="164"/>
        <v>91.939024390243901</v>
      </c>
      <c r="DC104" s="151">
        <f t="shared" si="164"/>
        <v>39539.817073170729</v>
      </c>
      <c r="DD104" s="151">
        <f t="shared" si="164"/>
        <v>86914.357142857145</v>
      </c>
      <c r="DE104" s="151">
        <f t="shared" si="164"/>
        <v>541093.92753623193</v>
      </c>
      <c r="DF104" s="151">
        <f t="shared" si="164"/>
        <v>11596.707317073171</v>
      </c>
      <c r="DG104" s="151">
        <f t="shared" si="164"/>
        <v>50.524390243902438</v>
      </c>
      <c r="DH104" s="151">
        <f t="shared" si="164"/>
        <v>0.13537368983226386</v>
      </c>
      <c r="DI104" s="151">
        <f t="shared" si="164"/>
        <v>45.975609756097562</v>
      </c>
      <c r="DJ104" s="151">
        <f t="shared" si="164"/>
        <v>45.780487804878049</v>
      </c>
      <c r="DK104" s="256">
        <f>SUM(DK2:DK84)/339</f>
        <v>1057.6047197640119</v>
      </c>
      <c r="DL104" s="151">
        <f>AVERAGE(DL2:DL83)</f>
        <v>8970.0060975609758</v>
      </c>
      <c r="DM104" s="172"/>
      <c r="DN104" s="170"/>
      <c r="DO104" s="150"/>
      <c r="DS104" s="152"/>
      <c r="DT104" s="157"/>
      <c r="DW104" s="152">
        <f t="shared" ref="DW104:EB104" si="165">AVERAGE(DW2:DW83)</f>
        <v>1.2707104774760776</v>
      </c>
      <c r="DX104" s="152">
        <f t="shared" si="165"/>
        <v>0</v>
      </c>
      <c r="DY104" s="232">
        <f t="shared" si="165"/>
        <v>2.7663975973874755</v>
      </c>
      <c r="DZ104" s="152">
        <f t="shared" si="165"/>
        <v>1.4506616243037131</v>
      </c>
      <c r="EA104" s="153">
        <f t="shared" si="165"/>
        <v>0.49983097653631681</v>
      </c>
      <c r="EB104" s="153">
        <f t="shared" si="165"/>
        <v>0.53005193551369711</v>
      </c>
    </row>
    <row r="107" spans="1:132" s="152" customFormat="1" x14ac:dyDescent="0.3">
      <c r="C107" s="151"/>
      <c r="D107" s="151"/>
      <c r="E107" s="164"/>
      <c r="F107" s="151"/>
      <c r="G107" s="75"/>
      <c r="H107" s="151"/>
      <c r="I107" s="165"/>
      <c r="J107" s="198"/>
      <c r="K107" s="198"/>
      <c r="L107" s="198"/>
      <c r="M107" s="153"/>
      <c r="N107" s="198"/>
      <c r="O107" s="198"/>
      <c r="P107" s="198"/>
      <c r="Q107" s="198"/>
      <c r="R107" s="153"/>
      <c r="S107" s="198"/>
      <c r="T107" s="198"/>
      <c r="U107" s="198"/>
      <c r="V107" s="198"/>
      <c r="W107" s="153"/>
      <c r="X107" s="154"/>
      <c r="Y107" s="154"/>
      <c r="Z107" s="154"/>
      <c r="AA107" s="154"/>
      <c r="AB107" s="215"/>
      <c r="AC107" s="215"/>
      <c r="AD107" s="215"/>
      <c r="AE107" s="215"/>
      <c r="AF107" s="215"/>
      <c r="AG107" s="215"/>
      <c r="AH107" s="215"/>
      <c r="AI107" s="215"/>
      <c r="AJ107" s="153"/>
      <c r="AK107" s="215"/>
      <c r="AL107" s="168"/>
      <c r="AM107" s="168"/>
      <c r="AN107" s="168"/>
      <c r="AO107" s="168"/>
      <c r="AP107" s="168"/>
      <c r="AQ107" s="153"/>
      <c r="AR107" s="168"/>
      <c r="AS107" s="168"/>
      <c r="AT107" s="168"/>
      <c r="AU107" s="168"/>
      <c r="AV107" s="168"/>
      <c r="AW107" s="168"/>
      <c r="AX107" s="168"/>
      <c r="AY107" s="168"/>
      <c r="AZ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  <c r="BM107" s="151"/>
      <c r="BN107" s="151"/>
      <c r="BP107" s="151"/>
      <c r="BQ107" s="151"/>
      <c r="BR107" s="151"/>
      <c r="BS107" s="151"/>
      <c r="BT107" s="151"/>
      <c r="BU107" s="188"/>
      <c r="BV107" s="151"/>
      <c r="BW107" s="165"/>
      <c r="BX107" s="165"/>
      <c r="BY107" s="165"/>
      <c r="BZ107" s="151"/>
      <c r="CA107" s="151"/>
      <c r="CB107" s="151"/>
      <c r="CC107" s="151"/>
      <c r="CD107" s="151"/>
      <c r="CE107" s="151"/>
      <c r="CF107" s="151"/>
      <c r="CG107" s="151"/>
      <c r="CI107" s="151"/>
      <c r="CK107" s="151"/>
      <c r="CM107" s="189"/>
      <c r="CN107" s="189"/>
      <c r="CO107" s="220"/>
      <c r="CP107" s="151"/>
      <c r="CQ107" s="212"/>
      <c r="CR107" s="212"/>
      <c r="CS107" s="212"/>
      <c r="CT107" s="151"/>
      <c r="CU107" s="151"/>
      <c r="CV107" s="168"/>
      <c r="CY107" s="189"/>
      <c r="CZ107" s="186"/>
      <c r="DA107" s="151"/>
      <c r="DB107" s="151"/>
      <c r="DC107" s="186"/>
      <c r="DD107" s="151"/>
      <c r="DE107" s="151"/>
      <c r="DF107" s="151"/>
      <c r="DG107" s="151"/>
      <c r="DH107" s="151"/>
      <c r="DI107" s="151"/>
      <c r="DJ107" s="151"/>
      <c r="DK107" s="151"/>
      <c r="DL107" s="151"/>
      <c r="DM107" s="190"/>
      <c r="DO107" s="189"/>
      <c r="DP107" s="189"/>
      <c r="EA107" s="153"/>
      <c r="EB107" s="153"/>
    </row>
    <row r="109" spans="1:132" x14ac:dyDescent="0.3">
      <c r="A109" s="234"/>
      <c r="B109" s="234">
        <v>2</v>
      </c>
      <c r="C109" s="235">
        <v>3</v>
      </c>
      <c r="D109" s="235">
        <v>4</v>
      </c>
      <c r="E109" s="234">
        <v>5</v>
      </c>
      <c r="F109" s="235">
        <v>6</v>
      </c>
      <c r="G109" s="234">
        <v>7</v>
      </c>
      <c r="H109" s="235">
        <v>8</v>
      </c>
      <c r="I109" s="235">
        <v>9</v>
      </c>
      <c r="J109" s="234">
        <v>10</v>
      </c>
      <c r="K109" s="235">
        <v>11</v>
      </c>
      <c r="L109" s="234">
        <v>12</v>
      </c>
      <c r="M109" s="235">
        <v>13</v>
      </c>
      <c r="N109" s="235">
        <v>14</v>
      </c>
      <c r="O109" s="234">
        <v>15</v>
      </c>
      <c r="P109" s="235">
        <v>16</v>
      </c>
      <c r="Q109" s="234">
        <v>17</v>
      </c>
      <c r="R109" s="235">
        <v>18</v>
      </c>
      <c r="S109" s="235">
        <v>19</v>
      </c>
      <c r="T109" s="234">
        <v>20</v>
      </c>
      <c r="U109" s="235">
        <v>21</v>
      </c>
      <c r="V109" s="234">
        <v>22</v>
      </c>
      <c r="W109" s="235">
        <v>23</v>
      </c>
      <c r="X109" s="235">
        <v>24</v>
      </c>
      <c r="Y109" s="234">
        <v>25</v>
      </c>
      <c r="Z109" s="235">
        <v>26</v>
      </c>
      <c r="AA109" s="234">
        <v>27</v>
      </c>
      <c r="AB109" s="235">
        <v>28</v>
      </c>
      <c r="AC109" s="235">
        <v>29</v>
      </c>
      <c r="AD109" s="234">
        <v>30</v>
      </c>
      <c r="AE109" s="235">
        <v>31</v>
      </c>
      <c r="AF109" s="234">
        <v>32</v>
      </c>
      <c r="AG109" s="235">
        <v>33</v>
      </c>
      <c r="AH109" s="235">
        <v>34</v>
      </c>
      <c r="AI109" s="234">
        <v>35</v>
      </c>
      <c r="AJ109" s="235">
        <v>36</v>
      </c>
      <c r="AK109" s="234">
        <v>37</v>
      </c>
      <c r="AL109" s="235">
        <v>38</v>
      </c>
      <c r="AM109" s="235">
        <v>39</v>
      </c>
      <c r="AN109" s="234">
        <v>40</v>
      </c>
      <c r="AO109" s="235">
        <v>41</v>
      </c>
      <c r="AP109" s="234">
        <v>42</v>
      </c>
      <c r="AQ109" s="235">
        <v>43</v>
      </c>
      <c r="AR109" s="235">
        <v>44</v>
      </c>
      <c r="AS109" s="234">
        <v>45</v>
      </c>
      <c r="AT109" s="235">
        <v>46</v>
      </c>
      <c r="AU109" s="234">
        <v>47</v>
      </c>
      <c r="AV109" s="235">
        <v>48</v>
      </c>
      <c r="AW109" s="235">
        <v>49</v>
      </c>
      <c r="AX109" s="234">
        <v>50</v>
      </c>
      <c r="AY109" s="235">
        <v>51</v>
      </c>
      <c r="AZ109" s="234">
        <v>52</v>
      </c>
      <c r="BA109" s="235">
        <v>53</v>
      </c>
      <c r="BB109" s="235">
        <v>54</v>
      </c>
      <c r="BC109" s="234">
        <v>55</v>
      </c>
      <c r="BD109" s="235">
        <v>56</v>
      </c>
      <c r="BE109" s="234">
        <v>57</v>
      </c>
      <c r="BF109" s="235">
        <v>58</v>
      </c>
      <c r="BG109" s="235">
        <v>59</v>
      </c>
      <c r="BH109" s="234">
        <v>60</v>
      </c>
      <c r="BI109" s="235">
        <v>61</v>
      </c>
      <c r="BJ109" s="234">
        <v>62</v>
      </c>
      <c r="BK109" s="235">
        <v>63</v>
      </c>
      <c r="BL109" s="235">
        <v>64</v>
      </c>
      <c r="BM109" s="234">
        <v>65</v>
      </c>
      <c r="BN109" s="235">
        <v>66</v>
      </c>
      <c r="BO109" s="234">
        <v>67</v>
      </c>
      <c r="BP109" s="235">
        <v>68</v>
      </c>
      <c r="BQ109" s="235">
        <v>69</v>
      </c>
      <c r="BR109" s="234">
        <v>70</v>
      </c>
      <c r="BS109" s="235">
        <v>71</v>
      </c>
      <c r="BT109" s="234">
        <v>72</v>
      </c>
      <c r="BU109" s="235">
        <v>73</v>
      </c>
      <c r="BV109" s="235">
        <v>74</v>
      </c>
      <c r="BW109" s="234">
        <v>75</v>
      </c>
      <c r="BX109" s="235">
        <v>76</v>
      </c>
      <c r="BY109" s="234">
        <v>77</v>
      </c>
      <c r="BZ109" s="235">
        <v>78</v>
      </c>
      <c r="CA109" s="235">
        <v>79</v>
      </c>
      <c r="CB109" s="234">
        <v>80</v>
      </c>
      <c r="CC109" s="235">
        <v>81</v>
      </c>
      <c r="CD109" s="234">
        <v>82</v>
      </c>
      <c r="CE109" s="235">
        <v>83</v>
      </c>
      <c r="CF109" s="235">
        <v>84</v>
      </c>
      <c r="CG109" s="234">
        <v>85</v>
      </c>
      <c r="CH109" s="235">
        <v>86</v>
      </c>
      <c r="CI109" s="234">
        <v>87</v>
      </c>
      <c r="CJ109" s="235">
        <v>88</v>
      </c>
      <c r="CK109" s="235">
        <v>89</v>
      </c>
      <c r="CL109" s="234">
        <v>90</v>
      </c>
      <c r="CM109" s="235">
        <v>91</v>
      </c>
      <c r="CN109" s="234">
        <v>92</v>
      </c>
      <c r="CO109" s="235">
        <v>93</v>
      </c>
      <c r="CP109" s="235">
        <v>94</v>
      </c>
      <c r="CQ109" s="234">
        <v>95</v>
      </c>
      <c r="CR109" s="235">
        <v>96</v>
      </c>
      <c r="CS109" s="234">
        <v>97</v>
      </c>
      <c r="CT109" s="235">
        <v>98</v>
      </c>
      <c r="CU109" s="235">
        <v>99</v>
      </c>
      <c r="CV109" s="234">
        <v>100</v>
      </c>
      <c r="CW109" s="235">
        <v>101</v>
      </c>
      <c r="CX109" s="234">
        <v>102</v>
      </c>
      <c r="CY109" s="235">
        <v>103</v>
      </c>
      <c r="CZ109" s="235">
        <v>104</v>
      </c>
      <c r="DA109" s="234">
        <v>105</v>
      </c>
      <c r="DB109" s="235">
        <v>106</v>
      </c>
      <c r="DC109" s="234">
        <v>107</v>
      </c>
      <c r="DD109" s="235">
        <v>108</v>
      </c>
      <c r="DE109" s="235">
        <v>109</v>
      </c>
      <c r="DF109" s="234">
        <v>110</v>
      </c>
      <c r="DG109" s="235">
        <v>111</v>
      </c>
      <c r="DH109" s="234">
        <v>112</v>
      </c>
      <c r="DI109" s="235">
        <v>113</v>
      </c>
      <c r="DJ109" s="235">
        <v>114</v>
      </c>
      <c r="DK109" s="234">
        <v>115</v>
      </c>
      <c r="DL109" s="235">
        <v>116</v>
      </c>
      <c r="DM109" s="234">
        <v>117</v>
      </c>
      <c r="DN109" s="235">
        <v>118</v>
      </c>
      <c r="DO109" s="235">
        <v>119</v>
      </c>
      <c r="DP109" s="234">
        <v>120</v>
      </c>
      <c r="DQ109" s="235">
        <v>121</v>
      </c>
      <c r="DR109" s="234">
        <v>122</v>
      </c>
      <c r="DS109" s="235">
        <v>123</v>
      </c>
      <c r="DT109" s="235">
        <v>124</v>
      </c>
      <c r="DU109" s="234">
        <v>125</v>
      </c>
      <c r="DV109" s="235">
        <v>126</v>
      </c>
      <c r="DW109" s="234">
        <v>127</v>
      </c>
      <c r="DX109" s="235">
        <v>128</v>
      </c>
      <c r="DY109" s="235">
        <v>129</v>
      </c>
      <c r="DZ109" s="234">
        <v>130</v>
      </c>
      <c r="EA109" s="235">
        <v>131</v>
      </c>
      <c r="EB109" s="234">
        <v>132</v>
      </c>
    </row>
    <row r="110" spans="1:132" s="191" customFormat="1" ht="14.4" thickBot="1" x14ac:dyDescent="0.35">
      <c r="C110" s="194"/>
      <c r="D110" s="194"/>
      <c r="E110" s="214"/>
      <c r="F110" s="194"/>
      <c r="G110" s="75"/>
      <c r="H110" s="194"/>
      <c r="I110" s="202"/>
      <c r="J110" s="209"/>
      <c r="K110" s="209"/>
      <c r="L110" s="209"/>
      <c r="M110" s="193"/>
      <c r="N110" s="209"/>
      <c r="O110" s="209"/>
      <c r="P110" s="209"/>
      <c r="Q110" s="209"/>
      <c r="R110" s="193"/>
      <c r="S110" s="209"/>
      <c r="T110" s="209"/>
      <c r="U110" s="209"/>
      <c r="V110" s="209"/>
      <c r="W110" s="193"/>
      <c r="X110" s="192"/>
      <c r="Y110" s="192"/>
      <c r="Z110" s="192"/>
      <c r="AA110" s="192"/>
      <c r="AB110" s="209"/>
      <c r="AC110" s="209"/>
      <c r="AD110" s="209"/>
      <c r="AE110" s="209"/>
      <c r="AF110" s="209"/>
      <c r="AG110" s="209"/>
      <c r="AH110" s="209"/>
      <c r="AI110" s="209"/>
      <c r="AJ110" s="193"/>
      <c r="AK110" s="209"/>
      <c r="AL110" s="209"/>
      <c r="AM110" s="209"/>
      <c r="AN110" s="209"/>
      <c r="AO110" s="209"/>
      <c r="AP110" s="209"/>
      <c r="AQ110" s="193"/>
      <c r="AR110" s="209"/>
      <c r="AS110" s="209"/>
      <c r="AT110" s="209"/>
      <c r="AU110" s="209"/>
      <c r="AV110" s="209"/>
      <c r="AW110" s="209"/>
      <c r="AX110" s="209"/>
      <c r="AY110" s="209"/>
      <c r="AZ110" s="194"/>
      <c r="BA110" s="203"/>
      <c r="BB110" s="194"/>
      <c r="BC110" s="194"/>
      <c r="BD110" s="194"/>
      <c r="BE110" s="194"/>
      <c r="BF110" s="194"/>
      <c r="BG110" s="194"/>
      <c r="BH110" s="194"/>
      <c r="BI110" s="194"/>
      <c r="BJ110" s="194"/>
      <c r="BK110" s="194"/>
      <c r="BL110" s="203"/>
      <c r="BM110" s="194"/>
      <c r="BN110" s="194"/>
      <c r="BO110" s="203"/>
      <c r="BP110" s="194"/>
      <c r="BQ110" s="194"/>
      <c r="BR110" s="194"/>
      <c r="BS110" s="194"/>
      <c r="BT110" s="194"/>
      <c r="BU110" s="217"/>
      <c r="BV110" s="194"/>
      <c r="BW110" s="202"/>
      <c r="BX110" s="202"/>
      <c r="BY110" s="202"/>
      <c r="BZ110" s="194"/>
      <c r="CA110" s="194"/>
      <c r="CB110" s="194"/>
      <c r="CC110" s="194"/>
      <c r="CD110" s="194"/>
      <c r="CE110" s="194"/>
      <c r="CF110" s="194"/>
      <c r="CG110" s="194"/>
      <c r="CH110" s="203"/>
      <c r="CI110" s="194"/>
      <c r="CJ110" s="203"/>
      <c r="CK110" s="194"/>
      <c r="CM110" s="195"/>
      <c r="CN110" s="195"/>
      <c r="CO110" s="221"/>
      <c r="CP110" s="194"/>
      <c r="CQ110" s="224"/>
      <c r="CR110" s="224"/>
      <c r="CS110" s="224"/>
      <c r="CT110" s="194"/>
      <c r="CU110" s="194"/>
      <c r="CV110" s="209"/>
      <c r="CW110" s="203"/>
      <c r="CY110" s="195"/>
      <c r="CZ110" s="196"/>
      <c r="DA110" s="194"/>
      <c r="DB110" s="194"/>
      <c r="DC110" s="196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7"/>
      <c r="DO110" s="195"/>
      <c r="DP110" s="195"/>
      <c r="DW110" s="203"/>
      <c r="DX110" s="203"/>
      <c r="DY110" s="203"/>
      <c r="DZ110" s="203"/>
      <c r="EA110" s="193"/>
      <c r="EB110" s="193"/>
    </row>
    <row r="111" spans="1:132" ht="97.2" thickBot="1" x14ac:dyDescent="0.35">
      <c r="C111" s="141" t="s">
        <v>1821</v>
      </c>
      <c r="D111" s="83" t="s">
        <v>1828</v>
      </c>
      <c r="E111" s="83" t="s">
        <v>1829</v>
      </c>
      <c r="F111" s="83" t="s">
        <v>1830</v>
      </c>
      <c r="G111" s="83" t="s">
        <v>1944</v>
      </c>
      <c r="H111" s="83" t="s">
        <v>1945</v>
      </c>
      <c r="I111" s="84" t="s">
        <v>1946</v>
      </c>
      <c r="J111" s="210" t="s">
        <v>1831</v>
      </c>
      <c r="K111" s="210" t="s">
        <v>1832</v>
      </c>
      <c r="L111" s="210" t="s">
        <v>1833</v>
      </c>
      <c r="M111" s="145" t="s">
        <v>1923</v>
      </c>
      <c r="N111" s="210" t="s">
        <v>1834</v>
      </c>
      <c r="O111" s="210" t="s">
        <v>1835</v>
      </c>
      <c r="P111" s="210" t="s">
        <v>1836</v>
      </c>
      <c r="Q111" s="210" t="s">
        <v>1837</v>
      </c>
      <c r="R111" s="145" t="s">
        <v>1924</v>
      </c>
      <c r="S111" s="210" t="s">
        <v>1838</v>
      </c>
      <c r="T111" s="210" t="s">
        <v>1839</v>
      </c>
      <c r="U111" s="210" t="s">
        <v>1840</v>
      </c>
      <c r="V111" s="210" t="s">
        <v>1841</v>
      </c>
      <c r="W111" s="145" t="s">
        <v>1925</v>
      </c>
      <c r="X111" s="144" t="s">
        <v>1940</v>
      </c>
      <c r="Y111" s="144" t="s">
        <v>1941</v>
      </c>
      <c r="Z111" s="144" t="s">
        <v>1942</v>
      </c>
      <c r="AA111" s="144" t="s">
        <v>1943</v>
      </c>
      <c r="AB111" s="210" t="s">
        <v>1842</v>
      </c>
      <c r="AC111" s="210" t="s">
        <v>1843</v>
      </c>
      <c r="AD111" s="210" t="s">
        <v>1844</v>
      </c>
      <c r="AE111" s="210" t="s">
        <v>1845</v>
      </c>
      <c r="AF111" s="210" t="s">
        <v>1846</v>
      </c>
      <c r="AG111" s="210" t="s">
        <v>1847</v>
      </c>
      <c r="AH111" s="210" t="s">
        <v>1848</v>
      </c>
      <c r="AI111" s="210" t="s">
        <v>1849</v>
      </c>
      <c r="AJ111" s="145" t="s">
        <v>1926</v>
      </c>
      <c r="AK111" s="210" t="s">
        <v>1850</v>
      </c>
      <c r="AL111" s="210" t="s">
        <v>1852</v>
      </c>
      <c r="AM111" s="210" t="s">
        <v>1854</v>
      </c>
      <c r="AN111" s="210" t="s">
        <v>1855</v>
      </c>
      <c r="AO111" s="210" t="s">
        <v>1856</v>
      </c>
      <c r="AP111" s="210" t="s">
        <v>1857</v>
      </c>
      <c r="AQ111" s="145" t="s">
        <v>1927</v>
      </c>
      <c r="AR111" s="210" t="s">
        <v>1858</v>
      </c>
      <c r="AS111" s="210" t="s">
        <v>1859</v>
      </c>
      <c r="AT111" s="210" t="s">
        <v>1860</v>
      </c>
      <c r="AU111" s="210" t="s">
        <v>1861</v>
      </c>
      <c r="AV111" s="210" t="s">
        <v>1863</v>
      </c>
      <c r="AW111" s="210" t="s">
        <v>1864</v>
      </c>
      <c r="AX111" s="210" t="s">
        <v>1865</v>
      </c>
      <c r="AY111" s="210" t="s">
        <v>1866</v>
      </c>
      <c r="AZ111" s="83" t="s">
        <v>1869</v>
      </c>
      <c r="BA111" s="143" t="s">
        <v>1928</v>
      </c>
      <c r="BB111" s="83" t="s">
        <v>1871</v>
      </c>
      <c r="BC111" s="83" t="s">
        <v>1872</v>
      </c>
      <c r="BD111" s="83" t="s">
        <v>1874</v>
      </c>
      <c r="BE111" s="83" t="s">
        <v>1875</v>
      </c>
      <c r="BF111" s="83" t="s">
        <v>1876</v>
      </c>
      <c r="BG111" s="83" t="s">
        <v>1877</v>
      </c>
      <c r="BH111" s="83" t="s">
        <v>1878</v>
      </c>
      <c r="BI111" s="83" t="s">
        <v>1879</v>
      </c>
      <c r="BJ111" s="83" t="s">
        <v>1880</v>
      </c>
      <c r="BK111" s="83" t="s">
        <v>1882</v>
      </c>
      <c r="BL111" s="143" t="s">
        <v>1929</v>
      </c>
      <c r="BM111" s="83" t="s">
        <v>1883</v>
      </c>
      <c r="BN111" s="83" t="s">
        <v>1885</v>
      </c>
      <c r="BO111" s="143" t="s">
        <v>1935</v>
      </c>
      <c r="BP111" s="83" t="s">
        <v>1886</v>
      </c>
      <c r="BQ111" s="83" t="s">
        <v>1887</v>
      </c>
      <c r="BR111" s="83" t="s">
        <v>1888</v>
      </c>
      <c r="BS111" s="83" t="s">
        <v>1889</v>
      </c>
      <c r="BT111" s="146" t="s">
        <v>1890</v>
      </c>
      <c r="BU111" s="143" t="s">
        <v>1930</v>
      </c>
      <c r="BV111" s="83" t="s">
        <v>1931</v>
      </c>
      <c r="BW111" s="147" t="s">
        <v>1932</v>
      </c>
      <c r="BX111" s="84" t="s">
        <v>1933</v>
      </c>
      <c r="BY111" s="84" t="s">
        <v>1934</v>
      </c>
      <c r="BZ111" s="83" t="s">
        <v>1891</v>
      </c>
      <c r="CA111" s="83" t="s">
        <v>1892</v>
      </c>
      <c r="CB111" s="83" t="s">
        <v>1893</v>
      </c>
      <c r="CC111" s="83" t="s">
        <v>1894</v>
      </c>
      <c r="CD111" s="83" t="s">
        <v>1895</v>
      </c>
      <c r="CE111" s="83" t="s">
        <v>1896</v>
      </c>
      <c r="CF111" s="83" t="s">
        <v>1897</v>
      </c>
      <c r="CG111" s="83" t="s">
        <v>1898</v>
      </c>
      <c r="CH111" s="143" t="s">
        <v>1936</v>
      </c>
      <c r="CI111" s="83" t="s">
        <v>2912</v>
      </c>
      <c r="CJ111" s="143" t="s">
        <v>1937</v>
      </c>
      <c r="CK111" s="83" t="s">
        <v>2913</v>
      </c>
      <c r="CL111" s="134" t="s">
        <v>2914</v>
      </c>
      <c r="CM111" s="134" t="s">
        <v>2921</v>
      </c>
      <c r="CN111" s="134" t="s">
        <v>2146</v>
      </c>
      <c r="CO111" s="222" t="s">
        <v>1902</v>
      </c>
      <c r="CP111" s="83" t="s">
        <v>1938</v>
      </c>
      <c r="CQ111" s="222" t="s">
        <v>1903</v>
      </c>
      <c r="CR111" s="222" t="s">
        <v>1904</v>
      </c>
      <c r="CS111" s="222" t="s">
        <v>1905</v>
      </c>
      <c r="CT111" s="83" t="s">
        <v>1939</v>
      </c>
      <c r="CU111" s="83" t="s">
        <v>1906</v>
      </c>
      <c r="CV111" s="210" t="s">
        <v>1907</v>
      </c>
      <c r="CW111" s="143" t="s">
        <v>1908</v>
      </c>
      <c r="CX111" s="134" t="s">
        <v>1909</v>
      </c>
      <c r="CY111" s="134" t="s">
        <v>1910</v>
      </c>
      <c r="CZ111" s="83" t="s">
        <v>1911</v>
      </c>
      <c r="DA111" s="83" t="s">
        <v>1912</v>
      </c>
      <c r="DB111" s="83" t="s">
        <v>2162</v>
      </c>
      <c r="DC111" s="83" t="s">
        <v>2163</v>
      </c>
      <c r="DD111" s="83" t="s">
        <v>2915</v>
      </c>
      <c r="DE111" s="83" t="s">
        <v>1916</v>
      </c>
      <c r="DF111" s="83" t="s">
        <v>1917</v>
      </c>
      <c r="DG111" s="83" t="s">
        <v>1918</v>
      </c>
      <c r="DH111" s="83" t="s">
        <v>2932</v>
      </c>
      <c r="DI111" s="83" t="s">
        <v>1919</v>
      </c>
      <c r="DJ111" s="83" t="s">
        <v>1920</v>
      </c>
      <c r="DK111" s="83" t="s">
        <v>1947</v>
      </c>
      <c r="DL111" s="83" t="s">
        <v>1948</v>
      </c>
      <c r="DM111" s="134" t="s">
        <v>1823</v>
      </c>
      <c r="DN111" s="148" t="s">
        <v>1819</v>
      </c>
      <c r="DO111" s="133" t="s">
        <v>1820</v>
      </c>
      <c r="DP111" s="133" t="s">
        <v>21</v>
      </c>
      <c r="DQ111" s="148" t="s">
        <v>1822</v>
      </c>
      <c r="DR111" s="148" t="s">
        <v>1824</v>
      </c>
      <c r="DS111" s="148" t="s">
        <v>1825</v>
      </c>
      <c r="DT111" s="142" t="s">
        <v>1826</v>
      </c>
      <c r="DU111" s="142" t="s">
        <v>1827</v>
      </c>
      <c r="DV111" s="149" t="s">
        <v>15</v>
      </c>
      <c r="DW111" s="233" t="s">
        <v>1952</v>
      </c>
      <c r="DX111" s="233" t="s">
        <v>1953</v>
      </c>
      <c r="DY111" s="233" t="s">
        <v>1954</v>
      </c>
      <c r="DZ111" s="233" t="s">
        <v>1955</v>
      </c>
      <c r="EA111" s="244" t="s">
        <v>2951</v>
      </c>
      <c r="EB111" s="244" t="s">
        <v>2952</v>
      </c>
    </row>
    <row r="112" spans="1:132" x14ac:dyDescent="0.3">
      <c r="B112" s="139" t="s">
        <v>11</v>
      </c>
      <c r="BT112" s="166"/>
      <c r="BU112" s="152"/>
      <c r="CL112" s="150"/>
      <c r="CO112" s="212"/>
      <c r="CX112" s="150"/>
      <c r="CZ112" s="151"/>
      <c r="DB112" s="186"/>
      <c r="DC112" s="151"/>
      <c r="DM112" s="167"/>
      <c r="DN112" s="163"/>
      <c r="DO112" s="150"/>
      <c r="DS112" s="152"/>
      <c r="DT112" s="157"/>
    </row>
    <row r="113" spans="2:132" x14ac:dyDescent="0.3">
      <c r="B113" s="157" t="str">
        <f>VLOOKUP(Input!$C$11,'2020Data'!$A2:$DX83,1)</f>
        <v>NW REGIONAL</v>
      </c>
      <c r="C113" s="151">
        <f>VLOOKUP(Input!$C11,'2020Data'!$A$2:$DX$83,3,0)</f>
        <v>169664</v>
      </c>
      <c r="D113" s="151">
        <f>VLOOKUP(Input!$C11,'2020Data'!$A2:$DX83,4,0)</f>
        <v>13</v>
      </c>
      <c r="E113" s="151">
        <f>VLOOKUP(Input!$C11,'2020Data'!$A2:$DX83,5,0)</f>
        <v>1</v>
      </c>
      <c r="F113" s="151">
        <f>VLOOKUP(Input!$C11,'2020Data'!$A2:$DX83,6,0)</f>
        <v>98120</v>
      </c>
      <c r="G113" s="75">
        <f>VLOOKUP(Input!$C11,'2020Data'!$A2:$DX83,7,0)</f>
        <v>0</v>
      </c>
      <c r="H113" s="151">
        <f>VLOOKUP(Input!$C11,'2020Data'!$A2:$DX83,8,0)</f>
        <v>98120</v>
      </c>
      <c r="I113" s="152">
        <f>VLOOKUP(Input!$C11,'2020Data'!$A2:$DX83,9,0)</f>
        <v>0.61075000000000002</v>
      </c>
      <c r="J113" s="168">
        <f>VLOOKUP(Input!$C11,'2020Data'!$A2:$DX83,10,0)</f>
        <v>1320844</v>
      </c>
      <c r="K113" s="168">
        <f>VLOOKUP(Input!$C11,'2020Data'!$A2:$DX83,11,0)</f>
        <v>454512</v>
      </c>
      <c r="L113" s="168">
        <f>VLOOKUP(Input!$C11,'2020Data'!$A2:$DX83,12,0)</f>
        <v>1775356</v>
      </c>
      <c r="M113" s="153">
        <f>VLOOKUP(Input!$C11,'2020Data'!$A2:$DX83,13,0)</f>
        <v>10.463952282157676</v>
      </c>
      <c r="N113" s="168">
        <f>VLOOKUP(Input!$C11,'2020Data'!$A2:$DX83,14,0)</f>
        <v>99263</v>
      </c>
      <c r="O113" s="168">
        <f>VLOOKUP(Input!$C11,'2020Data'!$A2:$DX83,15,0)</f>
        <v>38024</v>
      </c>
      <c r="P113" s="168">
        <f>VLOOKUP(Input!$C11,'2020Data'!$A2:$DX83,16,0)</f>
        <v>8953</v>
      </c>
      <c r="Q113" s="168">
        <f>VLOOKUP(Input!$C11,'2020Data'!$A2:$DX83,17,0)</f>
        <v>146240</v>
      </c>
      <c r="R113" s="153">
        <f>VLOOKUP(Input!$C11,'2020Data'!$A2:$DX83,18,0)</f>
        <v>0.86193889098453413</v>
      </c>
      <c r="S113" s="168">
        <f>VLOOKUP(Input!$C11,'2020Data'!$A2:$DX83,19,0)</f>
        <v>505993</v>
      </c>
      <c r="T113" s="168">
        <f>VLOOKUP(Input!$C11,'2020Data'!$A2:$DX83,20,0)</f>
        <v>2427589</v>
      </c>
      <c r="U113" s="168">
        <f>VLOOKUP(Input!$C11,'2020Data'!$A2:$DX83,21,0)</f>
        <v>19008</v>
      </c>
      <c r="V113" s="168">
        <f>VLOOKUP(Input!$C11,'2020Data'!$A2:$DX83,22,0)</f>
        <v>2427589</v>
      </c>
      <c r="W113" s="153">
        <f>VLOOKUP(Input!$C11,'2020Data'!$A2:$DX83,23,0)</f>
        <v>14.308215060354582</v>
      </c>
      <c r="X113" s="169">
        <f>VLOOKUP(Input!$C11,'2020Data'!$A2:$DX83,24,0)</f>
        <v>0.73132478356097341</v>
      </c>
      <c r="Y113" s="169">
        <f>VLOOKUP(Input!$C11,'2020Data'!$A2:$DX83,25,0)</f>
        <v>6.0240839779715595E-2</v>
      </c>
      <c r="Z113" s="169">
        <f>VLOOKUP(Input!$C11,'2020Data'!$A2:$DX83,26,0)</f>
        <v>0.20843437665931094</v>
      </c>
      <c r="AA113" s="169">
        <f>VLOOKUP(Input!$C11,'2020Data'!$A2:$DX83,27,0)</f>
        <v>7.8299909910615022E-3</v>
      </c>
      <c r="AB113" s="168">
        <f>VLOOKUP(Input!$C11,'2020Data'!$A2:$DX83,28,0)</f>
        <v>0</v>
      </c>
      <c r="AC113" s="168">
        <f>VLOOKUP(Input!$C11,'2020Data'!$A2:$DX83,29,0)</f>
        <v>0</v>
      </c>
      <c r="AD113" s="168">
        <f>VLOOKUP(Input!$C11,'2020Data'!$A2:$DX83,30,0)</f>
        <v>0</v>
      </c>
      <c r="AE113" s="168">
        <f>VLOOKUP(Input!$C11,'2020Data'!$A2:$DX83,31,0)</f>
        <v>0</v>
      </c>
      <c r="AF113" s="168">
        <f>VLOOKUP(Input!$C11,'2020Data'!$A2:$DX83,32,0)</f>
        <v>2427589</v>
      </c>
      <c r="AG113" s="168">
        <f>VLOOKUP(Input!$C11,'2020Data'!$A2:$DX83,33,0)</f>
        <v>1639491</v>
      </c>
      <c r="AH113" s="168">
        <f>VLOOKUP(Input!$C11,'2020Data'!$A2:$DX83,34,0)</f>
        <v>0</v>
      </c>
      <c r="AI113" s="168">
        <f>VLOOKUP(Input!$C11,'2020Data'!$A2:$DX83,35,0)</f>
        <v>4067080</v>
      </c>
      <c r="AJ113" s="153">
        <f>VLOOKUP(Input!$C11,'2020Data'!$A2:$DX83,36,0)</f>
        <v>23.97137872500943</v>
      </c>
      <c r="AK113" s="168">
        <f>VLOOKUP(Input!$C11,'2020Data'!$A2:$DX83,37,0)</f>
        <v>454548</v>
      </c>
      <c r="AL113" s="168">
        <f>VLOOKUP(Input!$C11,'2020Data'!$A2:$DX83,38,0)</f>
        <v>4000</v>
      </c>
      <c r="AM113" s="168">
        <f>VLOOKUP(Input!$C11,'2020Data'!$A2:$DX83,39,0)</f>
        <v>133559</v>
      </c>
      <c r="AN113" s="168">
        <f>VLOOKUP(Input!$C11,'2020Data'!$A2:$DX83,40,0)</f>
        <v>0</v>
      </c>
      <c r="AO113" s="168">
        <f>VLOOKUP(Input!$C11,'2020Data'!$A2:$DX83,41,0)</f>
        <v>133559</v>
      </c>
      <c r="AP113" s="198">
        <f>VLOOKUP(Input!$C11,'2020Data'!$A2:$DX83,42,0)</f>
        <v>2534448</v>
      </c>
      <c r="AQ113" s="153">
        <f>VLOOKUP(Input!$C11,'2020Data'!$A2:$DX83,43,0)</f>
        <v>14.938042248208223</v>
      </c>
      <c r="AR113" s="168">
        <f>VLOOKUP(Input!$C11,'2020Data'!$A2:$DX83,44,0)</f>
        <v>0</v>
      </c>
      <c r="AS113" s="168">
        <f>VLOOKUP(Input!$C11,'2020Data'!$A2:$DX83,45,0)</f>
        <v>0</v>
      </c>
      <c r="AT113" s="168">
        <f>VLOOKUP(Input!$C11,'2020Data'!$A2:$DX83,46,0)</f>
        <v>0</v>
      </c>
      <c r="AU113" s="168">
        <f>VLOOKUP(Input!$C11,'2020Data'!$A2:$DX83,47,0)</f>
        <v>0</v>
      </c>
      <c r="AV113" s="168">
        <f>VLOOKUP(Input!$C11,'2020Data'!$A2:$DX83,48,0)</f>
        <v>0</v>
      </c>
      <c r="AW113" s="168">
        <f>VLOOKUP(Input!$C11,'2020Data'!$A2:$DX83,49,0)</f>
        <v>0</v>
      </c>
      <c r="AX113" s="168">
        <f>VLOOKUP(Input!$C11,'2020Data'!$A2:$DX83,50,0)</f>
        <v>0</v>
      </c>
      <c r="AY113" s="168">
        <f>VLOOKUP(Input!$C11,'2020Data'!$A2:$DX83,51,0)</f>
        <v>0</v>
      </c>
      <c r="AZ113" s="151">
        <f>VLOOKUP(Input!$C11,'2020Data'!$A2:$DX83,52,0)</f>
        <v>332109</v>
      </c>
      <c r="BA113" s="152">
        <f>VLOOKUP(Input!$C11,'2020Data'!$A2:$DX83,53,0)</f>
        <v>1.9574511976612599</v>
      </c>
      <c r="BB113" s="151">
        <f>VLOOKUP(Input!$C11,'2020Data'!$A2:$DX83,54,0)</f>
        <v>6601</v>
      </c>
      <c r="BC113" s="151">
        <f>VLOOKUP(Input!$C11,'2020Data'!$A2:$DX83,55,0)</f>
        <v>6601</v>
      </c>
      <c r="BD113" s="151">
        <f>VLOOKUP(Input!$C11,'2020Data'!$A2:$DX83,56,0)</f>
        <v>15248</v>
      </c>
      <c r="BE113" s="151">
        <f>VLOOKUP(Input!$C11,'2020Data'!$A2:$DX83,57,0)</f>
        <v>1760</v>
      </c>
      <c r="BF113" s="151">
        <f>VLOOKUP(Input!$C11,'2020Data'!$A2:$DX83,58,0)</f>
        <v>73451</v>
      </c>
      <c r="BG113" s="151">
        <f>VLOOKUP(Input!$C11,'2020Data'!$A2:$DX83,59,0)</f>
        <v>1</v>
      </c>
      <c r="BH113" s="151">
        <f>VLOOKUP(Input!$C11,'2020Data'!$A2:$DX83,60,0)</f>
        <v>89</v>
      </c>
      <c r="BI113" s="151">
        <f>VLOOKUP(Input!$C11,'2020Data'!$A2:$DX83,61,0)</f>
        <v>0</v>
      </c>
      <c r="BJ113" s="151">
        <f>VLOOKUP(Input!$C11,'2020Data'!$A2:$DX83,62,0)</f>
        <v>90</v>
      </c>
      <c r="BK113" s="151">
        <f>VLOOKUP(Input!$C11,'2020Data'!$A2:$DX83,63,0)</f>
        <v>442369</v>
      </c>
      <c r="BL113" s="152">
        <f>VLOOKUP(Input!$C11,'2020Data'!$A2:$DX83,64,0)</f>
        <v>2.6073238872123725</v>
      </c>
      <c r="BM113" s="151">
        <f>VLOOKUP(Input!$C11,'2020Data'!$A2:$DX83,65,0)</f>
        <v>0</v>
      </c>
      <c r="BN113" s="151">
        <f>VLOOKUP(Input!$C11,'2020Data'!$A2:$DX83,66,0)</f>
        <v>129530</v>
      </c>
      <c r="BO113" s="152">
        <f>VLOOKUP(Input!$C11,'2020Data'!$A2:$DX83,67,0)</f>
        <v>0.76345011316484346</v>
      </c>
      <c r="BP113" s="151">
        <f>VLOOKUP(Input!$C11,'2020Data'!$A2:$DX83,68,0)</f>
        <v>139514</v>
      </c>
      <c r="BQ113" s="151">
        <f>VLOOKUP(Input!$C11,'2020Data'!$A2:$DX83,69,0)</f>
        <v>0</v>
      </c>
      <c r="BR113" s="151">
        <f>VLOOKUP(Input!$C11,'2020Data'!$A2:$DX83,70,0)</f>
        <v>338250</v>
      </c>
      <c r="BS113" s="151">
        <f>VLOOKUP(Input!$C11,'2020Data'!$A2:$DX83,71,0)</f>
        <v>53559</v>
      </c>
      <c r="BT113" s="151">
        <f>VLOOKUP(Input!$C11,'2020Data'!$A2:$DX83,72,0)</f>
        <v>391809</v>
      </c>
      <c r="BU113" s="152">
        <f>VLOOKUP(Input!$C11,'2020Data'!$A2:$DX83,73,0)</f>
        <v>2.3093231327800829</v>
      </c>
      <c r="BV113" s="151">
        <f>VLOOKUP(Input!$C11,'2020Data'!$A2:$DX83,74,0)</f>
        <v>8130.5042539946053</v>
      </c>
      <c r="BW113" s="212">
        <f>VLOOKUP(Input!$C11,'2020Data'!$A2:$DX83,75,0)</f>
        <v>15.29966027568433</v>
      </c>
      <c r="BX113" s="212">
        <f>VLOOKUP(Input!$C11,'2020Data'!$A2:$DX83,76,0)</f>
        <v>1.6023073022312373</v>
      </c>
      <c r="BY113" s="152">
        <f>VLOOKUP(Input!$C11,'2020Data'!$A2:$DX83,77,0)</f>
        <v>0.88570627688649073</v>
      </c>
      <c r="BZ113" s="151">
        <f>VLOOKUP(Input!$C11,'2020Data'!$A2:$DX83,78,0)</f>
        <v>1975</v>
      </c>
      <c r="CA113" s="151">
        <f>VLOOKUP(Input!$C11,'2020Data'!$A2:$DX83,79,0)</f>
        <v>305</v>
      </c>
      <c r="CB113" s="151">
        <f>VLOOKUP(Input!$C11,'2020Data'!$A2:$DX83,80,0)</f>
        <v>1371</v>
      </c>
      <c r="CC113" s="151">
        <f>VLOOKUP(Input!$C11,'2020Data'!$A2:$DX83,81,0)</f>
        <v>3651</v>
      </c>
      <c r="CD113" s="151">
        <f>VLOOKUP(Input!$C11,'2020Data'!$A2:$DX83,82,0)</f>
        <v>91359</v>
      </c>
      <c r="CE113" s="151">
        <f>VLOOKUP(Input!$C11,'2020Data'!$A2:$DX83,83,0)</f>
        <v>12376</v>
      </c>
      <c r="CF113" s="151">
        <f>VLOOKUP(Input!$C11,'2020Data'!$A2:$DX83,84,0)</f>
        <v>37136</v>
      </c>
      <c r="CG113" s="151">
        <f>VLOOKUP(Input!$C11,'2020Data'!$A2:$DX83,85,0)</f>
        <v>140871</v>
      </c>
      <c r="CH113" s="152">
        <f>VLOOKUP(Input!$C11,'2020Data'!$A2:$DX83,86,0)</f>
        <v>0.83029399283289329</v>
      </c>
      <c r="CI113" s="151">
        <f>VLOOKUP(Input!$C11,'2020Data'!$A2:$DX83,87,0)</f>
        <v>244528</v>
      </c>
      <c r="CJ113" s="152">
        <f>VLOOKUP(Input!$C11,'2020Data'!$A2:$DX83,88,0)</f>
        <v>1.4412485854394568</v>
      </c>
      <c r="CK113" s="151">
        <f>VLOOKUP(Input!$C11,'2020Data'!$A2:$DX83,89,0)</f>
        <v>67633</v>
      </c>
      <c r="CL113" s="150" t="str">
        <f>VLOOKUP(Input!$C11,'2020Data'!$A2:$DX83,90,0)</f>
        <v>Yes</v>
      </c>
      <c r="CM113" s="150" t="str">
        <f>VLOOKUP(Input!$C11,'2020Data'!$A2:$DX83,91,0)</f>
        <v>Yes</v>
      </c>
      <c r="CN113" s="150" t="str">
        <f>VLOOKUP(Input!$C11,'2020Data'!$A2:$DX83,92,0)</f>
        <v>Yes</v>
      </c>
      <c r="CO113" s="212">
        <f>VLOOKUP(Input!$C11,'2020Data'!$A2:$DX83,93,0)</f>
        <v>2</v>
      </c>
      <c r="CP113" s="151">
        <f>VLOOKUP(Input!$C11,'2020Data'!$A2:$DX83,94,0)</f>
        <v>0</v>
      </c>
      <c r="CQ113" s="212">
        <f>VLOOKUP(Input!$C11,'2020Data'!$A2:$DX83,95,0)</f>
        <v>0</v>
      </c>
      <c r="CR113" s="212">
        <f>VLOOKUP(Input!$C11,'2020Data'!$A2:$DX83,96,0)</f>
        <v>46.19</v>
      </c>
      <c r="CS113" s="212">
        <f>VLOOKUP(Input!$C11,'2020Data'!$A2:$DX83,97,0)</f>
        <v>48.19</v>
      </c>
      <c r="CT113" s="151">
        <f>VLOOKUP(Input!$C11,'2020Data'!$A2:$DX83,98,0)</f>
        <v>3520.7304420004152</v>
      </c>
      <c r="CU113" s="151">
        <f>VLOOKUP(Input!$C11,'2020Data'!$A2:$DX83,99,0)</f>
        <v>4751</v>
      </c>
      <c r="CV113" s="168">
        <f>VLOOKUP(Input!$C11,'2020Data'!$A2:$DX83,100,0)</f>
        <v>67121</v>
      </c>
      <c r="CW113" s="152">
        <f>VLOOKUP(Input!$C11,'2020Data'!$A2:$DX83,101,0)</f>
        <v>40</v>
      </c>
      <c r="CX113" s="150" t="str">
        <f>VLOOKUP(Input!$C11,'2020Data'!$A2:$DX83,102,0)</f>
        <v>Yes</v>
      </c>
      <c r="CY113" s="150" t="str">
        <f>VLOOKUP(Input!$C11,'2020Data'!$A2:$DX83,103,0)</f>
        <v>Yes</v>
      </c>
      <c r="CZ113" s="151">
        <f>VLOOKUP(Input!$C11,'2020Data'!$A2:$DX83,104,0)</f>
        <v>18271</v>
      </c>
      <c r="DA113" s="151">
        <f>VLOOKUP(Input!$C11,'2020Data'!$A2:$DX83,105,0)</f>
        <v>22602</v>
      </c>
      <c r="DB113" s="186">
        <f>VLOOKUP(Input!$C11,'2020Data'!$A2:$DX83,106,0)</f>
        <v>158</v>
      </c>
      <c r="DC113" s="151">
        <f>VLOOKUP(Input!$C11,'2020Data'!$A2:$DX83,107,0)</f>
        <v>55105</v>
      </c>
      <c r="DD113" s="151">
        <f>VLOOKUP(Input!$C11,'2020Data'!$A2:$DX83,108,0)</f>
        <v>120740</v>
      </c>
      <c r="DE113" s="151">
        <f>VLOOKUP(Input!$C11,'2020Data'!$A2:$DX83,109,0)</f>
        <v>89374</v>
      </c>
      <c r="DF113" s="151">
        <f>VLOOKUP(Input!$C11,'2020Data'!$A2:$DX83,110,0)</f>
        <v>33258</v>
      </c>
      <c r="DG113" s="151">
        <f>VLOOKUP(Input!$C11,'2020Data'!$A2:$DX83,111,0)</f>
        <v>52</v>
      </c>
      <c r="DH113" s="151">
        <f>VLOOKUP(Input!$C11,'2020Data'!$A2:$DX83,112,0)</f>
        <v>0.19602272727272727</v>
      </c>
      <c r="DI113" s="151">
        <f>VLOOKUP(Input!$C11,'2020Data'!$A2:$DX83,113,0)</f>
        <v>46</v>
      </c>
      <c r="DJ113" s="151">
        <f>VLOOKUP(Input!$C11,'2020Data'!$A2:$DX83,114,0)</f>
        <v>46</v>
      </c>
      <c r="DK113" s="151">
        <f>VLOOKUP(Input!$C11,'2020Data'!$A2:$DX83,115,0)</f>
        <v>0</v>
      </c>
      <c r="DL113" s="151">
        <f>VLOOKUP(Input!$C11,'2020Data'!$A2:$DX83,116,0)</f>
        <v>25609</v>
      </c>
      <c r="DM113" s="151">
        <f>VLOOKUP(Input!$C11,'2020Data'!$A2:$DX83,117,0)</f>
        <v>0</v>
      </c>
      <c r="DN113" s="151" t="str">
        <f>VLOOKUP(Input!$C11,'2020Data'!$A2:$DX83,118,0)</f>
        <v>NC0013</v>
      </c>
      <c r="DO113" s="171" t="str">
        <f>VLOOKUP(Input!$C11,'2020Data'!$A2:$DX83,119,0)</f>
        <v>Regional</v>
      </c>
      <c r="DP113" s="170">
        <f>VLOOKUP(Input!$C11,'2020Data'!$A2:$DX83,120,0)</f>
        <v>0</v>
      </c>
      <c r="DQ113" s="170">
        <f>VLOOKUP(Input!$C11,'2020Data'!$A2:$DX83,121,0)</f>
        <v>0</v>
      </c>
      <c r="DR113" s="170" t="str">
        <f>VLOOKUP(Input!$C11,'2020Data'!$A2:$DX83,122,0)</f>
        <v>NW Regional</v>
      </c>
      <c r="DS113" s="170" t="str">
        <f>VLOOKUP(Input!$C11,'2020Data'!$A2:$DX83,123,0)</f>
        <v>SURRY</v>
      </c>
      <c r="DT113" s="242">
        <f>VLOOKUP(Input!$C11,'2020Data'!$A2:$DX83,124,0)</f>
        <v>43282</v>
      </c>
      <c r="DU113" s="242">
        <f>VLOOKUP(Input!$C11,'2020Data'!$A2:$DX83,125,0)</f>
        <v>43646</v>
      </c>
      <c r="DV113" s="170" t="str">
        <f>VLOOKUP(Input!$C11,'2020Data'!$A2:$DX83,126,0)</f>
        <v>NW Regional</v>
      </c>
      <c r="DW113" s="152">
        <f>VLOOKUP(Input!$C11,'2020Data'!$A2:$DX83,127,0)</f>
        <v>0.82229583176159937</v>
      </c>
      <c r="DX113" s="152">
        <f>VLOOKUP(Input!$C11,'2020Data'!$A2:$DZ83,128,0)</f>
        <v>0</v>
      </c>
      <c r="DY113" s="152">
        <f>VLOOKUP(Input!$C11,'2020Data'!$A2:$DZ83,129,0)</f>
        <v>1.9936462655601659</v>
      </c>
      <c r="DZ113" s="152">
        <f>VLOOKUP(Input!$C11,'2020Data'!$A2:$DZ83,130,0)</f>
        <v>0.315676867219917</v>
      </c>
      <c r="EA113" s="153">
        <f>VLOOKUP(Input!$C11,'2020Data'!$A2:$EA83,131,0)</f>
        <v>0.20776575882653361</v>
      </c>
      <c r="EB113" s="153">
        <f>VLOOKUP(Input!$C11,'2020Data'!$A2:$EB83,132,0)</f>
        <v>0.70994604081480239</v>
      </c>
    </row>
    <row r="114" spans="2:132" x14ac:dyDescent="0.3">
      <c r="B114" s="157" t="str">
        <f>VLOOKUP(Input!$C17,'2020Data'!$A$2:$DX$83,1)</f>
        <v>AMY REGIONAL</v>
      </c>
      <c r="C114" s="151" t="e">
        <f>VLOOKUP(Input!$C12,'2020Data'!$A$2:$DX$83,3,0)</f>
        <v>#N/A</v>
      </c>
      <c r="D114" s="151">
        <f>VLOOKUP(Input!$C17,'2020Data'!$A$2:$DX$83,4,0)</f>
        <v>4</v>
      </c>
      <c r="E114" s="151">
        <f>VLOOKUP(Input!$C17,'2020Data'!$A$2:$DX$83,5,0)</f>
        <v>1</v>
      </c>
      <c r="F114" s="151">
        <f>VLOOKUP(Input!$C17,'2020Data'!$A$2:$DX$83,6,0)</f>
        <v>28632</v>
      </c>
      <c r="G114" s="75">
        <f>VLOOKUP(Input!$C17,'2020Data'!$A$2:$DX$83,7,0)</f>
        <v>0</v>
      </c>
      <c r="H114" s="151">
        <f>VLOOKUP(Input!$C17,'2020Data'!$A$2:$DX$83,8,0)</f>
        <v>28632</v>
      </c>
      <c r="I114" s="152">
        <f>VLOOKUP(Input!$C17,'2020Data'!$A$2:$DX$83,9,0)</f>
        <v>0.55469000000000002</v>
      </c>
      <c r="J114" s="168">
        <f>VLOOKUP(Input!$C17,'2020Data'!$A$2:$DX$83,10,0)</f>
        <v>396261</v>
      </c>
      <c r="K114" s="168">
        <f>VLOOKUP(Input!$C17,'2020Data'!$A$2:$DX$83,11,0)</f>
        <v>160145</v>
      </c>
      <c r="L114" s="168">
        <f>VLOOKUP(Input!$C17,'2020Data'!$A2:$DX83,12,0)</f>
        <v>556406</v>
      </c>
      <c r="M114" s="153">
        <f>VLOOKUP(Input!$C17,'2020Data'!$A$2:$DX$83,13,0)</f>
        <v>10.801902543195496</v>
      </c>
      <c r="N114" s="168">
        <f>VLOOKUP(Input!$C17,'2020Data'!$A$2:$DX$83,14,0)</f>
        <v>66700</v>
      </c>
      <c r="O114" s="168">
        <f>VLOOKUP(Input!$C17,'2020Data'!$A$2:$DX$83,15,0)</f>
        <v>0</v>
      </c>
      <c r="P114" s="168">
        <f>VLOOKUP(Input!$C17,'2020Data'!$A$2:$DX$83,16,0)</f>
        <v>0</v>
      </c>
      <c r="Q114" s="168">
        <f>VLOOKUP(Input!$C17,'2020Data'!$A$2:$DX$83,17,0)</f>
        <v>66700</v>
      </c>
      <c r="R114" s="153">
        <f>VLOOKUP(Input!$C17,'2020Data'!$A$2:$DX$83,18,0)</f>
        <v>1.2948941953018831</v>
      </c>
      <c r="S114" s="168">
        <f>VLOOKUP(Input!$C17,'2020Data'!$A$2:$DX$83,19,0)</f>
        <v>219722</v>
      </c>
      <c r="T114" s="168">
        <f>VLOOKUP(Input!$C17,'2020Data'!$A$2:$DX$83,20,0)</f>
        <v>842828</v>
      </c>
      <c r="U114" s="168">
        <f>VLOOKUP(Input!$C17,'2020Data'!$A$2:$DX$83,21,0)</f>
        <v>0</v>
      </c>
      <c r="V114" s="168">
        <f>VLOOKUP(Input!$C17,'2020Data'!$A$2:$DX$83,22,0)</f>
        <v>842828</v>
      </c>
      <c r="W114" s="153">
        <f>VLOOKUP(Input!$C17,'2020Data'!$A$2:$DX$83,23,0)</f>
        <v>16.362415065035915</v>
      </c>
      <c r="X114" s="169">
        <f>VLOOKUP(Input!$C17,'2020Data'!$A$2:$DX$83,24,0)</f>
        <v>0.66016553792707411</v>
      </c>
      <c r="Y114" s="169">
        <f>VLOOKUP(Input!$C17,'2020Data'!$A$2:$DX$83,25,0)</f>
        <v>7.9138329528682008E-2</v>
      </c>
      <c r="Z114" s="169">
        <f>VLOOKUP(Input!$C17,'2020Data'!$A$2:$DX$83,26,0)</f>
        <v>0.2606961325442439</v>
      </c>
      <c r="AA114" s="169">
        <f>VLOOKUP(Input!$C17,'2020Data'!$A$2:$DX$83,27,0)</f>
        <v>0</v>
      </c>
      <c r="AB114" s="168">
        <f>VLOOKUP(Input!$C17,'2020Data'!$A$2:$DX$83,28,0)</f>
        <v>0</v>
      </c>
      <c r="AC114" s="168">
        <f>VLOOKUP(Input!$C17,'2020Data'!$A$2:$DX$83,29,0)</f>
        <v>0</v>
      </c>
      <c r="AD114" s="168">
        <f>VLOOKUP(Input!$C17,'2020Data'!$A$2:$DX$83,30,0)</f>
        <v>0</v>
      </c>
      <c r="AE114" s="168">
        <f>VLOOKUP(Input!$C17,'2020Data'!$A$2:$DX$83,31,0)</f>
        <v>0</v>
      </c>
      <c r="AF114" s="168">
        <f>VLOOKUP(Input!$C17,'2020Data'!$A$2:$DX$83,32,0)</f>
        <v>842828</v>
      </c>
      <c r="AG114" s="168">
        <f>VLOOKUP(Input!$C17,'2020Data'!$A$2:$DX$83,33,0)</f>
        <v>360566</v>
      </c>
      <c r="AH114" s="168">
        <f>VLOOKUP(Input!$C17,'2020Data'!$A$2:$DX$83,34,0)</f>
        <v>0</v>
      </c>
      <c r="AI114" s="168">
        <f>VLOOKUP(Input!$C17,'2020Data'!$A$2:$DX$83,35,0)</f>
        <v>1203394</v>
      </c>
      <c r="AJ114" s="153">
        <f>VLOOKUP(Input!$C17,'2020Data'!$A$2:$DX$83,36,0)</f>
        <v>23.362337410211609</v>
      </c>
      <c r="AK114" s="168">
        <f>VLOOKUP(Input!$C17,'2020Data'!$A$2:$DX$83,37,0)</f>
        <v>296904</v>
      </c>
      <c r="AL114" s="168">
        <f>VLOOKUP(Input!$C17,'2020Data'!$A$2:$DX$83,38,0)</f>
        <v>4200</v>
      </c>
      <c r="AM114" s="168">
        <f>VLOOKUP(Input!$C17,'2020Data'!$A$2:$DX$83,39,0)</f>
        <v>84529</v>
      </c>
      <c r="AN114" s="168">
        <f>VLOOKUP(Input!$C17,'2020Data'!$A$2:$DX$83,40,0)</f>
        <v>0</v>
      </c>
      <c r="AO114" s="168">
        <f>VLOOKUP(Input!$C17,'2020Data'!$A$2:$DX$83,41,0)</f>
        <v>84529</v>
      </c>
      <c r="AP114" s="198">
        <f>VLOOKUP(Input!$C17,'2020Data'!$A$2:$DX$83,42,0)</f>
        <v>836491</v>
      </c>
      <c r="AQ114" s="153">
        <f>VLOOKUP(Input!$C17,'2020Data'!$A$2:$DX$83,43,0)</f>
        <v>16.239390409629198</v>
      </c>
      <c r="AR114" s="168">
        <f>VLOOKUP(Input!$C17,'2020Data'!$A$2:$DX$83,44,0)</f>
        <v>0</v>
      </c>
      <c r="AS114" s="168">
        <f>VLOOKUP(Input!$C17,'2020Data'!$A$2:$DX$83,45,0)</f>
        <v>0</v>
      </c>
      <c r="AT114" s="168">
        <f>VLOOKUP(Input!$C17,'2020Data'!$A$2:$DX$83,46,0)</f>
        <v>0</v>
      </c>
      <c r="AU114" s="168">
        <f>VLOOKUP(Input!$C17,'2020Data'!$A$2:$DX$83,47,0)</f>
        <v>0</v>
      </c>
      <c r="AV114" s="168">
        <f>VLOOKUP(Input!$C17,'2020Data'!$A$2:$DX$83,48,0)</f>
        <v>0</v>
      </c>
      <c r="AW114" s="168">
        <f>VLOOKUP(Input!$C17,'2020Data'!$A$2:$DX$83,49,0)</f>
        <v>0</v>
      </c>
      <c r="AX114" s="168">
        <f>VLOOKUP(Input!$C17,'2020Data'!$A$2:$DX$83,50,0)</f>
        <v>0</v>
      </c>
      <c r="AY114" s="168">
        <f>VLOOKUP(Input!$C17,'2020Data'!$A$2:$DX$83,51,0)</f>
        <v>0</v>
      </c>
      <c r="AZ114" s="151">
        <f>VLOOKUP(Input!$C17,'2020Data'!$A$2:$DX$83,52,0)</f>
        <v>153963</v>
      </c>
      <c r="BA114" s="152">
        <f>VLOOKUP(Input!$C17,'2020Data'!$A$2:$DX$83,53,0)</f>
        <v>2.9889924286546301</v>
      </c>
      <c r="BB114" s="151">
        <f>VLOOKUP(Input!$C17,'2020Data'!$A$2:$DX$83,54,0)</f>
        <v>2477</v>
      </c>
      <c r="BC114" s="151">
        <f>VLOOKUP(Input!$C17,'2020Data'!$A$2:$DX$83,55,0)</f>
        <v>2477</v>
      </c>
      <c r="BD114" s="151">
        <f>VLOOKUP(Input!$C17,'2020Data'!$A$2:$DX$83,56,0)</f>
        <v>4200</v>
      </c>
      <c r="BE114" s="151">
        <f>VLOOKUP(Input!$C17,'2020Data'!$A$2:$DX$83,57,0)</f>
        <v>2067</v>
      </c>
      <c r="BF114" s="151">
        <f>VLOOKUP(Input!$C17,'2020Data'!$A$2:$DX$83,58,0)</f>
        <v>107596</v>
      </c>
      <c r="BG114" s="151">
        <f>VLOOKUP(Input!$C17,'2020Data'!$A$2:$DX$83,59,0)</f>
        <v>1</v>
      </c>
      <c r="BH114" s="151">
        <f>VLOOKUP(Input!$C17,'2020Data'!$A$2:$DX$83,60,0)</f>
        <v>89</v>
      </c>
      <c r="BI114" s="151">
        <f>VLOOKUP(Input!$C17,'2020Data'!$A$2:$DX$83,61,0)</f>
        <v>0</v>
      </c>
      <c r="BJ114" s="151">
        <f>VLOOKUP(Input!$C17,'2020Data'!$A$2:$DX$83,62,0)</f>
        <v>90</v>
      </c>
      <c r="BK114" s="151">
        <f>VLOOKUP(Input!$C17,'2020Data'!$A$2:$DX$83,63,0)</f>
        <v>289363</v>
      </c>
      <c r="BL114" s="152">
        <f>VLOOKUP(Input!$C17,'2020Data'!$A$2:$DX$83,64,0)</f>
        <v>5.617608231411376</v>
      </c>
      <c r="BM114" s="151">
        <f>VLOOKUP(Input!$C17,'2020Data'!$A$2:$DX$83,65,0)</f>
        <v>54</v>
      </c>
      <c r="BN114" s="151">
        <f>VLOOKUP(Input!$C17,'2020Data'!$A$2:$DX$83,66,0)</f>
        <v>29875</v>
      </c>
      <c r="BO114" s="152">
        <f>VLOOKUP(Input!$C17,'2020Data'!$A$2:$DX$83,67,0)</f>
        <v>0.57998446903513878</v>
      </c>
      <c r="BP114" s="151">
        <f>VLOOKUP(Input!$C17,'2020Data'!$A$2:$DX$83,68,0)</f>
        <v>90436</v>
      </c>
      <c r="BQ114" s="151">
        <f>VLOOKUP(Input!$C17,'2020Data'!$A$2:$DX$83,69,0)</f>
        <v>0</v>
      </c>
      <c r="BR114" s="151">
        <f>VLOOKUP(Input!$C17,'2020Data'!$A$2:$DX$83,70,0)</f>
        <v>174501</v>
      </c>
      <c r="BS114" s="151">
        <f>VLOOKUP(Input!$C17,'2020Data'!$A$2:$DX$83,71,0)</f>
        <v>25093</v>
      </c>
      <c r="BT114" s="151">
        <f>VLOOKUP(Input!$C17,'2020Data'!$A$2:$DX$83,72,0)</f>
        <v>199594</v>
      </c>
      <c r="BU114" s="152">
        <f>VLOOKUP(Input!$C17,'2020Data'!$A$2:$DX$83,73,0)</f>
        <v>3.8748592506309456</v>
      </c>
      <c r="BV114" s="151">
        <f>VLOOKUP(Input!$C17,'2020Data'!$A$2:$DX$83,74,0)</f>
        <v>9072.454545454546</v>
      </c>
      <c r="BW114" s="212">
        <f>VLOOKUP(Input!$C17,'2020Data'!$A$2:$DX$83,75,0)</f>
        <v>21.868521967787881</v>
      </c>
      <c r="BX114" s="212">
        <f>VLOOKUP(Input!$C17,'2020Data'!$A$2:$DX$83,76,0)</f>
        <v>3.2195177030405677</v>
      </c>
      <c r="BY114" s="152">
        <f>VLOOKUP(Input!$C17,'2020Data'!$A$2:$DX$83,77,0)</f>
        <v>0.68977028853032352</v>
      </c>
      <c r="BZ114" s="151">
        <f>VLOOKUP(Input!$C17,'2020Data'!$A$2:$DX$83,78,0)</f>
        <v>174</v>
      </c>
      <c r="CA114" s="151">
        <f>VLOOKUP(Input!$C17,'2020Data'!$A$2:$DX$83,79,0)</f>
        <v>17</v>
      </c>
      <c r="CB114" s="151">
        <f>VLOOKUP(Input!$C17,'2020Data'!$A$2:$DX$83,80,0)</f>
        <v>1159</v>
      </c>
      <c r="CC114" s="151">
        <f>VLOOKUP(Input!$C17,'2020Data'!$A$2:$DX$83,81,0)</f>
        <v>1350</v>
      </c>
      <c r="CD114" s="151">
        <f>VLOOKUP(Input!$C17,'2020Data'!$A$2:$DX$83,82,0)</f>
        <v>2110</v>
      </c>
      <c r="CE114" s="151">
        <f>VLOOKUP(Input!$C17,'2020Data'!$A$2:$DX$83,83,0)</f>
        <v>76</v>
      </c>
      <c r="CF114" s="151">
        <f>VLOOKUP(Input!$C17,'2020Data'!$A$2:$DX$83,84,0)</f>
        <v>8872</v>
      </c>
      <c r="CG114" s="151">
        <f>VLOOKUP(Input!$C17,'2020Data'!$A$2:$DX$83,85,0)</f>
        <v>11058</v>
      </c>
      <c r="CH114" s="152">
        <f>VLOOKUP(Input!$C17,'2020Data'!$A$2:$DX$83,86,0)</f>
        <v>0.21467676179382644</v>
      </c>
      <c r="CI114" s="151">
        <f>VLOOKUP(Input!$C17,'2020Data'!$A$2:$DX$83,87,0)</f>
        <v>61995</v>
      </c>
      <c r="CJ114" s="152">
        <f>VLOOKUP(Input!$C17,'2020Data'!$A$2:$DX$83,88,0)</f>
        <v>1.2035527082119977</v>
      </c>
      <c r="CK114" s="151">
        <f>VLOOKUP(Input!$C17,'2020Data'!$A$2:$DX$83,89,0)</f>
        <v>42329</v>
      </c>
      <c r="CL114" s="150" t="str">
        <f>VLOOKUP(Input!$C17,'2020Data'!$A$2:$DX$83,90,0)</f>
        <v>Yes</v>
      </c>
      <c r="CM114" s="150" t="str">
        <f>VLOOKUP(Input!$C17,'2020Data'!$A$2:$DX$83,91,0)</f>
        <v>Yes</v>
      </c>
      <c r="CN114" s="150" t="str">
        <f>VLOOKUP(Input!$C17,'2020Data'!$A$2:$DX$83,92,0)</f>
        <v>Yes</v>
      </c>
      <c r="CO114" s="212">
        <f>VLOOKUP(Input!$C17,'2020Data'!$A$2:$DX$83,93,0)</f>
        <v>2</v>
      </c>
      <c r="CP114" s="151">
        <f>VLOOKUP(Input!$C17,'2020Data'!$A$2:$DX$83,94,0)</f>
        <v>25755</v>
      </c>
      <c r="CQ114" s="212">
        <f>VLOOKUP(Input!$C17,'2020Data'!$A$2:$DX$83,95,0)</f>
        <v>1</v>
      </c>
      <c r="CR114" s="212">
        <f>VLOOKUP(Input!$C17,'2020Data'!$A$2:$DX$83,96,0)</f>
        <v>19</v>
      </c>
      <c r="CS114" s="212">
        <f>VLOOKUP(Input!$C17,'2020Data'!$A$2:$DX$83,97,0)</f>
        <v>22</v>
      </c>
      <c r="CT114" s="151">
        <f>VLOOKUP(Input!$C17,'2020Data'!$A$2:$DX$83,98,0)</f>
        <v>2341.3636363636365</v>
      </c>
      <c r="CU114" s="151">
        <f>VLOOKUP(Input!$C17,'2020Data'!$A$2:$DX$83,99,0)</f>
        <v>428</v>
      </c>
      <c r="CV114" s="168">
        <f>VLOOKUP(Input!$C17,'2020Data'!$A$2:$DX$83,100,0)</f>
        <v>42618</v>
      </c>
      <c r="CW114" s="152">
        <f>VLOOKUP(Input!$C17,'2020Data'!$A$2:$DX$83,101,0)</f>
        <v>40</v>
      </c>
      <c r="CX114" s="150" t="str">
        <f>VLOOKUP(Input!$C17,'2020Data'!$A$2:$DX$83,102,0)</f>
        <v>Yes</v>
      </c>
      <c r="CY114" s="150" t="str">
        <f>VLOOKUP(Input!$C17,'2020Data'!$A$2:$DX$83,103,0)</f>
        <v>Yes</v>
      </c>
      <c r="CZ114" s="151">
        <f>VLOOKUP(Input!$C17,'2020Data'!$A$2:$DX$83,104,0)</f>
        <v>0</v>
      </c>
      <c r="DA114" s="151">
        <f>VLOOKUP(Input!$C17,'2020Data'!$A$2:$DX$83,105,0)</f>
        <v>0</v>
      </c>
      <c r="DB114" s="186">
        <f>VLOOKUP(Input!$C17,'2020Data'!$A$2:$DX$83,106,0)</f>
        <v>108</v>
      </c>
      <c r="DC114" s="151">
        <f>VLOOKUP(Input!$C17,'2020Data'!$A$2:$DX$83,107,0)</f>
        <v>15754</v>
      </c>
      <c r="DD114" s="151">
        <f>VLOOKUP(Input!$C17,'2020Data'!$A$2:$DX$83,108,0)</f>
        <v>11723</v>
      </c>
      <c r="DE114" s="151">
        <f>VLOOKUP(Input!$C17,'2020Data'!$A$2:$DX$83,109,0)</f>
        <v>30180</v>
      </c>
      <c r="DF114" s="151">
        <f>VLOOKUP(Input!$C17,'2020Data'!$A$2:$DX$83,110,0)</f>
        <v>11832</v>
      </c>
      <c r="DG114" s="151">
        <f>VLOOKUP(Input!$C17,'2020Data'!$A$2:$DX$83,111,0)</f>
        <v>52</v>
      </c>
      <c r="DH114" s="151">
        <f>VLOOKUP(Input!$C17,'2020Data'!$A$2:$DX$83,112,0)</f>
        <v>0.22970297029702971</v>
      </c>
      <c r="DI114" s="151">
        <f>VLOOKUP(Input!$C17,'2020Data'!$A$2:$DX$83,113,0)</f>
        <v>47</v>
      </c>
      <c r="DJ114" s="151">
        <f>VLOOKUP(Input!$C17,'2020Data'!$A$2:$DX$83,114,0)</f>
        <v>47</v>
      </c>
      <c r="DK114" s="151">
        <f>VLOOKUP(Input!$C17,'2020Data'!$A$2:$DX$83,115,0)</f>
        <v>2691</v>
      </c>
      <c r="DL114" s="151">
        <f>VLOOKUP(Input!$C17,'2020Data'!$A$2:$DX$83,116,0)</f>
        <v>9127</v>
      </c>
      <c r="DM114" s="151">
        <f>VLOOKUP(Input!$C17,'2020Data'!$A$2:$DX$83,117,0)</f>
        <v>0</v>
      </c>
      <c r="DN114" s="151" t="str">
        <f>VLOOKUP(Input!$C17,'2020Data'!$A$2:$DX$83,118,0)</f>
        <v>NC0003</v>
      </c>
      <c r="DO114" s="171" t="str">
        <f>VLOOKUP(Input!$C17,'2020Data'!$A$2:$DX$83,119,0)</f>
        <v>Regional</v>
      </c>
      <c r="DP114" s="170">
        <f>VLOOKUP(Input!$C17,'2020Data'!$A$2:$DX$83,120,0)</f>
        <v>0</v>
      </c>
      <c r="DQ114" s="170">
        <f>VLOOKUP(Input!$C17,'2020Data'!$A$2:$DX$83,121,0)</f>
        <v>0</v>
      </c>
      <c r="DR114" s="170" t="str">
        <f>VLOOKUP(Input!$C17,'2020Data'!$A$2:$DX$83,122,0)</f>
        <v>AMY REGIONAL</v>
      </c>
      <c r="DS114" s="170" t="str">
        <f>VLOOKUP(Input!$C17,'2020Data'!$A$2:$DX$83,123,0)</f>
        <v>YANCEY</v>
      </c>
      <c r="DT114" s="242">
        <f>VLOOKUP(Input!$C17,'2020Data'!$A$2:$DX$83,124,0)</f>
        <v>43282</v>
      </c>
      <c r="DU114" s="242">
        <f>VLOOKUP(Input!$C17,'2020Data'!$A$2:$DX$83,125,0)</f>
        <v>43646</v>
      </c>
      <c r="DV114" s="170" t="str">
        <f>VLOOKUP(Input!$C17,'2020Data'!$A$2:$DX$83,126,0)</f>
        <v>AMY REGIONAL</v>
      </c>
      <c r="DW114" s="152">
        <f>VLOOKUP(Input!$C17,'2020Data'!$A$2:$DX$83,127,0)</f>
        <v>1.7556979227334497</v>
      </c>
      <c r="DX114" s="152">
        <f>VLOOKUP(Input!$C17,'2020Data'!$A$2:$DZ$83,128,0)</f>
        <v>0</v>
      </c>
      <c r="DY114" s="152">
        <f>VLOOKUP(Input!$C17,'2020Data'!$A$2:$DZ$83,129,0)</f>
        <v>3.387711124053582</v>
      </c>
      <c r="DZ114" s="152">
        <f>VLOOKUP(Input!$C17,'2020Data'!$A$2:$DZ$83,130,0)</f>
        <v>0.48714812657736362</v>
      </c>
      <c r="EA114" s="153">
        <f>VLOOKUP(Input!$C17,'2020Data'!$A$2:$EA$83,131,0)</f>
        <v>0.25175796510113724</v>
      </c>
      <c r="EB114" s="153">
        <f>VLOOKUP(Input!$C17,'2020Data'!$A$2:$EB$83,132,0)</f>
        <v>0</v>
      </c>
    </row>
    <row r="115" spans="2:132" x14ac:dyDescent="0.3">
      <c r="B115" s="157" t="str">
        <f>VLOOKUP(Input!$C18,'2020Data'!$A$2:$DX$83,1)</f>
        <v>AMY REGIONAL</v>
      </c>
      <c r="C115" s="151" t="e">
        <f>VLOOKUP(Input!$C13,'2020Data'!$A$2:$DX$83,3,0)</f>
        <v>#N/A</v>
      </c>
      <c r="D115" s="151">
        <f>VLOOKUP(Input!$C18,'2020Data'!$A$2:$DX$83,4,0)</f>
        <v>2</v>
      </c>
      <c r="E115" s="151">
        <f>VLOOKUP(Input!$C18,'2020Data'!$A$2:$DX$83,5,0)</f>
        <v>0</v>
      </c>
      <c r="F115" s="151">
        <f>VLOOKUP(Input!$C18,'2020Data'!$A$2:$DX$83,6,0)</f>
        <v>71101</v>
      </c>
      <c r="G115" s="75">
        <f>VLOOKUP(Input!$C18,'2020Data'!$A$2:$DX$83,7,0)</f>
        <v>0</v>
      </c>
      <c r="H115" s="151">
        <f>VLOOKUP(Input!$C18,'2020Data'!$A$2:$DX$83,8,0)</f>
        <v>71101</v>
      </c>
      <c r="I115" s="152">
        <f>VLOOKUP(Input!$C18,'2020Data'!$A$2:$DX$83,9,0)</f>
        <v>0.45840999999999998</v>
      </c>
      <c r="J115" s="168">
        <f>VLOOKUP(Input!$C18,'2020Data'!$A$2:$DX$83,10,0)</f>
        <v>1605603</v>
      </c>
      <c r="K115" s="168">
        <f>VLOOKUP(Input!$C18,'2020Data'!$A$2:$DX$83,11,0)</f>
        <v>453692</v>
      </c>
      <c r="L115" s="168">
        <f>VLOOKUP(Input!$C18,'2020Data'!$A2:$DX83,12,0)</f>
        <v>2059295</v>
      </c>
      <c r="M115" s="153">
        <f>VLOOKUP(Input!$C18,'2020Data'!$A$2:$DX$83,13,0)</f>
        <v>13.276865844852486</v>
      </c>
      <c r="N115" s="168">
        <f>VLOOKUP(Input!$C18,'2020Data'!$A$2:$DX$83,14,0)</f>
        <v>121458</v>
      </c>
      <c r="O115" s="168">
        <f>VLOOKUP(Input!$C18,'2020Data'!$A$2:$DX$83,15,0)</f>
        <v>16551</v>
      </c>
      <c r="P115" s="168">
        <f>VLOOKUP(Input!$C18,'2020Data'!$A$2:$DX$83,16,0)</f>
        <v>16719</v>
      </c>
      <c r="Q115" s="168">
        <f>VLOOKUP(Input!$C18,'2020Data'!$A$2:$DX$83,17,0)</f>
        <v>154728</v>
      </c>
      <c r="R115" s="153">
        <f>VLOOKUP(Input!$C18,'2020Data'!$A$2:$DX$83,18,0)</f>
        <v>0.99757582009490409</v>
      </c>
      <c r="S115" s="168">
        <f>VLOOKUP(Input!$C18,'2020Data'!$A$2:$DX$83,19,0)</f>
        <v>420769</v>
      </c>
      <c r="T115" s="168">
        <f>VLOOKUP(Input!$C18,'2020Data'!$A$2:$DX$83,20,0)</f>
        <v>2634792</v>
      </c>
      <c r="U115" s="168">
        <f>VLOOKUP(Input!$C18,'2020Data'!$A$2:$DX$83,21,0)</f>
        <v>0</v>
      </c>
      <c r="V115" s="168">
        <f>VLOOKUP(Input!$C18,'2020Data'!$A$2:$DX$83,22,0)</f>
        <v>2634792</v>
      </c>
      <c r="W115" s="153">
        <f>VLOOKUP(Input!$C18,'2020Data'!$A$2:$DX$83,23,0)</f>
        <v>16.987260160924283</v>
      </c>
      <c r="X115" s="169">
        <f>VLOOKUP(Input!$C18,'2020Data'!$A$2:$DX$83,24,0)</f>
        <v>0.78157782473910653</v>
      </c>
      <c r="Y115" s="169">
        <f>VLOOKUP(Input!$C18,'2020Data'!$A$2:$DX$83,25,0)</f>
        <v>5.8724939198236521E-2</v>
      </c>
      <c r="Z115" s="169">
        <f>VLOOKUP(Input!$C18,'2020Data'!$A$2:$DX$83,26,0)</f>
        <v>0.15969723606265693</v>
      </c>
      <c r="AA115" s="169">
        <f>VLOOKUP(Input!$C18,'2020Data'!$A$2:$DX$83,27,0)</f>
        <v>0</v>
      </c>
      <c r="AB115" s="168">
        <f>VLOOKUP(Input!$C18,'2020Data'!$A$2:$DX$83,28,0)</f>
        <v>0</v>
      </c>
      <c r="AC115" s="168">
        <f>VLOOKUP(Input!$C18,'2020Data'!$A$2:$DX$83,29,0)</f>
        <v>0</v>
      </c>
      <c r="AD115" s="168">
        <f>VLOOKUP(Input!$C18,'2020Data'!$A$2:$DX$83,30,0)</f>
        <v>0</v>
      </c>
      <c r="AE115" s="168">
        <f>VLOOKUP(Input!$C18,'2020Data'!$A$2:$DX$83,31,0)</f>
        <v>0</v>
      </c>
      <c r="AF115" s="168">
        <f>VLOOKUP(Input!$C18,'2020Data'!$A$2:$DX$83,32,0)</f>
        <v>2634792</v>
      </c>
      <c r="AG115" s="168">
        <f>VLOOKUP(Input!$C18,'2020Data'!$A$2:$DX$83,33,0)</f>
        <v>1858220</v>
      </c>
      <c r="AH115" s="168">
        <f>VLOOKUP(Input!$C18,'2020Data'!$A$2:$DX$83,34,0)</f>
        <v>0</v>
      </c>
      <c r="AI115" s="168">
        <f>VLOOKUP(Input!$C18,'2020Data'!$A$2:$DX$83,35,0)</f>
        <v>4493012</v>
      </c>
      <c r="AJ115" s="153">
        <f>VLOOKUP(Input!$C18,'2020Data'!$A$2:$DX$83,36,0)</f>
        <v>28.967737775943881</v>
      </c>
      <c r="AK115" s="168">
        <f>VLOOKUP(Input!$C18,'2020Data'!$A$2:$DX$83,37,0)</f>
        <v>377580</v>
      </c>
      <c r="AL115" s="168">
        <f>VLOOKUP(Input!$C18,'2020Data'!$A$2:$DX$83,38,0)</f>
        <v>46516</v>
      </c>
      <c r="AM115" s="168">
        <f>VLOOKUP(Input!$C18,'2020Data'!$A$2:$DX$83,39,0)</f>
        <v>317111</v>
      </c>
      <c r="AN115" s="168">
        <f>VLOOKUP(Input!$C18,'2020Data'!$A$2:$DX$83,40,0)</f>
        <v>0</v>
      </c>
      <c r="AO115" s="168">
        <f>VLOOKUP(Input!$C18,'2020Data'!$A$2:$DX$83,41,0)</f>
        <v>317111</v>
      </c>
      <c r="AP115" s="198">
        <f>VLOOKUP(Input!$C18,'2020Data'!$A$2:$DX$83,42,0)</f>
        <v>2605027</v>
      </c>
      <c r="AQ115" s="153">
        <f>VLOOKUP(Input!$C18,'2020Data'!$A$2:$DX$83,43,0)</f>
        <v>16.795356663915825</v>
      </c>
      <c r="AR115" s="168">
        <f>VLOOKUP(Input!$C18,'2020Data'!$A$2:$DX$83,44,0)</f>
        <v>0</v>
      </c>
      <c r="AS115" s="168">
        <f>VLOOKUP(Input!$C18,'2020Data'!$A$2:$DX$83,45,0)</f>
        <v>0</v>
      </c>
      <c r="AT115" s="168">
        <f>VLOOKUP(Input!$C18,'2020Data'!$A$2:$DX$83,46,0)</f>
        <v>0</v>
      </c>
      <c r="AU115" s="168">
        <f>VLOOKUP(Input!$C18,'2020Data'!$A$2:$DX$83,47,0)</f>
        <v>0</v>
      </c>
      <c r="AV115" s="168">
        <f>VLOOKUP(Input!$C18,'2020Data'!$A$2:$DX$83,48,0)</f>
        <v>0</v>
      </c>
      <c r="AW115" s="168">
        <f>VLOOKUP(Input!$C18,'2020Data'!$A$2:$DX$83,49,0)</f>
        <v>0</v>
      </c>
      <c r="AX115" s="168">
        <f>VLOOKUP(Input!$C18,'2020Data'!$A$2:$DX$83,50,0)</f>
        <v>0</v>
      </c>
      <c r="AY115" s="168">
        <f>VLOOKUP(Input!$C18,'2020Data'!$A$2:$DX$83,51,0)</f>
        <v>0</v>
      </c>
      <c r="AZ115" s="151">
        <f>VLOOKUP(Input!$C18,'2020Data'!$A$2:$DX$83,52,0)</f>
        <v>199399</v>
      </c>
      <c r="BA115" s="152">
        <f>VLOOKUP(Input!$C18,'2020Data'!$A$2:$DX$83,53,0)</f>
        <v>1.2855825768516609</v>
      </c>
      <c r="BB115" s="151">
        <f>VLOOKUP(Input!$C18,'2020Data'!$A$2:$DX$83,54,0)</f>
        <v>10319</v>
      </c>
      <c r="BC115" s="151">
        <f>VLOOKUP(Input!$C18,'2020Data'!$A$2:$DX$83,55,0)</f>
        <v>10319</v>
      </c>
      <c r="BD115" s="151">
        <f>VLOOKUP(Input!$C18,'2020Data'!$A$2:$DX$83,56,0)</f>
        <v>11534</v>
      </c>
      <c r="BE115" s="151">
        <f>VLOOKUP(Input!$C18,'2020Data'!$A$2:$DX$83,57,0)</f>
        <v>31752</v>
      </c>
      <c r="BF115" s="151">
        <f>VLOOKUP(Input!$C18,'2020Data'!$A$2:$DX$83,58,0)</f>
        <v>74242</v>
      </c>
      <c r="BG115" s="151">
        <f>VLOOKUP(Input!$C18,'2020Data'!$A$2:$DX$83,59,0)</f>
        <v>1</v>
      </c>
      <c r="BH115" s="151">
        <f>VLOOKUP(Input!$C18,'2020Data'!$A$2:$DX$83,60,0)</f>
        <v>89</v>
      </c>
      <c r="BI115" s="151">
        <f>VLOOKUP(Input!$C18,'2020Data'!$A$2:$DX$83,61,0)</f>
        <v>0</v>
      </c>
      <c r="BJ115" s="151">
        <f>VLOOKUP(Input!$C18,'2020Data'!$A$2:$DX$83,62,0)</f>
        <v>90</v>
      </c>
      <c r="BK115" s="151">
        <f>VLOOKUP(Input!$C18,'2020Data'!$A$2:$DX$83,63,0)</f>
        <v>342356</v>
      </c>
      <c r="BL115" s="152">
        <f>VLOOKUP(Input!$C18,'2020Data'!$A$2:$DX$83,64,0)</f>
        <v>2.2072673818857025</v>
      </c>
      <c r="BM115" s="151">
        <f>VLOOKUP(Input!$C18,'2020Data'!$A$2:$DX$83,65,0)</f>
        <v>173</v>
      </c>
      <c r="BN115" s="151">
        <f>VLOOKUP(Input!$C18,'2020Data'!$A$2:$DX$83,66,0)</f>
        <v>24492</v>
      </c>
      <c r="BO115" s="152">
        <f>VLOOKUP(Input!$C18,'2020Data'!$A$2:$DX$83,67,0)</f>
        <v>0.15790695275428099</v>
      </c>
      <c r="BP115" s="151">
        <f>VLOOKUP(Input!$C18,'2020Data'!$A$2:$DX$83,68,0)</f>
        <v>184009</v>
      </c>
      <c r="BQ115" s="151">
        <f>VLOOKUP(Input!$C18,'2020Data'!$A$2:$DX$83,69,0)</f>
        <v>0</v>
      </c>
      <c r="BR115" s="151">
        <f>VLOOKUP(Input!$C18,'2020Data'!$A$2:$DX$83,70,0)</f>
        <v>421368</v>
      </c>
      <c r="BS115" s="151">
        <f>VLOOKUP(Input!$C18,'2020Data'!$A$2:$DX$83,71,0)</f>
        <v>89749</v>
      </c>
      <c r="BT115" s="151">
        <f>VLOOKUP(Input!$C18,'2020Data'!$A$2:$DX$83,72,0)</f>
        <v>511117</v>
      </c>
      <c r="BU115" s="152">
        <f>VLOOKUP(Input!$C18,'2020Data'!$A$2:$DX$83,73,0)</f>
        <v>3.2953179801939343</v>
      </c>
      <c r="BV115" s="151">
        <f>VLOOKUP(Input!$C18,'2020Data'!$A$2:$DZ$83,74,0)</f>
        <v>10269.580068314244</v>
      </c>
      <c r="BW115" s="212">
        <f>VLOOKUP(Input!$C18,'2020Data'!$A$2:$DX$83,75,0)</f>
        <v>61.63977327544621</v>
      </c>
      <c r="BX115" s="212">
        <f>VLOOKUP(Input!$C18,'2020Data'!$A$2:$DX$83,76,0)</f>
        <v>1.7898321584776953</v>
      </c>
      <c r="BY115" s="152">
        <f>VLOOKUP(Input!$C18,'2020Data'!$A$2:$DX$83,77,0)</f>
        <v>1.4929400974424283</v>
      </c>
      <c r="BZ115" s="151">
        <f>VLOOKUP(Input!$C18,'2020Data'!$A$2:$DX$83,78,0)</f>
        <v>1304</v>
      </c>
      <c r="CA115" s="151">
        <f>VLOOKUP(Input!$C18,'2020Data'!$A$2:$DX$83,79,0)</f>
        <v>65</v>
      </c>
      <c r="CB115" s="151">
        <f>VLOOKUP(Input!$C18,'2020Data'!$A$2:$DX$83,80,0)</f>
        <v>457</v>
      </c>
      <c r="CC115" s="151">
        <f>VLOOKUP(Input!$C18,'2020Data'!$A$2:$DX$83,81,0)</f>
        <v>1826</v>
      </c>
      <c r="CD115" s="151">
        <f>VLOOKUP(Input!$C18,'2020Data'!$A$2:$DX$83,82,0)</f>
        <v>26924</v>
      </c>
      <c r="CE115" s="151">
        <f>VLOOKUP(Input!$C18,'2020Data'!$A$2:$DX$83,83,0)</f>
        <v>1147</v>
      </c>
      <c r="CF115" s="151">
        <f>VLOOKUP(Input!$C18,'2020Data'!$A$2:$DX$83,84,0)</f>
        <v>6072</v>
      </c>
      <c r="CG115" s="151">
        <f>VLOOKUP(Input!$C18,'2020Data'!$A$2:$DX$83,85,0)</f>
        <v>34143</v>
      </c>
      <c r="CH115" s="152">
        <f>VLOOKUP(Input!$C18,'2020Data'!$A$2:$DX$83,86,0)</f>
        <v>0.22012971941407056</v>
      </c>
      <c r="CI115" s="151">
        <f>VLOOKUP(Input!$C18,'2020Data'!$A$2:$DX$83,87,0)</f>
        <v>285567</v>
      </c>
      <c r="CJ115" s="152">
        <f>VLOOKUP(Input!$C18,'2020Data'!$A$2:$DX$83,88,0)</f>
        <v>1.8411324014854549</v>
      </c>
      <c r="CK115" s="151">
        <f>VLOOKUP(Input!$C18,'2020Data'!$A$2:$DX$83,89,0)</f>
        <v>60759</v>
      </c>
      <c r="CL115" s="150" t="str">
        <f>VLOOKUP(Input!$C18,'2020Data'!$A$2:$DX$83,90,0)</f>
        <v>Yes</v>
      </c>
      <c r="CM115" s="150" t="str">
        <f>VLOOKUP(Input!$C18,'2020Data'!$A$2:$DX$83,91,0)</f>
        <v>Yes</v>
      </c>
      <c r="CN115" s="150" t="str">
        <f>VLOOKUP(Input!$C18,'2020Data'!$A$2:$DX$83,92,0)</f>
        <v>Yes</v>
      </c>
      <c r="CO115" s="212">
        <f>VLOOKUP(Input!$C18,'2020Data'!$A$2:$DX$83,93,0)</f>
        <v>12.63</v>
      </c>
      <c r="CP115" s="151">
        <f>VLOOKUP(Input!$C18,'2020Data'!$A$2:$DX$83,94,0)</f>
        <v>12280.601741884402</v>
      </c>
      <c r="CQ115" s="212">
        <f>VLOOKUP(Input!$C18,'2020Data'!$A$2:$DX$83,95,0)</f>
        <v>2</v>
      </c>
      <c r="CR115" s="212">
        <f>VLOOKUP(Input!$C18,'2020Data'!$A$2:$DX$83,96,0)</f>
        <v>35.14</v>
      </c>
      <c r="CS115" s="212">
        <f>VLOOKUP(Input!$C18,'2020Data'!$A$2:$DX$83,97,0)</f>
        <v>49.77</v>
      </c>
      <c r="CT115" s="151">
        <f>VLOOKUP(Input!$C18,'2020Data'!$A$2:$DX$83,98,0)</f>
        <v>3116.4155113522202</v>
      </c>
      <c r="CU115" s="151">
        <f>VLOOKUP(Input!$C18,'2020Data'!$A$2:$DX$83,99,0)</f>
        <v>4570</v>
      </c>
      <c r="CV115" s="168">
        <f>VLOOKUP(Input!$C18,'2020Data'!$A$2:$DX$83,100,0)</f>
        <v>71758</v>
      </c>
      <c r="CW115" s="152">
        <f>VLOOKUP(Input!$C18,'2020Data'!$A$2:$DX$83,101,0)</f>
        <v>32</v>
      </c>
      <c r="CX115" s="150" t="str">
        <f>VLOOKUP(Input!$C18,'2020Data'!$A$2:$DX$83,102,0)</f>
        <v>Yes</v>
      </c>
      <c r="CY115" s="150" t="str">
        <f>VLOOKUP(Input!$C18,'2020Data'!$A$2:$DX$83,103,0)</f>
        <v>Yes</v>
      </c>
      <c r="CZ115" s="151">
        <f>VLOOKUP(Input!$C18,'2020Data'!$A$2:$DX$83,104,0)</f>
        <v>16729</v>
      </c>
      <c r="DA115" s="151">
        <f>VLOOKUP(Input!$C18,'2020Data'!$A$2:$DX$83,105,0)</f>
        <v>27466</v>
      </c>
      <c r="DB115" s="186">
        <f>VLOOKUP(Input!$C18,'2020Data'!$A$2:$DX$83,106,0)</f>
        <v>115</v>
      </c>
      <c r="DC115" s="151">
        <f>VLOOKUP(Input!$C18,'2020Data'!$A$2:$DX$83,107,0)</f>
        <v>36987</v>
      </c>
      <c r="DD115" s="151">
        <f>VLOOKUP(Input!$C18,'2020Data'!$A$2:$DX$83,108,0)</f>
        <v>34246</v>
      </c>
      <c r="DE115" s="151">
        <f>VLOOKUP(Input!$C18,'2020Data'!$A$2:$DX$83,109,0)</f>
        <v>164938</v>
      </c>
      <c r="DF115" s="151">
        <f>VLOOKUP(Input!$C18,'2020Data'!$A$2:$DX$83,110,0)</f>
        <v>11300</v>
      </c>
      <c r="DG115" s="151">
        <f>VLOOKUP(Input!$C18,'2020Data'!$A$2:$DX$83,111,0)</f>
        <v>50</v>
      </c>
      <c r="DH115" s="151">
        <f>VLOOKUP(Input!$C18,'2020Data'!$A$2:$DX$83,112,0)</f>
        <v>7.2854342892510832E-2</v>
      </c>
      <c r="DI115" s="151">
        <f>VLOOKUP(Input!$C18,'2020Data'!$A$2:$DX$83,113,0)</f>
        <v>35</v>
      </c>
      <c r="DJ115" s="151">
        <f>VLOOKUP(Input!$C18,'2020Data'!$A$2:$DX$83,114,0)</f>
        <v>35</v>
      </c>
      <c r="DK115" s="151">
        <f>VLOOKUP(Input!$C18,'2020Data'!$A$2:$DX$83,115,0)</f>
        <v>0</v>
      </c>
      <c r="DL115" s="151">
        <f>VLOOKUP(Input!$C18,'2020Data'!$A$2:$DX$83,116,0)</f>
        <v>8292</v>
      </c>
      <c r="DM115" s="151">
        <f>VLOOKUP(Input!$C18,'2020Data'!$A$2:$DX$83,117,0)</f>
        <v>0</v>
      </c>
      <c r="DN115" s="151" t="str">
        <f>VLOOKUP(Input!$C18,'2020Data'!$A$2:$DX$83,118,0)</f>
        <v>NC0002</v>
      </c>
      <c r="DO115" s="171" t="str">
        <f>VLOOKUP(Input!$C18,'2020Data'!$A$2:$DX$83,119,0)</f>
        <v>Regional</v>
      </c>
      <c r="DP115" s="170">
        <f>VLOOKUP(Input!$C18,'2020Data'!$A$2:$DX$83,120,0)</f>
        <v>0</v>
      </c>
      <c r="DQ115" s="170">
        <f>VLOOKUP(Input!$C18,'2020Data'!$A$2:$DX$83,121,0)</f>
        <v>0</v>
      </c>
      <c r="DR115" s="170" t="str">
        <f>VLOOKUP(Input!$C18,'2020Data'!$A$2:$DX$83,122,0)</f>
        <v xml:space="preserve">APPALACHIAN REGIONAL </v>
      </c>
      <c r="DS115" s="170" t="str">
        <f>VLOOKUP(Input!$C18,'2020Data'!$A$2:$DX$83,123,0)</f>
        <v>ASHE</v>
      </c>
      <c r="DT115" s="242">
        <f>VLOOKUP(Input!$C18,'2020Data'!$A$2:$DX$83,124,0)</f>
        <v>43282</v>
      </c>
      <c r="DU115" s="242">
        <f>VLOOKUP(Input!$C18,'2020Data'!$A$2:$DX$83,125,0)</f>
        <v>43646</v>
      </c>
      <c r="DV115" s="170" t="str">
        <f>VLOOKUP(Input!$C18,'2020Data'!$A$2:$DX$83,126,0)</f>
        <v xml:space="preserve">APPALACHIAN REGIONAL </v>
      </c>
      <c r="DW115" s="152">
        <f>VLOOKUP(Input!$C18,'2020Data'!$A$2:$DX$83,127,0)</f>
        <v>1.18635883020425</v>
      </c>
      <c r="DX115" s="152">
        <f>VLOOKUP(Input!$C18,'2020Data'!$A$2:$DZ$83,128,0)</f>
        <v>0</v>
      </c>
      <c r="DY115" s="152">
        <f>VLOOKUP(Input!$C18,'2020Data'!$A$2:$DZ$83,129,0)</f>
        <v>2.7166804208788942</v>
      </c>
      <c r="DZ115" s="152">
        <f>VLOOKUP(Input!$C18,'2020Data'!$A$2:$DZ$83,130,0)</f>
        <v>0.57863755931504024</v>
      </c>
      <c r="EA115" s="153">
        <f>VLOOKUP(Input!$C18,'2020Data'!$A$2:$EA$83,131,0)</f>
        <v>0.20063200286763455</v>
      </c>
      <c r="EB115" s="153">
        <f>VLOOKUP(Input!$C18,'2020Data'!$A$2:$EB$83,132,0)</f>
        <v>0.18441431102296404</v>
      </c>
    </row>
    <row r="116" spans="2:132" x14ac:dyDescent="0.3">
      <c r="B116" s="157" t="str">
        <f>VLOOKUP(Input!$C19,'2020Data'!$A$2:$DX$83,1)</f>
        <v>BHM REGIONAL</v>
      </c>
      <c r="C116" s="151" t="e">
        <f>VLOOKUP(Input!$C14,'2020Data'!$A$2:$DX$83,3,0)</f>
        <v>#N/A</v>
      </c>
      <c r="D116" s="151">
        <f>VLOOKUP(Input!$C19,'2020Data'!$A$2:$DX$83,4,0)</f>
        <v>7</v>
      </c>
      <c r="E116" s="151">
        <f>VLOOKUP(Input!$C19,'2020Data'!$A$2:$DX$83,5,0)</f>
        <v>0</v>
      </c>
      <c r="F116" s="151">
        <f>VLOOKUP(Input!$C19,'2020Data'!$A$2:$DX$83,6,0)</f>
        <v>31962</v>
      </c>
      <c r="G116" s="75">
        <f>VLOOKUP(Input!$C19,'2020Data'!$A$2:$DX$83,7,0)</f>
        <v>0</v>
      </c>
      <c r="H116" s="151">
        <f>VLOOKUP(Input!$C19,'2020Data'!$A$2:$DX$83,8,0)</f>
        <v>31962</v>
      </c>
      <c r="I116" s="152">
        <f>VLOOKUP(Input!$C19,'2020Data'!$A$2:$DX$83,9,0)</f>
        <v>0.47832000000000002</v>
      </c>
      <c r="J116" s="168">
        <f>VLOOKUP(Input!$C19,'2020Data'!$A$2:$DX$83,10,0)</f>
        <v>486163</v>
      </c>
      <c r="K116" s="168">
        <f>VLOOKUP(Input!$C19,'2020Data'!$A$2:$DX$83,11,0)</f>
        <v>128235</v>
      </c>
      <c r="L116" s="168">
        <f>VLOOKUP(Input!$C19,'2020Data'!$A2:$DX83,12,0)</f>
        <v>614398</v>
      </c>
      <c r="M116" s="153">
        <f>VLOOKUP(Input!$C19,'2020Data'!$A$2:$DX$83,13,0)</f>
        <v>9.1945467061746129</v>
      </c>
      <c r="N116" s="168">
        <f>VLOOKUP(Input!$C19,'2020Data'!$A$2:$DX$83,14,0)</f>
        <v>43154</v>
      </c>
      <c r="O116" s="168">
        <f>VLOOKUP(Input!$C19,'2020Data'!$A$2:$DX$83,15,0)</f>
        <v>6732</v>
      </c>
      <c r="P116" s="168">
        <f>VLOOKUP(Input!$C19,'2020Data'!$A$2:$DX$83,16,0)</f>
        <v>7319</v>
      </c>
      <c r="Q116" s="168">
        <f>VLOOKUP(Input!$C19,'2020Data'!$A$2:$DX$83,17,0)</f>
        <v>57205</v>
      </c>
      <c r="R116" s="153">
        <f>VLOOKUP(Input!$C19,'2020Data'!$A$2:$DX$83,18,0)</f>
        <v>0.8560803328245189</v>
      </c>
      <c r="S116" s="168">
        <f>VLOOKUP(Input!$C19,'2020Data'!$A$2:$DX$83,19,0)</f>
        <v>143020</v>
      </c>
      <c r="T116" s="168">
        <f>VLOOKUP(Input!$C19,'2020Data'!$A$2:$DX$83,20,0)</f>
        <v>814623</v>
      </c>
      <c r="U116" s="168">
        <f>VLOOKUP(Input!$C19,'2020Data'!$A$2:$DX$83,21,0)</f>
        <v>0</v>
      </c>
      <c r="V116" s="168">
        <f>VLOOKUP(Input!$C19,'2020Data'!$A$2:$DX$83,22,0)</f>
        <v>814623</v>
      </c>
      <c r="W116" s="153">
        <f>VLOOKUP(Input!$C19,'2020Data'!$A$2:$DX$83,23,0)</f>
        <v>12.19094010954476</v>
      </c>
      <c r="X116" s="169">
        <f>VLOOKUP(Input!$C19,'2020Data'!$A$2:$DX$83,24,0)</f>
        <v>0.75421145732443107</v>
      </c>
      <c r="Y116" s="169">
        <f>VLOOKUP(Input!$C19,'2020Data'!$A$2:$DX$83,25,0)</f>
        <v>7.0222667417934426E-2</v>
      </c>
      <c r="Z116" s="169">
        <f>VLOOKUP(Input!$C19,'2020Data'!$A$2:$DX$83,26,0)</f>
        <v>0.17556587525763451</v>
      </c>
      <c r="AA116" s="169">
        <f>VLOOKUP(Input!$C19,'2020Data'!$A$2:$DX$83,27,0)</f>
        <v>0</v>
      </c>
      <c r="AB116" s="168">
        <f>VLOOKUP(Input!$C19,'2020Data'!$A$2:$DX$83,28,0)</f>
        <v>0</v>
      </c>
      <c r="AC116" s="168">
        <f>VLOOKUP(Input!$C19,'2020Data'!$A$2:$DX$83,29,0)</f>
        <v>0</v>
      </c>
      <c r="AD116" s="168">
        <f>VLOOKUP(Input!$C19,'2020Data'!$A$2:$DX$83,30,0)</f>
        <v>0</v>
      </c>
      <c r="AE116" s="168">
        <f>VLOOKUP(Input!$C19,'2020Data'!$A$2:$DX$83,31,0)</f>
        <v>0</v>
      </c>
      <c r="AF116" s="168">
        <f>VLOOKUP(Input!$C19,'2020Data'!$A$2:$DX$83,32,0)</f>
        <v>814623</v>
      </c>
      <c r="AG116" s="168">
        <f>VLOOKUP(Input!$C19,'2020Data'!$A$2:$DX$83,33,0)</f>
        <v>376825</v>
      </c>
      <c r="AH116" s="168">
        <f>VLOOKUP(Input!$C19,'2020Data'!$A$2:$DX$83,34,0)</f>
        <v>0</v>
      </c>
      <c r="AI116" s="168">
        <f>VLOOKUP(Input!$C19,'2020Data'!$A$2:$DX$83,35,0)</f>
        <v>1191448</v>
      </c>
      <c r="AJ116" s="153">
        <f>VLOOKUP(Input!$C19,'2020Data'!$A$2:$DX$83,36,0)</f>
        <v>17.830175690640807</v>
      </c>
      <c r="AK116" s="168">
        <f>VLOOKUP(Input!$C19,'2020Data'!$A$2:$DX$83,37,0)</f>
        <v>299668</v>
      </c>
      <c r="AL116" s="168">
        <f>VLOOKUP(Input!$C19,'2020Data'!$A$2:$DX$83,38,0)</f>
        <v>7529</v>
      </c>
      <c r="AM116" s="168">
        <f>VLOOKUP(Input!$C19,'2020Data'!$A$2:$DX$83,39,0)</f>
        <v>63697</v>
      </c>
      <c r="AN116" s="168">
        <f>VLOOKUP(Input!$C19,'2020Data'!$A$2:$DX$83,40,0)</f>
        <v>0</v>
      </c>
      <c r="AO116" s="168">
        <f>VLOOKUP(Input!$C19,'2020Data'!$A$2:$DX$83,41,0)</f>
        <v>63697</v>
      </c>
      <c r="AP116" s="198">
        <f>VLOOKUP(Input!$C19,'2020Data'!$A$2:$DX$83,42,0)</f>
        <v>855469</v>
      </c>
      <c r="AQ116" s="153">
        <f>VLOOKUP(Input!$C19,'2020Data'!$A$2:$DX$83,43,0)</f>
        <v>12.802205860345396</v>
      </c>
      <c r="AR116" s="168">
        <f>VLOOKUP(Input!$C19,'2020Data'!$A$2:$DX$83,44,0)</f>
        <v>0</v>
      </c>
      <c r="AS116" s="168">
        <f>VLOOKUP(Input!$C19,'2020Data'!$A$2:$DX$83,45,0)</f>
        <v>0</v>
      </c>
      <c r="AT116" s="168">
        <f>VLOOKUP(Input!$C19,'2020Data'!$A$2:$DX$83,46,0)</f>
        <v>0</v>
      </c>
      <c r="AU116" s="168">
        <f>VLOOKUP(Input!$C19,'2020Data'!$A$2:$DX$83,47,0)</f>
        <v>0</v>
      </c>
      <c r="AV116" s="168">
        <f>VLOOKUP(Input!$C19,'2020Data'!$A$2:$DX$83,48,0)</f>
        <v>0</v>
      </c>
      <c r="AW116" s="168">
        <f>VLOOKUP(Input!$C19,'2020Data'!$A$2:$DX$83,49,0)</f>
        <v>0</v>
      </c>
      <c r="AX116" s="168">
        <f>VLOOKUP(Input!$C19,'2020Data'!$A$2:$DX$83,50,0)</f>
        <v>0</v>
      </c>
      <c r="AY116" s="168">
        <f>VLOOKUP(Input!$C19,'2020Data'!$A$2:$DX$83,51,0)</f>
        <v>0</v>
      </c>
      <c r="AZ116" s="151">
        <f>VLOOKUP(Input!$C19,'2020Data'!$A$2:$DX$83,52,0)</f>
        <v>96804</v>
      </c>
      <c r="BA116" s="152">
        <f>VLOOKUP(Input!$C19,'2020Data'!$A$2:$DX$83,53,0)</f>
        <v>1.4486845649636346</v>
      </c>
      <c r="BB116" s="151">
        <f>VLOOKUP(Input!$C19,'2020Data'!$A$2:$DX$83,54,0)</f>
        <v>1735</v>
      </c>
      <c r="BC116" s="151">
        <f>VLOOKUP(Input!$C19,'2020Data'!$A$2:$DX$83,55,0)</f>
        <v>1735</v>
      </c>
      <c r="BD116" s="151">
        <f>VLOOKUP(Input!$C19,'2020Data'!$A$2:$DX$83,56,0)</f>
        <v>6478</v>
      </c>
      <c r="BE116" s="151">
        <f>VLOOKUP(Input!$C19,'2020Data'!$A$2:$DX$83,57,0)</f>
        <v>1752</v>
      </c>
      <c r="BF116" s="151">
        <f>VLOOKUP(Input!$C19,'2020Data'!$A$2:$DX$83,58,0)</f>
        <v>73336</v>
      </c>
      <c r="BG116" s="151">
        <f>VLOOKUP(Input!$C19,'2020Data'!$A$2:$DX$83,59,0)</f>
        <v>1</v>
      </c>
      <c r="BH116" s="151">
        <f>VLOOKUP(Input!$C19,'2020Data'!$A$2:$DX$83,60,0)</f>
        <v>89</v>
      </c>
      <c r="BI116" s="151">
        <f>VLOOKUP(Input!$C19,'2020Data'!$A$2:$DX$83,61,0)</f>
        <v>0</v>
      </c>
      <c r="BJ116" s="151">
        <f>VLOOKUP(Input!$C19,'2020Data'!$A$2:$DX$83,62,0)</f>
        <v>90</v>
      </c>
      <c r="BK116" s="151">
        <f>VLOOKUP(Input!$C19,'2020Data'!$A$2:$DX$83,63,0)</f>
        <v>201374</v>
      </c>
      <c r="BL116" s="152">
        <f>VLOOKUP(Input!$C19,'2020Data'!$A$2:$DX$83,64,0)</f>
        <v>3.0135883391697345</v>
      </c>
      <c r="BM116" s="151">
        <f>VLOOKUP(Input!$C19,'2020Data'!$A$2:$DX$83,65,0)</f>
        <v>32</v>
      </c>
      <c r="BN116" s="151">
        <f>VLOOKUP(Input!$C19,'2020Data'!$A$2:$DX$83,66,0)</f>
        <v>7220</v>
      </c>
      <c r="BO116" s="152">
        <f>VLOOKUP(Input!$C19,'2020Data'!$A$2:$DX$83,67,0)</f>
        <v>0.10804824758313131</v>
      </c>
      <c r="BP116" s="151">
        <f>VLOOKUP(Input!$C19,'2020Data'!$A$2:$DX$83,68,0)</f>
        <v>20828</v>
      </c>
      <c r="BQ116" s="151">
        <f>VLOOKUP(Input!$C19,'2020Data'!$A$2:$DX$83,69,0)</f>
        <v>0</v>
      </c>
      <c r="BR116" s="151">
        <f>VLOOKUP(Input!$C19,'2020Data'!$A$2:$DX$83,70,0)</f>
        <v>43931</v>
      </c>
      <c r="BS116" s="151">
        <f>VLOOKUP(Input!$C19,'2020Data'!$A$2:$DX$83,71,0)</f>
        <v>7063</v>
      </c>
      <c r="BT116" s="151">
        <f>VLOOKUP(Input!$C19,'2020Data'!$A$2:$DX$83,72,0)</f>
        <v>50994</v>
      </c>
      <c r="BU116" s="152">
        <f>VLOOKUP(Input!$C19,'2020Data'!$A$2:$DX$83,73,0)</f>
        <v>0.76313190266678643</v>
      </c>
      <c r="BV116" s="151">
        <f>VLOOKUP(Input!$C19,'2020Data'!$A$2:$DX$83,74,0)</f>
        <v>2817.3480662983425</v>
      </c>
      <c r="BW116" s="212">
        <f>VLOOKUP(Input!$C19,'2020Data'!$A$2:$DX$83,75,0)</f>
        <v>3.8226386806596704</v>
      </c>
      <c r="BX116" s="212">
        <f>VLOOKUP(Input!$C19,'2020Data'!$A$2:$DX$83,76,0)</f>
        <v>0.72564533113242446</v>
      </c>
      <c r="BY116" s="152">
        <f>VLOOKUP(Input!$C19,'2020Data'!$A$2:$DX$83,77,0)</f>
        <v>0.25323030778551353</v>
      </c>
      <c r="BZ116" s="151">
        <f>VLOOKUP(Input!$C19,'2020Data'!$A$2:$DX$83,78,0)</f>
        <v>346</v>
      </c>
      <c r="CA116" s="151">
        <f>VLOOKUP(Input!$C19,'2020Data'!$A$2:$DX$83,79,0)</f>
        <v>15</v>
      </c>
      <c r="CB116" s="151">
        <f>VLOOKUP(Input!$C19,'2020Data'!$A$2:$DX$83,80,0)</f>
        <v>151</v>
      </c>
      <c r="CC116" s="151">
        <f>VLOOKUP(Input!$C19,'2020Data'!$A$2:$DX$83,81,0)</f>
        <v>512</v>
      </c>
      <c r="CD116" s="151">
        <f>VLOOKUP(Input!$C19,'2020Data'!$A$2:$DX$83,82,0)</f>
        <v>6666</v>
      </c>
      <c r="CE116" s="151">
        <f>VLOOKUP(Input!$C19,'2020Data'!$A$2:$DX$83,83,0)</f>
        <v>107</v>
      </c>
      <c r="CF116" s="151">
        <f>VLOOKUP(Input!$C19,'2020Data'!$A$2:$DX$83,84,0)</f>
        <v>1630</v>
      </c>
      <c r="CG116" s="151">
        <f>VLOOKUP(Input!$C19,'2020Data'!$A$2:$DX$83,85,0)</f>
        <v>8403</v>
      </c>
      <c r="CH116" s="152">
        <f>VLOOKUP(Input!$C19,'2020Data'!$A$2:$DX$83,86,0)</f>
        <v>0.12575199784502111</v>
      </c>
      <c r="CI116" s="151">
        <f>VLOOKUP(Input!$C19,'2020Data'!$A$2:$DX$83,87,0)</f>
        <v>70274</v>
      </c>
      <c r="CJ116" s="152">
        <f>VLOOKUP(Input!$C19,'2020Data'!$A$2:$DX$83,88,0)</f>
        <v>1.0516596330549819</v>
      </c>
      <c r="CK116" s="151">
        <f>VLOOKUP(Input!$C19,'2020Data'!$A$2:$DX$83,89,0)</f>
        <v>21059</v>
      </c>
      <c r="CL116" s="150" t="str">
        <f>VLOOKUP(Input!$C19,'2020Data'!$A$2:$DX$83,90,0)</f>
        <v>Yes</v>
      </c>
      <c r="CM116" s="150" t="str">
        <f>VLOOKUP(Input!$C19,'2020Data'!$A$2:$DX$83,91,0)</f>
        <v>Yes</v>
      </c>
      <c r="CN116" s="150" t="str">
        <f>VLOOKUP(Input!$C19,'2020Data'!$A$2:$DX$83,92,0)</f>
        <v>Yes</v>
      </c>
      <c r="CO116" s="212">
        <f>VLOOKUP(Input!$C19,'2020Data'!$A$2:$DX$83,93,0)</f>
        <v>2</v>
      </c>
      <c r="CP116" s="151">
        <f>VLOOKUP(Input!$C19,'2020Data'!$A$2:$DX$83,94,0)</f>
        <v>33411</v>
      </c>
      <c r="CQ116" s="212">
        <f>VLOOKUP(Input!$C19,'2020Data'!$A$2:$DX$83,95,0)</f>
        <v>1</v>
      </c>
      <c r="CR116" s="212">
        <f>VLOOKUP(Input!$C19,'2020Data'!$A$2:$DX$83,96,0)</f>
        <v>15.1</v>
      </c>
      <c r="CS116" s="212">
        <f>VLOOKUP(Input!$C19,'2020Data'!$A$2:$DX$83,97,0)</f>
        <v>18.100000000000001</v>
      </c>
      <c r="CT116" s="151">
        <f>VLOOKUP(Input!$C19,'2020Data'!$A$2:$DX$83,98,0)</f>
        <v>3691.8232044198894</v>
      </c>
      <c r="CU116" s="151">
        <f>VLOOKUP(Input!$C19,'2020Data'!$A$2:$DX$83,99,0)</f>
        <v>231</v>
      </c>
      <c r="CV116" s="168">
        <f>VLOOKUP(Input!$C19,'2020Data'!$A$2:$DX$83,100,0)</f>
        <v>51000</v>
      </c>
      <c r="CW116" s="152">
        <f>VLOOKUP(Input!$C19,'2020Data'!$A$2:$DX$83,101,0)</f>
        <v>40</v>
      </c>
      <c r="CX116" s="150" t="str">
        <f>VLOOKUP(Input!$C19,'2020Data'!$A$2:$DX$83,102,0)</f>
        <v>Yes</v>
      </c>
      <c r="CY116" s="150" t="str">
        <f>VLOOKUP(Input!$C19,'2020Data'!$A$2:$DX$83,103,0)</f>
        <v>Yes</v>
      </c>
      <c r="CZ116" s="151">
        <f>VLOOKUP(Input!$C19,'2020Data'!$A$2:$DX$83,104,0)</f>
        <v>4103</v>
      </c>
      <c r="DA116" s="151">
        <f>VLOOKUP(Input!$C19,'2020Data'!$A$2:$DX$83,105,0)</f>
        <v>3391</v>
      </c>
      <c r="DB116" s="186">
        <f>VLOOKUP(Input!$C19,'2020Data'!$A$2:$DX$83,106,0)</f>
        <v>91</v>
      </c>
      <c r="DC116" s="151">
        <f>VLOOKUP(Input!$C19,'2020Data'!$A$2:$DX$83,107,0)</f>
        <v>19127</v>
      </c>
      <c r="DD116" s="151">
        <f>VLOOKUP(Input!$C19,'2020Data'!$A$2:$DX$83,108,0)</f>
        <v>33315</v>
      </c>
      <c r="DE116" s="151">
        <f>VLOOKUP(Input!$C19,'2020Data'!$A$2:$DX$83,109,0)</f>
        <v>53616</v>
      </c>
      <c r="DF116" s="151">
        <f>VLOOKUP(Input!$C19,'2020Data'!$A$2:$DX$83,110,0)</f>
        <v>16640</v>
      </c>
      <c r="DG116" s="151">
        <f>VLOOKUP(Input!$C19,'2020Data'!$A$2:$DX$83,111,0)</f>
        <v>52</v>
      </c>
      <c r="DH116" s="151">
        <f>VLOOKUP(Input!$C19,'2020Data'!$A$2:$DX$83,112,0)</f>
        <v>0.24901978390350482</v>
      </c>
      <c r="DI116" s="151">
        <f>VLOOKUP(Input!$C19,'2020Data'!$A$2:$DX$83,113,0)</f>
        <v>64</v>
      </c>
      <c r="DJ116" s="151">
        <f>VLOOKUP(Input!$C19,'2020Data'!$A$2:$DX$83,114,0)</f>
        <v>64</v>
      </c>
      <c r="DK116" s="151">
        <f>VLOOKUP(Input!$C19,'2020Data'!$A$2:$DX$83,115,0)</f>
        <v>0</v>
      </c>
      <c r="DL116" s="151">
        <f>VLOOKUP(Input!$C19,'2020Data'!$A$2:$DX$83,116,0)</f>
        <v>13340</v>
      </c>
      <c r="DM116" s="151">
        <f>VLOOKUP(Input!$C19,'2020Data'!$A$2:$DX$83,117,0)</f>
        <v>0</v>
      </c>
      <c r="DN116" s="151" t="str">
        <f>VLOOKUP(Input!$C19,'2020Data'!$A$2:$DX$83,118,0)</f>
        <v>NC0004</v>
      </c>
      <c r="DO116" s="171" t="str">
        <f>VLOOKUP(Input!$C19,'2020Data'!$A$2:$DX$83,119,0)</f>
        <v>Regional</v>
      </c>
      <c r="DP116" s="170">
        <f>VLOOKUP(Input!$C19,'2020Data'!$A$2:$DX$83,120,0)</f>
        <v>0</v>
      </c>
      <c r="DQ116" s="170">
        <f>VLOOKUP(Input!$C19,'2020Data'!$A$2:$DX$83,121,0)</f>
        <v>0</v>
      </c>
      <c r="DR116" s="170" t="str">
        <f>VLOOKUP(Input!$C19,'2020Data'!$A$2:$DX$83,122,0)</f>
        <v>BHM REGIONAL</v>
      </c>
      <c r="DS116" s="170" t="str">
        <f>VLOOKUP(Input!$C19,'2020Data'!$A$2:$DX$83,123,0)</f>
        <v>BEAUFORT</v>
      </c>
      <c r="DT116" s="242">
        <f>VLOOKUP(Input!$C19,'2020Data'!$A$2:$DX$83,124,0)</f>
        <v>43282</v>
      </c>
      <c r="DU116" s="242">
        <f>VLOOKUP(Input!$C19,'2020Data'!$A$2:$DX$83,125,0)</f>
        <v>43646</v>
      </c>
      <c r="DV116" s="170" t="str">
        <f>VLOOKUP(Input!$C19,'2020Data'!$A$2:$DX$83,126,0)</f>
        <v>BHM REGIONAL</v>
      </c>
      <c r="DW116" s="152">
        <f>VLOOKUP(Input!$C19,'2020Data'!$A$2:$DX$83,127,0)</f>
        <v>0.31169375355421869</v>
      </c>
      <c r="DX116" s="152">
        <f>VLOOKUP(Input!$C19,'2020Data'!$A$2:$DZ$83,128,0)</f>
        <v>0</v>
      </c>
      <c r="DY116" s="152">
        <f>VLOOKUP(Input!$C19,'2020Data'!$A$2:$DZ$83,129,0)</f>
        <v>0.65743318068899459</v>
      </c>
      <c r="DZ116" s="152">
        <f>VLOOKUP(Input!$C19,'2020Data'!$A$2:$DZ$83,130,0)</f>
        <v>0.10569872197779175</v>
      </c>
      <c r="EA116" s="153">
        <f>VLOOKUP(Input!$C19,'2020Data'!$A$2:$EA$83,131,0)</f>
        <v>0.66637841844376844</v>
      </c>
      <c r="EB116" s="153">
        <f>VLOOKUP(Input!$C19,'2020Data'!$A$2:$EB$83,132,0)</f>
        <v>0.95313606116381144</v>
      </c>
    </row>
    <row r="117" spans="2:132" ht="14.4" thickBot="1" x14ac:dyDescent="0.35">
      <c r="B117" s="157" t="str">
        <f>VLOOKUP(Input!$C20,'2020Data'!$A$2:$DX$83,1)</f>
        <v xml:space="preserve">ALEXANDER </v>
      </c>
      <c r="C117" s="151" t="e">
        <f>VLOOKUP(Input!$C15,'2020Data'!$A$2:$DX$83,3,0)</f>
        <v>#N/A</v>
      </c>
      <c r="D117" s="151">
        <f>VLOOKUP(Input!C20,'2020Data'!$A2:$DX83,4,0)</f>
        <v>2</v>
      </c>
      <c r="E117" s="151">
        <f>VLOOKUP(Input!$C20,'2020Data'!$A$2:$DX$83,5,0)</f>
        <v>0</v>
      </c>
      <c r="F117" s="151">
        <f>VLOOKUP(Input!$C20,'2020Data'!$A$2:$DX$83,6,0)</f>
        <v>13120</v>
      </c>
      <c r="G117" s="75">
        <f>VLOOKUP(Input!$C20,'2020Data'!$A$2:$DX$83,7,0)</f>
        <v>0</v>
      </c>
      <c r="H117" s="151">
        <f>VLOOKUP(Input!$C20,'2020Data'!$A$2:$DX$83,8,0)</f>
        <v>13120</v>
      </c>
      <c r="I117" s="152">
        <f>VLOOKUP(Input!$C20,'2020Data'!$A$2:$DX$83,9,0)</f>
        <v>0.34176000000000001</v>
      </c>
      <c r="J117" s="168">
        <f>VLOOKUP(Input!$C20,'2020Data'!$A$2:$DX$83,10,0)</f>
        <v>281564</v>
      </c>
      <c r="K117" s="168">
        <f>VLOOKUP(Input!$C20,'2020Data'!$A$2:$DX$83,11,0)</f>
        <v>124817</v>
      </c>
      <c r="L117" s="168">
        <f>VLOOKUP(Input!$C20,'2020Data'!$A2:$DX83,12,0)</f>
        <v>406381</v>
      </c>
      <c r="M117" s="153">
        <f>VLOOKUP(Input!$C20,'2020Data'!$A$2:$DX$83,13,0)</f>
        <v>10.585595207085179</v>
      </c>
      <c r="N117" s="168">
        <f>VLOOKUP(Input!$C20,'2020Data'!$A$2:$DX$83,14,0)</f>
        <v>39673</v>
      </c>
      <c r="O117" s="168">
        <f>VLOOKUP(Input!$C20,'2020Data'!$A$2:$DX$83,15,0)</f>
        <v>6784</v>
      </c>
      <c r="P117" s="168">
        <f>VLOOKUP(Input!$C20,'2020Data'!$A$2:$DX$83,16,0)</f>
        <v>6726</v>
      </c>
      <c r="Q117" s="168">
        <f>VLOOKUP(Input!$C20,'2020Data'!$A$2:$DX$83,17,0)</f>
        <v>53183</v>
      </c>
      <c r="R117" s="153">
        <f>VLOOKUP(Input!$C20,'2020Data'!$A$2:$DX$83,18,0)</f>
        <v>1.3853347225840063</v>
      </c>
      <c r="S117" s="168">
        <f>VLOOKUP(Input!$C20,'2020Data'!$A$2:$DX$83,19,0)</f>
        <v>71924</v>
      </c>
      <c r="T117" s="168">
        <f>VLOOKUP(Input!$C20,'2020Data'!$A$2:$DX$83,20,0)</f>
        <v>531488</v>
      </c>
      <c r="U117" s="168">
        <f>VLOOKUP(Input!$C20,'2020Data'!$A$2:$DX$83,21,0)</f>
        <v>0</v>
      </c>
      <c r="V117" s="168">
        <f>VLOOKUP(Input!$C20,'2020Data'!$A$2:$DX$83,22,0)</f>
        <v>531488</v>
      </c>
      <c r="W117" s="153">
        <f>VLOOKUP(Input!$C20,'2020Data'!$A$2:$DX$83,23,0)</f>
        <v>13.844438655899975</v>
      </c>
      <c r="X117" s="169">
        <f>VLOOKUP(Input!$C20,'2020Data'!$A$2:$DX$83,24,0)</f>
        <v>0.76460992534168226</v>
      </c>
      <c r="Y117" s="169">
        <f>VLOOKUP(Input!$C20,'2020Data'!$A$2:$DX$83,25,0)</f>
        <v>0.10006434764284425</v>
      </c>
      <c r="Z117" s="169">
        <f>VLOOKUP(Input!$C20,'2020Data'!$A$2:$DX$83,26,0)</f>
        <v>0.13532572701547355</v>
      </c>
      <c r="AA117" s="169">
        <f>VLOOKUP(Input!$C20,'2020Data'!$A$2:$DX$83,27,0)</f>
        <v>0</v>
      </c>
      <c r="AB117" s="168">
        <f>VLOOKUP(Input!$C20,'2020Data'!$A$2:$DX$83,28,0)</f>
        <v>0</v>
      </c>
      <c r="AC117" s="168">
        <f>VLOOKUP(Input!$C20,'2020Data'!$A$2:$DX$83,29,0)</f>
        <v>0</v>
      </c>
      <c r="AD117" s="168">
        <f>VLOOKUP(Input!$C20,'2020Data'!$A$2:$DX$83,30,0)</f>
        <v>0</v>
      </c>
      <c r="AE117" s="168">
        <f>VLOOKUP(Input!$C20,'2020Data'!$A$2:$DX$83,31,0)</f>
        <v>0</v>
      </c>
      <c r="AF117" s="168">
        <f>VLOOKUP(Input!$C20,'2020Data'!$A$2:$DX$83,32,0)</f>
        <v>531488</v>
      </c>
      <c r="AG117" s="168">
        <f>VLOOKUP(Input!$C20,'2020Data'!$A$2:$DX$83,33,0)</f>
        <v>462148</v>
      </c>
      <c r="AH117" s="168">
        <f>VLOOKUP(Input!$C20,'2020Data'!$A$2:$DX$83,34,0)</f>
        <v>0</v>
      </c>
      <c r="AI117" s="168">
        <f>VLOOKUP(Input!$C20,'2020Data'!$A$2:$DX$83,35,0)</f>
        <v>993636</v>
      </c>
      <c r="AJ117" s="153">
        <f>VLOOKUP(Input!$C20,'2020Data'!$A$2:$DX$83,36,0)</f>
        <v>25.882677780672051</v>
      </c>
      <c r="AK117" s="168">
        <f>VLOOKUP(Input!$C20,'2020Data'!$A$2:$DX$83,37,0)</f>
        <v>94754</v>
      </c>
      <c r="AL117" s="168">
        <f>VLOOKUP(Input!$C20,'2020Data'!$A$2:$DX$83,38,0)</f>
        <v>0</v>
      </c>
      <c r="AM117" s="168">
        <f>VLOOKUP(Input!$C20,'2020Data'!$A$2:$DX$83,39,0)</f>
        <v>14769</v>
      </c>
      <c r="AN117" s="168">
        <f>VLOOKUP(Input!$C20,'2020Data'!$A$2:$DX$83,40,0)</f>
        <v>0</v>
      </c>
      <c r="AO117" s="168">
        <f>VLOOKUP(Input!$C20,'2020Data'!$A$2:$DX$83,41,0)</f>
        <v>14769</v>
      </c>
      <c r="AP117" s="198">
        <f>VLOOKUP(Input!$C20,'2020Data'!$A$2:$DX$83,42,0)</f>
        <v>571671</v>
      </c>
      <c r="AQ117" s="153">
        <f>VLOOKUP(Input!$C20,'2020Data'!$A$2:$DX$83,43,0)</f>
        <v>14.891143526960146</v>
      </c>
      <c r="AR117" s="168">
        <f>VLOOKUP(Input!$C20,'2020Data'!$A$2:$DX$83,44,0)</f>
        <v>0</v>
      </c>
      <c r="AS117" s="168">
        <f>VLOOKUP(Input!$C20,'2020Data'!$A$2:$DX$83,45,0)</f>
        <v>6770</v>
      </c>
      <c r="AT117" s="168">
        <f>VLOOKUP(Input!$C20,'2020Data'!$A$2:$DX$83,46,0)</f>
        <v>0</v>
      </c>
      <c r="AU117" s="168">
        <f>VLOOKUP(Input!$C20,'2020Data'!$A$2:$DX$83,47,0)</f>
        <v>0</v>
      </c>
      <c r="AV117" s="168">
        <f>VLOOKUP(Input!$C20,'2020Data'!$A$2:$DX$83,48,0)</f>
        <v>0</v>
      </c>
      <c r="AW117" s="168">
        <f>VLOOKUP(Input!$C20,'2020Data'!$A$2:$DX$83,49,0)</f>
        <v>0</v>
      </c>
      <c r="AX117" s="168">
        <f>VLOOKUP(Input!$C20,'2020Data'!$A$2:$DX$83,50,0)</f>
        <v>0</v>
      </c>
      <c r="AY117" s="168">
        <f>VLOOKUP(Input!$C20,'2020Data'!$A$2:$DX$83,51,0)</f>
        <v>6770</v>
      </c>
      <c r="AZ117" s="151">
        <f>VLOOKUP(Input!$C20,'2020Data'!$A$2:$DX$83,52,0)</f>
        <v>51456</v>
      </c>
      <c r="BA117" s="152">
        <f>VLOOKUP(Input!$C20,'2020Data'!$A$2:$DX$83,53,0)</f>
        <v>1.3403490492315706</v>
      </c>
      <c r="BB117" s="151">
        <f>VLOOKUP(Input!$C20,'2020Data'!$A$2:$DX$83,54)</f>
        <v>2574</v>
      </c>
      <c r="BC117" s="151">
        <f>VLOOKUP(Input!$C20,'2020Data'!$A$2:$DX$83,55,0)</f>
        <v>2574</v>
      </c>
      <c r="BD117" s="151">
        <f>VLOOKUP(Input!$C20,'2020Data'!$A$2:$DX$83,56,0)</f>
        <v>3337</v>
      </c>
      <c r="BE117" s="151">
        <f>VLOOKUP(Input!$C20,'2020Data'!$A$2:$DX$83,57,0)</f>
        <v>1752</v>
      </c>
      <c r="BF117" s="151">
        <f>VLOOKUP(Input!$C20,'2020Data'!$A$2:$DX$83,58,0)</f>
        <v>72043</v>
      </c>
      <c r="BG117" s="151">
        <f>VLOOKUP(Input!$C20,'2020Data'!$A$2:$DX$83,59,0)</f>
        <v>1</v>
      </c>
      <c r="BH117" s="151">
        <f>VLOOKUP(Input!$C20,'2020Data'!$A$2:$DX$83,60,0)</f>
        <v>89</v>
      </c>
      <c r="BI117" s="151">
        <f>VLOOKUP(Input!$C20,'2020Data'!$A$2:$DX$83,61,0)</f>
        <v>0</v>
      </c>
      <c r="BJ117" s="151">
        <f>VLOOKUP(Input!$C20,'2020Data'!$A$2:$DX$83,62,0)</f>
        <v>90</v>
      </c>
      <c r="BK117" s="151">
        <f>VLOOKUP(Input!$C20,'2020Data'!$A$2:$DX$83,63,0)</f>
        <v>149901</v>
      </c>
      <c r="BL117" s="152">
        <f>VLOOKUP(Input!$C20,'2020Data'!$A$2:$DX$83,64,0)</f>
        <v>3.9046887210210994</v>
      </c>
      <c r="BM117" s="151">
        <f>VLOOKUP(Input!$C20,'2020Data'!$A$2:$DX$83,65,0)</f>
        <v>0</v>
      </c>
      <c r="BN117" s="151">
        <f>VLOOKUP(Input!$C20,'2020Data'!$A$2:$DX$83,66,0)</f>
        <v>1800</v>
      </c>
      <c r="BO117" s="152">
        <f>VLOOKUP(Input!$C20,'2020Data'!$A$2:$DX$83,67,0)</f>
        <v>4.6887210210992444E-2</v>
      </c>
      <c r="BP117" s="151">
        <f>VLOOKUP(Input!$C20,'2020Data'!$A$2:$DX$83,68,0)</f>
        <v>25116</v>
      </c>
      <c r="BQ117" s="151">
        <f>VLOOKUP(Input!$C20,'2020Data'!$A$2:$DX$83,69,0)</f>
        <v>0</v>
      </c>
      <c r="BR117" s="151">
        <f>VLOOKUP(Input!$C20,'2020Data'!$A$2:$DX$83,70,0)</f>
        <v>57730</v>
      </c>
      <c r="BS117" s="151">
        <f>VLOOKUP(Input!$C20,'2020Data'!$A$2:$DX$83,71,0)</f>
        <v>4576</v>
      </c>
      <c r="BT117" s="151">
        <f>VLOOKUP(Input!$C20,'2020Data'!$A$2:$DX$83,72,0)</f>
        <v>62306</v>
      </c>
      <c r="BU117" s="152">
        <f>VLOOKUP(Input!$C20,'2020Data'!$A$2:$DX$83,73)</f>
        <v>1.6229747330033863</v>
      </c>
      <c r="BV117" s="151">
        <f>VLOOKUP(Input!$C20,'2020Data'!$A$2:$DX$83,74,0)</f>
        <v>5371.2068965517246</v>
      </c>
      <c r="BW117" s="212">
        <f>VLOOKUP(Input!$C20,'2020Data'!$A$2:$DX$83,75,0)</f>
        <v>21.641542202153527</v>
      </c>
      <c r="BX117" s="212">
        <f>VLOOKUP(Input!$C20,'2020Data'!$A$2:$DX$83,76,0)</f>
        <v>1.379519539466401</v>
      </c>
      <c r="BY117" s="152">
        <f>VLOOKUP(Input!$C20,'2020Data'!$A$2:$DX$83,77,0)</f>
        <v>0.41564766078945437</v>
      </c>
      <c r="BZ117" s="151">
        <f>VLOOKUP(Input!$C20,'2020Data'!$A$2:$DX$83,78,0)</f>
        <v>301</v>
      </c>
      <c r="CA117" s="151">
        <f>VLOOKUP(Input!$C20,'2020Data'!$A$2:$DX$83,79,0)</f>
        <v>24</v>
      </c>
      <c r="CB117" s="151">
        <f>VLOOKUP(Input!$C20,'2020Data'!$A$2:$DX$83,80,0)</f>
        <v>152</v>
      </c>
      <c r="CC117" s="151">
        <f>VLOOKUP(Input!$C20,'2020Data'!$A$2:$DX$83,81,0)</f>
        <v>477</v>
      </c>
      <c r="CD117" s="151">
        <f>VLOOKUP(Input!$C20,'2020Data'!$A$2:$DX$83,82,0)</f>
        <v>5461</v>
      </c>
      <c r="CE117" s="151">
        <f>VLOOKUP(Input!$C20,'2020Data'!$A$2:$DX$83,83,0)</f>
        <v>869</v>
      </c>
      <c r="CF117" s="151">
        <f>VLOOKUP(Input!$C20,'2020Data'!$A$2:$DX$83,84,0)</f>
        <v>854</v>
      </c>
      <c r="CG117" s="151">
        <f>VLOOKUP(Input!$C20,'2020Data'!$A$2:$DX$83,85,0)</f>
        <v>7184</v>
      </c>
      <c r="CH117" s="152">
        <f>VLOOKUP(Input!$C20,'2020Data'!$A$2:$DX$83,86,0)</f>
        <v>0.18713206564209431</v>
      </c>
      <c r="CI117" s="151">
        <f>VLOOKUP(Input!$C20,'2020Data'!$A$2:$DX$83,87,0)</f>
        <v>45165</v>
      </c>
      <c r="CJ117" s="152">
        <f>VLOOKUP(Input!$C20,'2020Data'!$A$2:$DX$83,88,0)</f>
        <v>1.1764782495441521</v>
      </c>
      <c r="CK117" s="151">
        <f>VLOOKUP(Input!$C20,'2020Data'!$A$2:$DX$83,89,0)</f>
        <v>8986</v>
      </c>
      <c r="CL117" s="150" t="str">
        <f>VLOOKUP(Input!$C20,'2020Data'!$A$2:$DX$83,90,0)</f>
        <v>Yes</v>
      </c>
      <c r="CM117" s="150" t="str">
        <f>VLOOKUP(Input!$C20,'2020Data'!$A$2:$DX$83,91,0)</f>
        <v>Yes</v>
      </c>
      <c r="CN117" s="150" t="str">
        <f>VLOOKUP(Input!$C20,'2020Data'!$A$2:$DX$83,92,0)</f>
        <v>Yes</v>
      </c>
      <c r="CO117" s="212">
        <f>VLOOKUP(Input!$C20,'2020Data'!$A$2:$DX$83,93,0)</f>
        <v>1</v>
      </c>
      <c r="CP117" s="151">
        <f>VLOOKUP(Input!$C20,'2020Data'!$A$2:$DX$83,94,0)</f>
        <v>38390</v>
      </c>
      <c r="CQ117" s="212">
        <f>VLOOKUP(Input!$C20,'2020Data'!$A$2:$DX$83,95,0)</f>
        <v>0</v>
      </c>
      <c r="CR117" s="212">
        <f>VLOOKUP(Input!$C20,'2020Data'!$A$2:$DX$83,96,0)</f>
        <v>10.6</v>
      </c>
      <c r="CS117" s="212">
        <f>VLOOKUP(Input!$C20,'2020Data'!$A$2:$DX$83,97,0)</f>
        <v>11.6</v>
      </c>
      <c r="CT117" s="151">
        <f>VLOOKUP(Input!$C20,'2020Data'!$A$2:$DX$83,98,0)</f>
        <v>3309.4827586206898</v>
      </c>
      <c r="CU117" s="151" t="str">
        <f>VLOOKUP(Input!$C20,'2020Data'!$A$2:$DX$83,99,0)</f>
        <v/>
      </c>
      <c r="CV117" s="168">
        <f>VLOOKUP(Input!$C20,'2020Data'!$A$2:$DX$83,100,0)</f>
        <v>50412</v>
      </c>
      <c r="CW117" s="152">
        <f>VLOOKUP(Input!$C20,'2020Data'!$A$2:$DX$83,101,0)</f>
        <v>20</v>
      </c>
      <c r="CX117" s="150" t="str">
        <f>VLOOKUP(Input!$C20,'2020Data'!$A$2:$DX$83,102,0)</f>
        <v>Yes</v>
      </c>
      <c r="CY117" s="150" t="str">
        <f>VLOOKUP(Input!$C20,'2020Data'!$A$2:$DX$83,103,0)</f>
        <v>Yes</v>
      </c>
      <c r="CZ117" s="151">
        <f>VLOOKUP(Input!$C20,'2020Data'!$A$2:$DX$83,104,0)</f>
        <v>3764</v>
      </c>
      <c r="DA117" s="151">
        <f>VLOOKUP(Input!$C20,'2020Data'!$A$2:$DX$83,105,0)</f>
        <v>3815</v>
      </c>
      <c r="DB117" s="186">
        <f>VLOOKUP(Input!$C20,'2020Data'!$A$2:$DX$83,106,0)</f>
        <v>16</v>
      </c>
      <c r="DC117" s="151">
        <f>VLOOKUP(Input!$C20,'2020Data'!$A$2:$DX$83,107,0)</f>
        <v>7320</v>
      </c>
      <c r="DD117" s="151" t="str">
        <f>VLOOKUP(Input!$C20,'2020Data'!$A$2:$DX$83,108,0)</f>
        <v>-1</v>
      </c>
      <c r="DE117" s="151">
        <f>VLOOKUP(Input!$C20,'2020Data'!$A$2:$DX$83,109,0)</f>
        <v>29086</v>
      </c>
      <c r="DF117" s="151">
        <f>VLOOKUP(Input!$C20,'2020Data'!$A$2:$DX$83,110,0)</f>
        <v>4893</v>
      </c>
      <c r="DG117" s="151">
        <f>VLOOKUP(Input!$C20,'2020Data'!$A$2:$DX$83,111,0)</f>
        <v>51</v>
      </c>
      <c r="DH117" s="151">
        <f>VLOOKUP(Input!$C20,'2020Data'!$A$2:$DX$83,112,0)</f>
        <v>0.12745506642354779</v>
      </c>
      <c r="DI117" s="151">
        <f>VLOOKUP(Input!$C20,'2020Data'!$A$2:$DX$83,113,0)</f>
        <v>29</v>
      </c>
      <c r="DJ117" s="151">
        <f>VLOOKUP(Input!$C20,'2020Data'!$A$2:$DX$83,114,0)</f>
        <v>29</v>
      </c>
      <c r="DK117" s="151">
        <f>VLOOKUP(Input!$C20,'2020Data'!$A$2:$DX$83,115,0)</f>
        <v>0</v>
      </c>
      <c r="DL117" s="151">
        <f>VLOOKUP(Input!$C20,'2020Data'!$A$2:$DX$83,116,0)</f>
        <v>2879</v>
      </c>
      <c r="DM117" s="151">
        <f>VLOOKUP(Input!$C20,'2020Data'!$A$2:$DX$83,117,0)</f>
        <v>0</v>
      </c>
      <c r="DN117" s="151" t="str">
        <f>VLOOKUP(Input!$C20,'2020Data'!$A$2:$DX$83,118,0)</f>
        <v>NC0016</v>
      </c>
      <c r="DO117" s="171" t="str">
        <f>VLOOKUP(Input!$C20,'2020Data'!$A$2:$DX$83,119,0)</f>
        <v>County</v>
      </c>
      <c r="DP117" s="170">
        <f>VLOOKUP(Input!$C20,'2020Data'!$A$2:$DX$83,120,0)</f>
        <v>0</v>
      </c>
      <c r="DQ117" s="170">
        <f>VLOOKUP(Input!$C20,'2020Data'!$A$2:$DX$83,121,0)</f>
        <v>0</v>
      </c>
      <c r="DR117" s="170" t="str">
        <f>VLOOKUP(Input!$C20,'2020Data'!$A$2:$DX$83,122,0)</f>
        <v xml:space="preserve">ALEXANDER </v>
      </c>
      <c r="DS117" s="170" t="str">
        <f>VLOOKUP(Input!$C20,'2020Data'!$A$2:$DX$83,123,0)</f>
        <v>ALEXANDER</v>
      </c>
      <c r="DT117" s="242">
        <f>VLOOKUP(Input!$C20,'2020Data'!$A$2:$DX$83,124,0)</f>
        <v>43282</v>
      </c>
      <c r="DU117" s="242">
        <f>VLOOKUP(Input!$C20,'2020Data'!$A$2:$DX$83,125,0)</f>
        <v>43646</v>
      </c>
      <c r="DV117" s="170" t="str">
        <f>VLOOKUP(Input!$C20,'2020Data'!$A$2:$DX$83,126,0)</f>
        <v xml:space="preserve">ALEXANDER </v>
      </c>
      <c r="DW117" s="152">
        <f>VLOOKUP(Input!$C20,'2020Data'!$A$2:$DX$83,127,0)</f>
        <v>0.65423287314404788</v>
      </c>
      <c r="DX117" s="152">
        <f>VLOOKUP(Input!$C20,'2020Data'!$A$2:$DZ$83,128,0)</f>
        <v>0</v>
      </c>
      <c r="DY117" s="152">
        <f>VLOOKUP(Input!$C20,'2020Data'!$A$2:$DZ$83,129,0)</f>
        <v>1.5037770252669966</v>
      </c>
      <c r="DZ117" s="152">
        <f>VLOOKUP(Input!$C20,'2020Data'!$A$2:$DZ$83,130,0)</f>
        <v>0.11919770773638969</v>
      </c>
      <c r="EA117" s="153">
        <f>VLOOKUP(Input!$C20,'2020Data'!$A$2:$EA$83,131,0)</f>
        <v>0.47887646959418678</v>
      </c>
      <c r="EB117" s="153">
        <f>VLOOKUP(Input!$C20,'2020Data'!$A$2:$EB$83,132,0)</f>
        <v>1.4825174825174825</v>
      </c>
    </row>
    <row r="118" spans="2:132" ht="14.4" thickBot="1" x14ac:dyDescent="0.35">
      <c r="B118" s="140" t="s">
        <v>16</v>
      </c>
      <c r="C118" s="151">
        <f>C104</f>
        <v>126853.17073170732</v>
      </c>
      <c r="D118" s="151">
        <f t="shared" ref="D118:BH118" si="166">D104</f>
        <v>3.8536585365853657</v>
      </c>
      <c r="E118" s="151">
        <f t="shared" si="166"/>
        <v>0.24390243902439024</v>
      </c>
      <c r="F118" s="151">
        <f t="shared" si="166"/>
        <v>57349.304878048781</v>
      </c>
      <c r="G118" s="75">
        <f t="shared" si="166"/>
        <v>0</v>
      </c>
      <c r="H118" s="151">
        <f t="shared" si="166"/>
        <v>57349.304878048781</v>
      </c>
      <c r="I118" s="152">
        <f t="shared" si="166"/>
        <v>0.55860402439024393</v>
      </c>
      <c r="J118" s="168">
        <f t="shared" si="166"/>
        <v>1506575.2195121951</v>
      </c>
      <c r="K118" s="168">
        <f t="shared" si="166"/>
        <v>617046.46341463411</v>
      </c>
      <c r="L118" s="168">
        <f t="shared" si="166"/>
        <v>2123621.6829268294</v>
      </c>
      <c r="M118" s="153">
        <f t="shared" si="166"/>
        <v>17.437238764081602</v>
      </c>
      <c r="N118" s="168">
        <f t="shared" si="166"/>
        <v>198577.89146341462</v>
      </c>
      <c r="O118" s="168">
        <f t="shared" si="166"/>
        <v>111500.88182926827</v>
      </c>
      <c r="P118" s="168">
        <f t="shared" si="166"/>
        <v>26027.300365853658</v>
      </c>
      <c r="Q118" s="168">
        <f t="shared" si="166"/>
        <v>336106.0736585366</v>
      </c>
      <c r="R118" s="153">
        <f t="shared" si="166"/>
        <v>2.4539138888612335</v>
      </c>
      <c r="S118" s="168">
        <f t="shared" si="166"/>
        <v>527219.00073170732</v>
      </c>
      <c r="T118" s="168">
        <f t="shared" si="166"/>
        <v>2986946.7573170732</v>
      </c>
      <c r="U118" s="168">
        <f t="shared" si="166"/>
        <v>1185.3048780487804</v>
      </c>
      <c r="V118" s="168">
        <f t="shared" si="166"/>
        <v>2986946.7573170732</v>
      </c>
      <c r="W118" s="153">
        <f t="shared" si="166"/>
        <v>23.990049306525083</v>
      </c>
      <c r="X118" s="154">
        <f t="shared" si="166"/>
        <v>0.73261416898678755</v>
      </c>
      <c r="Y118" s="154">
        <f t="shared" si="166"/>
        <v>0.10030630260243596</v>
      </c>
      <c r="Z118" s="154">
        <f t="shared" si="166"/>
        <v>0.16707952841077636</v>
      </c>
      <c r="AA118" s="154">
        <f t="shared" si="166"/>
        <v>6.7454827715878103E-4</v>
      </c>
      <c r="AB118" s="168">
        <f t="shared" si="166"/>
        <v>537127.39024390245</v>
      </c>
      <c r="AC118" s="168">
        <f t="shared" si="166"/>
        <v>2986946.7573170732</v>
      </c>
      <c r="AD118" s="168">
        <f t="shared" si="166"/>
        <v>2475912.5487804879</v>
      </c>
      <c r="AE118" s="168" t="e">
        <f t="shared" si="166"/>
        <v>#DIV/0!</v>
      </c>
      <c r="AF118" s="168" t="e">
        <f t="shared" si="166"/>
        <v>#REF!</v>
      </c>
      <c r="AG118" s="168" t="e">
        <f t="shared" si="166"/>
        <v>#REF!</v>
      </c>
      <c r="AH118" s="168" t="e">
        <f t="shared" si="166"/>
        <v>#DIV/0!</v>
      </c>
      <c r="AI118" s="168">
        <f t="shared" si="166"/>
        <v>5462859.3060975615</v>
      </c>
      <c r="AJ118" s="153">
        <f t="shared" si="166"/>
        <v>38.851330074472422</v>
      </c>
      <c r="AK118" s="168">
        <f t="shared" si="166"/>
        <v>175801.30487804877</v>
      </c>
      <c r="AL118" s="168">
        <f t="shared" si="166"/>
        <v>19149.658536585364</v>
      </c>
      <c r="AM118" s="168">
        <f t="shared" si="166"/>
        <v>183932.21951219512</v>
      </c>
      <c r="AN118" s="168" t="e">
        <f t="shared" si="166"/>
        <v>#DIV/0!</v>
      </c>
      <c r="AO118" s="168">
        <f t="shared" si="166"/>
        <v>183932.21951219512</v>
      </c>
      <c r="AP118" s="168">
        <f t="shared" si="166"/>
        <v>3204220.5975609757</v>
      </c>
      <c r="AQ118" s="153">
        <f t="shared" si="166"/>
        <v>25.396720968539146</v>
      </c>
      <c r="AR118" s="168" t="e">
        <f t="shared" si="166"/>
        <v>#DIV/0!</v>
      </c>
      <c r="AS118" s="168">
        <f t="shared" si="166"/>
        <v>216232.91463414635</v>
      </c>
      <c r="AT118" s="168">
        <f t="shared" si="166"/>
        <v>0</v>
      </c>
      <c r="AU118" s="168">
        <f t="shared" si="166"/>
        <v>5487.8048780487807</v>
      </c>
      <c r="AV118" s="168">
        <f t="shared" si="166"/>
        <v>1757.7560975609756</v>
      </c>
      <c r="AW118" s="168" t="e">
        <f t="shared" si="166"/>
        <v>#DIV/0!</v>
      </c>
      <c r="AX118" s="168">
        <f t="shared" si="166"/>
        <v>11802.304878048781</v>
      </c>
      <c r="AY118" s="168">
        <f t="shared" si="166"/>
        <v>235280.78048780488</v>
      </c>
      <c r="AZ118" s="151">
        <f t="shared" si="166"/>
        <v>183066.81707317074</v>
      </c>
      <c r="BA118" s="152">
        <f t="shared" si="166"/>
        <v>1.8303539087647127</v>
      </c>
      <c r="BB118" s="151">
        <f t="shared" si="166"/>
        <v>7535.1219512195121</v>
      </c>
      <c r="BC118" s="151">
        <f t="shared" si="166"/>
        <v>7535.1219512195121</v>
      </c>
      <c r="BD118" s="151">
        <f t="shared" si="166"/>
        <v>11333.439024390244</v>
      </c>
      <c r="BE118" s="151">
        <f t="shared" si="166"/>
        <v>2974.9268292682927</v>
      </c>
      <c r="BF118" s="151">
        <f t="shared" si="166"/>
        <v>121234.4756097561</v>
      </c>
      <c r="BG118" s="151">
        <f t="shared" si="166"/>
        <v>6.2073170731707314</v>
      </c>
      <c r="BH118" s="151">
        <f t="shared" si="166"/>
        <v>89</v>
      </c>
      <c r="BI118" s="151">
        <f t="shared" ref="BI118:BM118" si="167">BI104</f>
        <v>0</v>
      </c>
      <c r="BJ118" s="151">
        <f t="shared" si="167"/>
        <v>95.207317073170728</v>
      </c>
      <c r="BK118" s="151">
        <f t="shared" si="167"/>
        <v>356594.40243902442</v>
      </c>
      <c r="BL118" s="152">
        <f t="shared" si="167"/>
        <v>5.289919482323227</v>
      </c>
      <c r="BM118" s="151">
        <f t="shared" si="167"/>
        <v>175</v>
      </c>
      <c r="BN118" s="151">
        <f t="shared" ref="BN118:CK118" si="168">BN104</f>
        <v>68252.629629629635</v>
      </c>
      <c r="BO118" s="152">
        <f t="shared" si="168"/>
        <v>0.48077898841289152</v>
      </c>
      <c r="BP118" s="151">
        <f t="shared" si="168"/>
        <v>213470.43902439025</v>
      </c>
      <c r="BQ118" s="151">
        <f t="shared" si="168"/>
        <v>0</v>
      </c>
      <c r="BR118" s="151">
        <f t="shared" si="168"/>
        <v>403820.90243902442</v>
      </c>
      <c r="BS118" s="151">
        <f t="shared" si="168"/>
        <v>356301.15853658534</v>
      </c>
      <c r="BT118" s="151">
        <f t="shared" si="168"/>
        <v>760122.06097560981</v>
      </c>
      <c r="BU118" s="152">
        <f t="shared" si="168"/>
        <v>4.2170592216911889</v>
      </c>
      <c r="BV118" s="151">
        <f t="shared" si="168"/>
        <v>12440.601421887757</v>
      </c>
      <c r="BW118" s="212">
        <f t="shared" si="168"/>
        <v>64.645577353638927</v>
      </c>
      <c r="BX118" s="152">
        <f t="shared" si="168"/>
        <v>1.9800662230484027</v>
      </c>
      <c r="BY118" s="152">
        <f t="shared" si="168"/>
        <v>1.275205534905776</v>
      </c>
      <c r="BZ118" s="151">
        <f t="shared" si="168"/>
        <v>833.93902439024396</v>
      </c>
      <c r="CA118" s="151">
        <f t="shared" si="168"/>
        <v>117.58536585365853</v>
      </c>
      <c r="CB118" s="151">
        <f t="shared" si="168"/>
        <v>379.1219512195122</v>
      </c>
      <c r="CC118" s="151">
        <f t="shared" si="168"/>
        <v>1330.6463414634147</v>
      </c>
      <c r="CD118" s="151">
        <f t="shared" si="168"/>
        <v>24046.036585365855</v>
      </c>
      <c r="CE118" s="151">
        <f t="shared" si="168"/>
        <v>1778.3414634146341</v>
      </c>
      <c r="CF118" s="151">
        <f t="shared" si="168"/>
        <v>5947.8780487804879</v>
      </c>
      <c r="CG118" s="151">
        <f t="shared" si="168"/>
        <v>31772.256097560974</v>
      </c>
      <c r="CH118" s="152">
        <f t="shared" si="168"/>
        <v>0.25252810133774278</v>
      </c>
      <c r="CI118" s="151">
        <v>128973.69797421731</v>
      </c>
      <c r="CJ118" s="152">
        <f t="shared" si="168"/>
        <v>2.1265207958881884</v>
      </c>
      <c r="CK118" s="151">
        <f t="shared" si="168"/>
        <v>70900.036585365859</v>
      </c>
      <c r="CL118" s="171"/>
      <c r="CM118" s="171"/>
      <c r="CN118" s="171"/>
      <c r="CO118" s="212">
        <f t="shared" ref="CO118:CW118" si="169">CO104</f>
        <v>9.4025609756097559</v>
      </c>
      <c r="CP118" s="151">
        <f t="shared" si="169"/>
        <v>16132.899857650826</v>
      </c>
      <c r="CQ118" s="212">
        <f t="shared" si="169"/>
        <v>0.72158536585365851</v>
      </c>
      <c r="CR118" s="212">
        <f t="shared" si="169"/>
        <v>27.930731707317076</v>
      </c>
      <c r="CS118" s="212">
        <f t="shared" si="169"/>
        <v>38.054878048780481</v>
      </c>
      <c r="CT118" s="151">
        <f t="shared" si="169"/>
        <v>3494.5780374933361</v>
      </c>
      <c r="CU118" s="151">
        <f t="shared" si="169"/>
        <v>2097.8565822784808</v>
      </c>
      <c r="CV118" s="168">
        <f t="shared" si="169"/>
        <v>80521.951280487803</v>
      </c>
      <c r="CW118" s="152">
        <f t="shared" si="169"/>
        <v>37.307317073170729</v>
      </c>
      <c r="CX118" s="171"/>
      <c r="CY118" s="171"/>
      <c r="CZ118" s="151">
        <f t="shared" ref="CZ118:DF118" si="170">CZ104</f>
        <v>5310.2439024390242</v>
      </c>
      <c r="DA118" s="151">
        <f t="shared" si="170"/>
        <v>5148.1585365853662</v>
      </c>
      <c r="DB118" s="151">
        <f t="shared" si="170"/>
        <v>91.939024390243901</v>
      </c>
      <c r="DC118" s="151">
        <f t="shared" si="170"/>
        <v>39539.817073170729</v>
      </c>
      <c r="DD118" s="151">
        <f t="shared" si="170"/>
        <v>86914.357142857145</v>
      </c>
      <c r="DE118" s="151">
        <f t="shared" si="170"/>
        <v>541093.92753623193</v>
      </c>
      <c r="DF118" s="151">
        <f t="shared" si="170"/>
        <v>11596.707317073171</v>
      </c>
      <c r="DG118" s="151">
        <f t="shared" ref="DG118:DL118" si="171">DG104</f>
        <v>50.524390243902438</v>
      </c>
      <c r="DH118" s="151">
        <f t="shared" si="171"/>
        <v>0.13537368983226386</v>
      </c>
      <c r="DI118" s="151">
        <f t="shared" si="171"/>
        <v>45.975609756097562</v>
      </c>
      <c r="DJ118" s="151">
        <f t="shared" si="171"/>
        <v>45.780487804878049</v>
      </c>
      <c r="DK118" s="256">
        <f t="shared" si="171"/>
        <v>1057.6047197640119</v>
      </c>
      <c r="DL118" s="151">
        <f t="shared" si="171"/>
        <v>8970.0060975609758</v>
      </c>
      <c r="DM118" s="172"/>
      <c r="DN118" s="170"/>
      <c r="DO118" s="150"/>
      <c r="DS118" s="152"/>
      <c r="DT118" s="157"/>
      <c r="DW118" s="152">
        <f>DW104</f>
        <v>1.2707104774760776</v>
      </c>
      <c r="DX118" s="152">
        <f>DX104</f>
        <v>0</v>
      </c>
      <c r="DY118" s="152">
        <f>DY104</f>
        <v>2.7663975973874755</v>
      </c>
      <c r="DZ118" s="152">
        <f>DZ104</f>
        <v>1.4506616243037131</v>
      </c>
      <c r="EA118" s="153">
        <f t="shared" ref="EA118:EB118" si="172">EA104</f>
        <v>0.49983097653631681</v>
      </c>
      <c r="EB118" s="153">
        <f t="shared" si="172"/>
        <v>0.53005193551369711</v>
      </c>
    </row>
  </sheetData>
  <sheetProtection formatCells="0" formatColumns="0" formatRows="0" sort="0" autoFilter="0" pivotTables="0"/>
  <pageMargins left="0.7" right="0.7" top="0.75" bottom="0.75" header="0.3" footer="0.3"/>
  <pageSetup orientation="portrait" r:id="rId1"/>
  <ignoredErrors>
    <ignoredError sqref="AI15:AI21 BJ15:BJ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L558"/>
  <sheetViews>
    <sheetView zoomScaleNormal="100" workbookViewId="0">
      <pane xSplit="1" ySplit="1" topLeftCell="B192" activePane="bottomRight" state="frozen"/>
      <selection pane="topRight" activeCell="B1" sqref="B1"/>
      <selection pane="bottomLeft" activeCell="A2" sqref="A2"/>
      <selection pane="bottomRight" activeCell="DV12" sqref="DV12"/>
    </sheetView>
  </sheetViews>
  <sheetFormatPr defaultColWidth="8.77734375" defaultRowHeight="14.4" x14ac:dyDescent="0.3"/>
  <cols>
    <col min="1" max="1" width="13.109375" customWidth="1"/>
    <col min="2" max="2" width="12.44140625" customWidth="1"/>
    <col min="3" max="8" width="15.6640625" customWidth="1"/>
    <col min="9" max="9" width="15.6640625" style="1" customWidth="1"/>
    <col min="10" max="69" width="15.6640625" customWidth="1"/>
    <col min="70" max="71" width="15.6640625" style="3" customWidth="1"/>
    <col min="72" max="72" width="15.6640625" style="1" customWidth="1"/>
    <col min="73" max="74" width="15.6640625" customWidth="1"/>
    <col min="75" max="75" width="15.6640625" style="3" customWidth="1"/>
    <col min="76" max="76" width="15.6640625" style="1" customWidth="1"/>
    <col min="77" max="81" width="15.6640625" style="3" customWidth="1"/>
    <col min="82" max="82" width="15.6640625" customWidth="1"/>
    <col min="83" max="83" width="15.6640625" style="3" customWidth="1"/>
    <col min="84" max="95" width="15.6640625" customWidth="1"/>
    <col min="96" max="96" width="15.6640625" style="3" customWidth="1"/>
    <col min="97" max="97" width="15.6640625" customWidth="1"/>
    <col min="98" max="98" width="15.6640625" style="54" customWidth="1"/>
    <col min="99" max="106" width="15.6640625" customWidth="1"/>
    <col min="107" max="107" width="15.6640625" style="49" customWidth="1"/>
    <col min="108" max="113" width="15.6640625" customWidth="1"/>
    <col min="114" max="119" width="15.6640625" style="3" customWidth="1"/>
    <col min="120" max="120" width="15.6640625" customWidth="1"/>
    <col min="121" max="122" width="15.6640625" style="3" customWidth="1"/>
    <col min="123" max="128" width="15.6640625" customWidth="1"/>
    <col min="129" max="132" width="15.6640625" style="18" customWidth="1"/>
    <col min="133" max="142" width="15.6640625" customWidth="1"/>
  </cols>
  <sheetData>
    <row r="1" spans="1:142" s="18" customFormat="1" ht="66.45" customHeight="1" thickBot="1" x14ac:dyDescent="0.35">
      <c r="A1" s="20" t="s">
        <v>2041</v>
      </c>
      <c r="B1" s="20"/>
      <c r="C1" s="17" t="s">
        <v>1821</v>
      </c>
      <c r="D1" s="17" t="s">
        <v>1828</v>
      </c>
      <c r="E1" s="17" t="s">
        <v>1829</v>
      </c>
      <c r="F1" s="17" t="s">
        <v>1830</v>
      </c>
      <c r="G1" s="19" t="s">
        <v>1944</v>
      </c>
      <c r="H1" s="17" t="s">
        <v>1945</v>
      </c>
      <c r="I1" s="21" t="s">
        <v>1946</v>
      </c>
      <c r="J1" s="17" t="s">
        <v>1831</v>
      </c>
      <c r="K1" s="17" t="s">
        <v>1832</v>
      </c>
      <c r="L1" s="17" t="s">
        <v>1833</v>
      </c>
      <c r="M1" s="22" t="s">
        <v>1923</v>
      </c>
      <c r="N1" s="17" t="s">
        <v>1834</v>
      </c>
      <c r="O1" s="17" t="s">
        <v>1835</v>
      </c>
      <c r="P1" s="17" t="s">
        <v>1836</v>
      </c>
      <c r="Q1" s="17" t="s">
        <v>1837</v>
      </c>
      <c r="R1" s="17" t="s">
        <v>1924</v>
      </c>
      <c r="S1" s="17" t="s">
        <v>1838</v>
      </c>
      <c r="T1" s="17" t="s">
        <v>1839</v>
      </c>
      <c r="U1" s="17" t="s">
        <v>1840</v>
      </c>
      <c r="V1" s="17" t="s">
        <v>1841</v>
      </c>
      <c r="W1" s="22" t="s">
        <v>1925</v>
      </c>
      <c r="X1" s="23" t="s">
        <v>1940</v>
      </c>
      <c r="Y1" s="23" t="s">
        <v>1941</v>
      </c>
      <c r="Z1" s="23" t="s">
        <v>1942</v>
      </c>
      <c r="AA1" s="23" t="s">
        <v>1943</v>
      </c>
      <c r="AB1" s="17" t="s">
        <v>1842</v>
      </c>
      <c r="AC1" s="17" t="s">
        <v>1843</v>
      </c>
      <c r="AD1" s="17" t="s">
        <v>1844</v>
      </c>
      <c r="AE1" s="17" t="s">
        <v>1845</v>
      </c>
      <c r="AF1" s="17" t="s">
        <v>1846</v>
      </c>
      <c r="AG1" s="17" t="s">
        <v>1847</v>
      </c>
      <c r="AH1" s="17" t="s">
        <v>1848</v>
      </c>
      <c r="AI1" s="17" t="s">
        <v>1849</v>
      </c>
      <c r="AJ1" s="22" t="s">
        <v>1926</v>
      </c>
      <c r="AK1" s="17" t="s">
        <v>1850</v>
      </c>
      <c r="AL1" s="17" t="s">
        <v>1851</v>
      </c>
      <c r="AM1" s="17" t="s">
        <v>1852</v>
      </c>
      <c r="AN1" s="17" t="s">
        <v>1853</v>
      </c>
      <c r="AO1" s="17" t="s">
        <v>1854</v>
      </c>
      <c r="AP1" s="17" t="s">
        <v>1855</v>
      </c>
      <c r="AQ1" s="17" t="s">
        <v>1856</v>
      </c>
      <c r="AR1" s="17" t="s">
        <v>1857</v>
      </c>
      <c r="AS1" s="22" t="s">
        <v>1927</v>
      </c>
      <c r="AT1" s="17" t="s">
        <v>1858</v>
      </c>
      <c r="AU1" s="17" t="s">
        <v>1859</v>
      </c>
      <c r="AV1" s="17" t="s">
        <v>1860</v>
      </c>
      <c r="AW1" s="17" t="s">
        <v>1861</v>
      </c>
      <c r="AX1" s="17" t="s">
        <v>1862</v>
      </c>
      <c r="AY1" s="17" t="s">
        <v>1863</v>
      </c>
      <c r="AZ1" s="17" t="s">
        <v>1864</v>
      </c>
      <c r="BA1" s="17" t="s">
        <v>1865</v>
      </c>
      <c r="BB1" s="17" t="s">
        <v>1866</v>
      </c>
      <c r="BC1" s="17" t="s">
        <v>1867</v>
      </c>
      <c r="BD1" s="17" t="s">
        <v>1868</v>
      </c>
      <c r="BE1" s="17" t="s">
        <v>1869</v>
      </c>
      <c r="BF1" s="22" t="s">
        <v>1928</v>
      </c>
      <c r="BG1" s="17" t="s">
        <v>1870</v>
      </c>
      <c r="BH1" s="17" t="s">
        <v>1871</v>
      </c>
      <c r="BI1" s="17" t="s">
        <v>1872</v>
      </c>
      <c r="BJ1" s="17" t="s">
        <v>1873</v>
      </c>
      <c r="BK1" s="17" t="s">
        <v>1874</v>
      </c>
      <c r="BL1" s="17" t="s">
        <v>1875</v>
      </c>
      <c r="BM1" s="17" t="s">
        <v>1876</v>
      </c>
      <c r="BN1" s="17" t="s">
        <v>1877</v>
      </c>
      <c r="BO1" s="17" t="s">
        <v>1878</v>
      </c>
      <c r="BP1" s="17" t="s">
        <v>1879</v>
      </c>
      <c r="BQ1" s="17" t="s">
        <v>1880</v>
      </c>
      <c r="BR1" s="19" t="s">
        <v>1881</v>
      </c>
      <c r="BS1" s="19" t="s">
        <v>1882</v>
      </c>
      <c r="BT1" s="22" t="s">
        <v>1929</v>
      </c>
      <c r="BU1" s="17" t="s">
        <v>1883</v>
      </c>
      <c r="BV1" s="17" t="s">
        <v>1884</v>
      </c>
      <c r="BW1" s="19" t="s">
        <v>1885</v>
      </c>
      <c r="BX1" s="22" t="s">
        <v>1935</v>
      </c>
      <c r="BY1" s="19" t="s">
        <v>2898</v>
      </c>
      <c r="BZ1" s="19" t="s">
        <v>2899</v>
      </c>
      <c r="CA1" s="19" t="s">
        <v>2900</v>
      </c>
      <c r="CB1" s="19" t="s">
        <v>2901</v>
      </c>
      <c r="CC1" s="19" t="s">
        <v>2902</v>
      </c>
      <c r="CD1" s="17" t="s">
        <v>1930</v>
      </c>
      <c r="CE1" s="19" t="s">
        <v>1931</v>
      </c>
      <c r="CF1" s="24" t="s">
        <v>1932</v>
      </c>
      <c r="CG1" s="21" t="s">
        <v>1933</v>
      </c>
      <c r="CH1" s="21" t="s">
        <v>1934</v>
      </c>
      <c r="CI1" s="17" t="s">
        <v>1891</v>
      </c>
      <c r="CJ1" s="17" t="s">
        <v>1892</v>
      </c>
      <c r="CK1" s="17" t="s">
        <v>1893</v>
      </c>
      <c r="CL1" s="17" t="s">
        <v>1894</v>
      </c>
      <c r="CM1" s="17" t="s">
        <v>1895</v>
      </c>
      <c r="CN1" s="17" t="s">
        <v>1896</v>
      </c>
      <c r="CO1" s="17" t="s">
        <v>1897</v>
      </c>
      <c r="CP1" s="17" t="s">
        <v>1898</v>
      </c>
      <c r="CQ1" s="22" t="s">
        <v>1936</v>
      </c>
      <c r="CR1" s="19" t="s">
        <v>1899</v>
      </c>
      <c r="CS1" s="22" t="s">
        <v>1937</v>
      </c>
      <c r="CT1" s="57" t="s">
        <v>1900</v>
      </c>
      <c r="CU1" s="17" t="s">
        <v>1901</v>
      </c>
      <c r="CV1" s="17" t="s">
        <v>2147</v>
      </c>
      <c r="CW1" s="17" t="s">
        <v>2146</v>
      </c>
      <c r="CX1" s="22" t="s">
        <v>1902</v>
      </c>
      <c r="CY1" s="25" t="s">
        <v>1938</v>
      </c>
      <c r="CZ1" s="22" t="s">
        <v>1903</v>
      </c>
      <c r="DA1" s="22" t="s">
        <v>1904</v>
      </c>
      <c r="DB1" s="22" t="s">
        <v>1905</v>
      </c>
      <c r="DC1" s="48" t="s">
        <v>1939</v>
      </c>
      <c r="DD1" s="17" t="s">
        <v>1906</v>
      </c>
      <c r="DE1" s="17" t="s">
        <v>1907</v>
      </c>
      <c r="DF1" s="17" t="s">
        <v>1908</v>
      </c>
      <c r="DG1" s="17" t="s">
        <v>1909</v>
      </c>
      <c r="DH1" s="17" t="s">
        <v>2158</v>
      </c>
      <c r="DI1" s="17" t="s">
        <v>2159</v>
      </c>
      <c r="DJ1" s="19" t="s">
        <v>1911</v>
      </c>
      <c r="DK1" s="19" t="s">
        <v>1912</v>
      </c>
      <c r="DL1" s="19" t="s">
        <v>2162</v>
      </c>
      <c r="DM1" s="19" t="s">
        <v>2163</v>
      </c>
      <c r="DN1" s="19" t="s">
        <v>1913</v>
      </c>
      <c r="DO1" s="19" t="s">
        <v>1914</v>
      </c>
      <c r="DP1" s="17" t="s">
        <v>1915</v>
      </c>
      <c r="DQ1" s="19" t="s">
        <v>1916</v>
      </c>
      <c r="DR1" s="19" t="s">
        <v>1917</v>
      </c>
      <c r="DS1" s="17" t="s">
        <v>1918</v>
      </c>
      <c r="DT1" s="17" t="s">
        <v>1921</v>
      </c>
      <c r="DU1" s="17" t="s">
        <v>2175</v>
      </c>
      <c r="DV1" s="17" t="s">
        <v>2176</v>
      </c>
      <c r="DW1" s="26" t="s">
        <v>1947</v>
      </c>
      <c r="DX1" s="27" t="s">
        <v>1948</v>
      </c>
      <c r="DY1" s="20" t="s">
        <v>1823</v>
      </c>
      <c r="DZ1" s="20" t="s">
        <v>1819</v>
      </c>
      <c r="EA1" s="20" t="s">
        <v>1820</v>
      </c>
      <c r="EB1" s="20" t="s">
        <v>21</v>
      </c>
      <c r="EC1" s="20" t="s">
        <v>1822</v>
      </c>
      <c r="ED1" s="20" t="s">
        <v>1824</v>
      </c>
      <c r="EE1" s="20" t="s">
        <v>1825</v>
      </c>
      <c r="EF1" s="17" t="s">
        <v>1826</v>
      </c>
      <c r="EG1" s="17" t="s">
        <v>1827</v>
      </c>
      <c r="EH1" s="26" t="s">
        <v>15</v>
      </c>
      <c r="EI1" s="19" t="s">
        <v>1952</v>
      </c>
      <c r="EJ1" s="19" t="s">
        <v>1953</v>
      </c>
      <c r="EK1" s="19" t="s">
        <v>1954</v>
      </c>
      <c r="EL1" s="19" t="s">
        <v>1955</v>
      </c>
    </row>
    <row r="2" spans="1:142" x14ac:dyDescent="0.3">
      <c r="A2" s="28" t="s">
        <v>2050</v>
      </c>
      <c r="B2" s="28"/>
      <c r="C2" s="28" t="s">
        <v>2068</v>
      </c>
      <c r="D2" s="28" t="s">
        <v>2069</v>
      </c>
      <c r="E2" s="28" t="s">
        <v>2070</v>
      </c>
      <c r="F2" s="28" t="s">
        <v>2071</v>
      </c>
      <c r="G2" s="34" t="s">
        <v>2072</v>
      </c>
      <c r="H2" s="34" t="s">
        <v>2878</v>
      </c>
      <c r="I2" s="43" t="s">
        <v>2879</v>
      </c>
      <c r="J2" s="28" t="s">
        <v>2073</v>
      </c>
      <c r="K2" s="28" t="s">
        <v>2074</v>
      </c>
      <c r="L2" s="28" t="s">
        <v>2075</v>
      </c>
      <c r="M2" s="44" t="s">
        <v>2880</v>
      </c>
      <c r="N2" s="28" t="s">
        <v>2076</v>
      </c>
      <c r="O2" s="28" t="s">
        <v>2077</v>
      </c>
      <c r="P2" s="28" t="s">
        <v>2078</v>
      </c>
      <c r="Q2" s="28" t="s">
        <v>2079</v>
      </c>
      <c r="R2" s="44" t="s">
        <v>2881</v>
      </c>
      <c r="S2" s="28" t="s">
        <v>2080</v>
      </c>
      <c r="T2" s="28" t="s">
        <v>2081</v>
      </c>
      <c r="U2" s="28" t="s">
        <v>2082</v>
      </c>
      <c r="V2" s="28" t="s">
        <v>2083</v>
      </c>
      <c r="W2" s="44" t="s">
        <v>2882</v>
      </c>
      <c r="X2" s="44" t="s">
        <v>2883</v>
      </c>
      <c r="Y2" s="44" t="s">
        <v>2884</v>
      </c>
      <c r="Z2" s="44" t="s">
        <v>2885</v>
      </c>
      <c r="AA2" s="44" t="s">
        <v>2886</v>
      </c>
      <c r="AB2" s="28" t="s">
        <v>2084</v>
      </c>
      <c r="AC2" s="28" t="s">
        <v>2085</v>
      </c>
      <c r="AD2" s="28" t="s">
        <v>2086</v>
      </c>
      <c r="AE2" s="28" t="s">
        <v>2087</v>
      </c>
      <c r="AF2" s="28" t="s">
        <v>2088</v>
      </c>
      <c r="AG2" s="28" t="s">
        <v>2089</v>
      </c>
      <c r="AH2" s="28" t="s">
        <v>2090</v>
      </c>
      <c r="AI2" s="28" t="s">
        <v>2091</v>
      </c>
      <c r="AJ2" s="44" t="s">
        <v>2887</v>
      </c>
      <c r="AK2" s="28" t="s">
        <v>2092</v>
      </c>
      <c r="AL2" s="28" t="s">
        <v>2093</v>
      </c>
      <c r="AM2" s="28" t="s">
        <v>2094</v>
      </c>
      <c r="AN2" s="28" t="s">
        <v>2095</v>
      </c>
      <c r="AO2" s="28" t="s">
        <v>2096</v>
      </c>
      <c r="AP2" s="28" t="s">
        <v>2097</v>
      </c>
      <c r="AQ2" s="28" t="s">
        <v>2098</v>
      </c>
      <c r="AR2" s="28" t="s">
        <v>2099</v>
      </c>
      <c r="AS2" s="44" t="s">
        <v>2888</v>
      </c>
      <c r="AT2" s="28" t="s">
        <v>2100</v>
      </c>
      <c r="AU2" s="28" t="s">
        <v>2101</v>
      </c>
      <c r="AV2" s="28" t="s">
        <v>2102</v>
      </c>
      <c r="AW2" s="28" t="s">
        <v>2103</v>
      </c>
      <c r="AX2" s="28" t="s">
        <v>2104</v>
      </c>
      <c r="AY2" s="28" t="s">
        <v>2105</v>
      </c>
      <c r="AZ2" s="28" t="s">
        <v>2106</v>
      </c>
      <c r="BA2" s="28" t="s">
        <v>2107</v>
      </c>
      <c r="BB2" s="28" t="s">
        <v>2108</v>
      </c>
      <c r="BC2" s="28" t="s">
        <v>2109</v>
      </c>
      <c r="BD2" s="28" t="s">
        <v>2110</v>
      </c>
      <c r="BE2" s="28" t="s">
        <v>2111</v>
      </c>
      <c r="BF2" s="44" t="s">
        <v>2889</v>
      </c>
      <c r="BG2" s="28" t="s">
        <v>2112</v>
      </c>
      <c r="BH2" s="28" t="s">
        <v>2113</v>
      </c>
      <c r="BI2" s="28" t="s">
        <v>2114</v>
      </c>
      <c r="BJ2" s="28" t="s">
        <v>2115</v>
      </c>
      <c r="BK2" s="28" t="s">
        <v>2116</v>
      </c>
      <c r="BL2" s="28" t="s">
        <v>2117</v>
      </c>
      <c r="BM2" s="28" t="s">
        <v>2124</v>
      </c>
      <c r="BN2" s="28" t="s">
        <v>2118</v>
      </c>
      <c r="BO2" s="28" t="s">
        <v>2119</v>
      </c>
      <c r="BP2" s="28" t="s">
        <v>2120</v>
      </c>
      <c r="BQ2" s="28" t="s">
        <v>2121</v>
      </c>
      <c r="BR2" s="50" t="s">
        <v>2122</v>
      </c>
      <c r="BS2" s="50" t="s">
        <v>2123</v>
      </c>
      <c r="BT2" s="51" t="s">
        <v>2890</v>
      </c>
      <c r="BU2" s="28" t="s">
        <v>2125</v>
      </c>
      <c r="BV2" s="28" t="s">
        <v>2126</v>
      </c>
      <c r="BW2" s="50" t="s">
        <v>2127</v>
      </c>
      <c r="BX2" s="51" t="s">
        <v>2891</v>
      </c>
      <c r="BY2" s="50" t="s">
        <v>2128</v>
      </c>
      <c r="BZ2" s="50" t="s">
        <v>2129</v>
      </c>
      <c r="CA2" s="50" t="s">
        <v>2130</v>
      </c>
      <c r="CB2" s="50" t="s">
        <v>2131</v>
      </c>
      <c r="CC2" s="50" t="s">
        <v>2132</v>
      </c>
      <c r="CD2" s="53" t="s">
        <v>2892</v>
      </c>
      <c r="CE2" s="53" t="s">
        <v>2893</v>
      </c>
      <c r="CF2" s="53" t="s">
        <v>2894</v>
      </c>
      <c r="CG2" s="53" t="s">
        <v>2895</v>
      </c>
      <c r="CH2" s="53" t="s">
        <v>2903</v>
      </c>
      <c r="CI2" s="28" t="s">
        <v>2133</v>
      </c>
      <c r="CJ2" s="28" t="s">
        <v>2134</v>
      </c>
      <c r="CK2" s="28" t="s">
        <v>2135</v>
      </c>
      <c r="CL2" s="28" t="s">
        <v>2136</v>
      </c>
      <c r="CM2" s="28" t="s">
        <v>2137</v>
      </c>
      <c r="CN2" s="28" t="s">
        <v>2138</v>
      </c>
      <c r="CO2" s="28" t="s">
        <v>2139</v>
      </c>
      <c r="CP2" s="28" t="s">
        <v>2140</v>
      </c>
      <c r="CQ2" s="44" t="s">
        <v>2904</v>
      </c>
      <c r="CR2" s="50" t="s">
        <v>2141</v>
      </c>
      <c r="CS2" s="44" t="s">
        <v>2905</v>
      </c>
      <c r="CT2" s="58" t="s">
        <v>2142</v>
      </c>
      <c r="CU2" s="28" t="s">
        <v>2143</v>
      </c>
      <c r="CV2" s="28" t="s">
        <v>2144</v>
      </c>
      <c r="CW2" s="28" t="s">
        <v>2145</v>
      </c>
      <c r="CX2" s="28" t="s">
        <v>2148</v>
      </c>
      <c r="CY2" s="44" t="s">
        <v>2906</v>
      </c>
      <c r="CZ2" s="28" t="s">
        <v>2149</v>
      </c>
      <c r="DA2" s="28" t="s">
        <v>2150</v>
      </c>
      <c r="DB2" s="28" t="s">
        <v>2151</v>
      </c>
      <c r="DC2" s="56" t="s">
        <v>2907</v>
      </c>
      <c r="DD2" s="28" t="s">
        <v>2152</v>
      </c>
      <c r="DE2" s="28" t="s">
        <v>2153</v>
      </c>
      <c r="DF2" s="28" t="s">
        <v>2154</v>
      </c>
      <c r="DG2" s="28" t="s">
        <v>2155</v>
      </c>
      <c r="DH2" s="28" t="s">
        <v>2156</v>
      </c>
      <c r="DI2" s="28" t="s">
        <v>2157</v>
      </c>
      <c r="DJ2" s="50" t="s">
        <v>2160</v>
      </c>
      <c r="DK2" s="50" t="s">
        <v>2161</v>
      </c>
      <c r="DL2" s="50" t="s">
        <v>2164</v>
      </c>
      <c r="DM2" s="50" t="s">
        <v>2165</v>
      </c>
      <c r="DN2" s="50" t="s">
        <v>2166</v>
      </c>
      <c r="DO2" s="50" t="s">
        <v>2167</v>
      </c>
      <c r="DP2" s="28" t="s">
        <v>2168</v>
      </c>
      <c r="DQ2" s="50" t="s">
        <v>2169</v>
      </c>
      <c r="DR2" s="50" t="s">
        <v>2170</v>
      </c>
      <c r="DS2" s="28" t="s">
        <v>2171</v>
      </c>
      <c r="DT2" s="28" t="s">
        <v>2172</v>
      </c>
      <c r="DU2" s="28" t="s">
        <v>2173</v>
      </c>
      <c r="DV2" s="28" t="s">
        <v>2174</v>
      </c>
      <c r="DW2" s="44" t="s">
        <v>2211</v>
      </c>
      <c r="DX2" s="44" t="s">
        <v>2897</v>
      </c>
      <c r="DY2" s="28" t="s">
        <v>2177</v>
      </c>
      <c r="DZ2" s="28" t="s">
        <v>2188</v>
      </c>
      <c r="EA2" s="28" t="s">
        <v>2195</v>
      </c>
      <c r="EB2" s="28" t="s">
        <v>21</v>
      </c>
      <c r="EC2" s="28" t="s">
        <v>2196</v>
      </c>
      <c r="ED2" s="28" t="s">
        <v>2197</v>
      </c>
      <c r="EE2" s="28" t="s">
        <v>2205</v>
      </c>
      <c r="EF2" s="28" t="s">
        <v>2206</v>
      </c>
      <c r="EG2" s="28" t="s">
        <v>2207</v>
      </c>
      <c r="EH2" s="28" t="s">
        <v>2197</v>
      </c>
      <c r="EI2" s="28" t="s">
        <v>2908</v>
      </c>
      <c r="EJ2" s="28" t="s">
        <v>2909</v>
      </c>
      <c r="EK2" s="28" t="s">
        <v>2910</v>
      </c>
      <c r="EL2" s="28" t="s">
        <v>2911</v>
      </c>
    </row>
    <row r="3" spans="1:142" ht="28.8" x14ac:dyDescent="0.3">
      <c r="A3" s="29" t="s">
        <v>22</v>
      </c>
      <c r="B3" s="29"/>
      <c r="C3" s="30">
        <v>3660</v>
      </c>
      <c r="D3" s="30">
        <v>0</v>
      </c>
      <c r="E3" s="30">
        <v>0</v>
      </c>
      <c r="F3" s="30">
        <v>2470</v>
      </c>
      <c r="H3" s="2">
        <f>G3+F3</f>
        <v>2470</v>
      </c>
      <c r="I3" s="1">
        <f>H3/C3</f>
        <v>0.67486338797814205</v>
      </c>
      <c r="J3" s="31">
        <v>9594</v>
      </c>
      <c r="K3" s="31">
        <v>634</v>
      </c>
      <c r="L3" s="31">
        <v>10228</v>
      </c>
      <c r="M3" s="45">
        <f>L3/C3</f>
        <v>2.7945355191256831</v>
      </c>
      <c r="N3" s="31">
        <v>6106</v>
      </c>
      <c r="O3" s="31">
        <v>0</v>
      </c>
      <c r="P3" s="31">
        <v>0</v>
      </c>
      <c r="Q3" s="31">
        <v>6106</v>
      </c>
      <c r="R3" s="45">
        <f>Q3/C3</f>
        <v>1.6683060109289618</v>
      </c>
      <c r="S3" s="31">
        <v>1469</v>
      </c>
      <c r="T3" s="31">
        <v>17803</v>
      </c>
      <c r="U3" s="31">
        <v>0</v>
      </c>
      <c r="V3" s="31">
        <v>17803</v>
      </c>
      <c r="W3" s="45">
        <f>V3/C3</f>
        <v>4.8642076502732241</v>
      </c>
      <c r="X3" s="4">
        <f>L3/V3</f>
        <v>0.5745099140594282</v>
      </c>
      <c r="Y3" s="4">
        <f>Q3/V3</f>
        <v>0.34297590293770713</v>
      </c>
      <c r="Z3" s="4">
        <f>S3/V3</f>
        <v>8.2514183002864686E-2</v>
      </c>
      <c r="AA3" s="4">
        <f>U3/V3</f>
        <v>0</v>
      </c>
      <c r="AB3" s="31">
        <v>0</v>
      </c>
      <c r="AC3" s="31">
        <v>6106</v>
      </c>
      <c r="AD3" s="31">
        <v>17369</v>
      </c>
      <c r="AE3" s="31">
        <v>17369</v>
      </c>
      <c r="AF3" s="31">
        <v>12528</v>
      </c>
      <c r="AG3" s="31">
        <v>5500</v>
      </c>
      <c r="AH3" s="31">
        <v>0</v>
      </c>
      <c r="AI3" s="31">
        <v>18028</v>
      </c>
      <c r="AJ3" s="45">
        <f>AI3/C3</f>
        <v>4.9256830601092894</v>
      </c>
      <c r="AK3" s="31">
        <v>0</v>
      </c>
      <c r="AL3" s="31">
        <v>0</v>
      </c>
      <c r="AM3" s="31">
        <v>0</v>
      </c>
      <c r="AN3" s="31">
        <v>0</v>
      </c>
      <c r="AO3" s="31">
        <v>0</v>
      </c>
      <c r="AP3" s="31">
        <v>434</v>
      </c>
      <c r="AQ3" s="31">
        <v>434</v>
      </c>
      <c r="AR3" s="31">
        <v>18462</v>
      </c>
      <c r="AS3" s="46">
        <f>AR3/C3</f>
        <v>5.0442622950819676</v>
      </c>
      <c r="AT3" s="31">
        <v>0</v>
      </c>
      <c r="AU3" s="31">
        <v>0</v>
      </c>
      <c r="AV3" s="31">
        <v>0</v>
      </c>
      <c r="AW3" s="31">
        <v>0</v>
      </c>
      <c r="AX3" s="31">
        <v>0</v>
      </c>
      <c r="AY3" s="31">
        <v>0</v>
      </c>
      <c r="AZ3" s="31">
        <v>0</v>
      </c>
      <c r="BA3" s="31">
        <v>0</v>
      </c>
      <c r="BB3" s="31">
        <v>0</v>
      </c>
      <c r="BC3" s="33" t="s">
        <v>25</v>
      </c>
      <c r="BD3" s="47">
        <v>9576</v>
      </c>
      <c r="BE3" s="47">
        <v>9734</v>
      </c>
      <c r="BF3" s="45">
        <f>BE3/C3</f>
        <v>2.6595628415300547</v>
      </c>
      <c r="BG3" s="30">
        <v>68</v>
      </c>
      <c r="BH3" s="30">
        <v>68</v>
      </c>
      <c r="BI3" s="30">
        <v>0</v>
      </c>
      <c r="BJ3" s="30">
        <v>410</v>
      </c>
      <c r="BK3" s="30">
        <v>416</v>
      </c>
      <c r="BL3" s="30">
        <v>0</v>
      </c>
      <c r="BM3" s="30">
        <v>0</v>
      </c>
      <c r="BN3" s="30">
        <v>0</v>
      </c>
      <c r="BO3" s="30">
        <v>0</v>
      </c>
      <c r="BP3" s="30">
        <v>0</v>
      </c>
      <c r="BQ3" s="30">
        <v>51</v>
      </c>
      <c r="BR3" s="47">
        <v>10054</v>
      </c>
      <c r="BS3" s="47">
        <v>10218</v>
      </c>
      <c r="BT3" s="1">
        <f>BS3/C3</f>
        <v>2.7918032786885245</v>
      </c>
      <c r="BU3" s="30">
        <v>0</v>
      </c>
      <c r="BV3" s="30">
        <v>0</v>
      </c>
      <c r="BW3" s="47">
        <v>30</v>
      </c>
      <c r="BX3" s="52">
        <f>BW3/C3</f>
        <v>8.1967213114754103E-3</v>
      </c>
      <c r="BY3" s="47">
        <v>911</v>
      </c>
      <c r="BZ3" s="47">
        <v>0</v>
      </c>
      <c r="CA3" s="47">
        <v>1270</v>
      </c>
      <c r="CB3" s="47">
        <v>0</v>
      </c>
      <c r="CC3" s="47">
        <v>2181</v>
      </c>
      <c r="CD3" s="55">
        <f>CC3/C3</f>
        <v>0.59590163934426232</v>
      </c>
      <c r="CE3" s="3">
        <f>CC3/DB3</f>
        <v>4154.2857142857138</v>
      </c>
      <c r="CF3" s="55">
        <f>CC3/DX3</f>
        <v>2.181</v>
      </c>
      <c r="CG3" s="55">
        <f>CC3/CR3</f>
        <v>0.74896978021978022</v>
      </c>
      <c r="CH3" s="55">
        <f>(BY3+CA3)/BS3</f>
        <v>0.21344685848502643</v>
      </c>
      <c r="CI3" s="30">
        <v>0</v>
      </c>
      <c r="CJ3" s="30">
        <v>0</v>
      </c>
      <c r="CK3" s="30">
        <v>0</v>
      </c>
      <c r="CL3" s="30">
        <v>0</v>
      </c>
      <c r="CM3" s="30">
        <v>0</v>
      </c>
      <c r="CN3" s="30">
        <v>0</v>
      </c>
      <c r="CO3" s="30">
        <v>0</v>
      </c>
      <c r="CP3" s="30">
        <v>0</v>
      </c>
      <c r="CQ3">
        <f>CP3/C3</f>
        <v>0</v>
      </c>
      <c r="CR3" s="47">
        <v>2912</v>
      </c>
      <c r="CS3" s="55">
        <f>CR3/C3</f>
        <v>0.7956284153005464</v>
      </c>
      <c r="CT3" s="59">
        <v>195</v>
      </c>
      <c r="CU3" s="29" t="s">
        <v>25</v>
      </c>
      <c r="CV3" s="29" t="s">
        <v>25</v>
      </c>
      <c r="CW3" s="29" t="s">
        <v>25</v>
      </c>
      <c r="CX3" s="35">
        <v>0</v>
      </c>
      <c r="CY3" s="49">
        <v>0</v>
      </c>
      <c r="CZ3" s="35">
        <v>0.52500000000000002</v>
      </c>
      <c r="DA3" s="35">
        <v>0</v>
      </c>
      <c r="DB3" s="35">
        <v>0.52500000000000002</v>
      </c>
      <c r="DC3" s="49">
        <f>C3/DB3</f>
        <v>6971.4285714285716</v>
      </c>
      <c r="DD3" s="30">
        <v>0</v>
      </c>
      <c r="DE3" s="31">
        <v>11323</v>
      </c>
      <c r="DF3" s="35">
        <v>21</v>
      </c>
      <c r="DG3" s="29" t="s">
        <v>26</v>
      </c>
      <c r="DH3" s="29" t="s">
        <v>26</v>
      </c>
      <c r="DI3" s="29" t="s">
        <v>26</v>
      </c>
      <c r="DJ3" s="47">
        <v>0</v>
      </c>
      <c r="DK3" s="47">
        <v>0</v>
      </c>
      <c r="DL3" s="47">
        <v>6</v>
      </c>
      <c r="DM3" s="47">
        <v>1299</v>
      </c>
      <c r="DN3" s="47">
        <v>2</v>
      </c>
      <c r="DO3" s="47">
        <v>0</v>
      </c>
      <c r="DP3" s="29" t="s">
        <v>2028</v>
      </c>
      <c r="DQ3" s="47">
        <v>0</v>
      </c>
      <c r="DR3" s="47">
        <v>1000</v>
      </c>
      <c r="DS3" s="30">
        <v>50</v>
      </c>
      <c r="DT3" s="30">
        <v>21</v>
      </c>
      <c r="DU3" s="30">
        <v>21</v>
      </c>
      <c r="DV3" s="30">
        <v>21</v>
      </c>
      <c r="DX3" s="2">
        <f>DR3+DW3</f>
        <v>1000</v>
      </c>
      <c r="DY3" s="33" t="s">
        <v>2178</v>
      </c>
      <c r="DZ3" s="33" t="s">
        <v>27</v>
      </c>
      <c r="EA3" s="33" t="s">
        <v>2030</v>
      </c>
      <c r="EB3" s="33" t="s">
        <v>2026</v>
      </c>
      <c r="EC3" s="36">
        <v>1</v>
      </c>
      <c r="ED3" s="29" t="s">
        <v>23</v>
      </c>
      <c r="EE3" s="29" t="s">
        <v>24</v>
      </c>
      <c r="EF3" s="37">
        <v>41548</v>
      </c>
      <c r="EG3" s="37">
        <v>41912</v>
      </c>
      <c r="EH3" s="29" t="s">
        <v>23</v>
      </c>
      <c r="EI3" s="55">
        <f>BY3/C3</f>
        <v>0.24890710382513662</v>
      </c>
      <c r="EJ3" s="54">
        <f>BZ3/C3</f>
        <v>0</v>
      </c>
      <c r="EK3" s="55">
        <f>CA3/C3</f>
        <v>0.34699453551912568</v>
      </c>
      <c r="EL3" s="54">
        <f>CB3/C3</f>
        <v>0</v>
      </c>
    </row>
    <row r="4" spans="1:142" ht="28.8" x14ac:dyDescent="0.3">
      <c r="A4" s="29" t="s">
        <v>29</v>
      </c>
      <c r="B4" s="29"/>
      <c r="C4" s="30">
        <v>120099</v>
      </c>
      <c r="D4" s="30">
        <v>2</v>
      </c>
      <c r="E4" s="30">
        <v>0</v>
      </c>
      <c r="F4" s="30">
        <v>42000</v>
      </c>
      <c r="G4">
        <v>17480</v>
      </c>
      <c r="H4" s="2">
        <f>G4+F4</f>
        <v>59480</v>
      </c>
      <c r="I4" s="1">
        <f t="shared" ref="I4:I64" si="0">H4/C4</f>
        <v>0.49525807875169653</v>
      </c>
      <c r="J4" s="31">
        <v>1126890</v>
      </c>
      <c r="K4" s="31">
        <v>381270</v>
      </c>
      <c r="L4" s="31">
        <v>1508160</v>
      </c>
      <c r="M4" s="45">
        <f t="shared" ref="M4:M67" si="1">L4/C4</f>
        <v>12.55763994704369</v>
      </c>
      <c r="N4" s="31">
        <v>287460</v>
      </c>
      <c r="O4" s="31">
        <v>122616</v>
      </c>
      <c r="P4" s="31">
        <v>33509</v>
      </c>
      <c r="Q4" s="31">
        <v>443585</v>
      </c>
      <c r="R4" s="45">
        <f t="shared" ref="R4:R67" si="2">Q4/C4</f>
        <v>3.6934945336763838</v>
      </c>
      <c r="S4" s="31">
        <v>527760</v>
      </c>
      <c r="T4" s="31">
        <v>2479505</v>
      </c>
      <c r="U4" s="31">
        <v>0</v>
      </c>
      <c r="V4" s="31">
        <v>2479505</v>
      </c>
      <c r="W4" s="45">
        <f t="shared" ref="W4:W67" si="3">V4/C4</f>
        <v>20.645509121641311</v>
      </c>
      <c r="X4" s="4">
        <f t="shared" ref="X4:X67" si="4">L4/V4</f>
        <v>0.60825043708320814</v>
      </c>
      <c r="Y4" s="4">
        <f t="shared" ref="Y4:Y67" si="5">Q4/V4</f>
        <v>0.17890062734295756</v>
      </c>
      <c r="Z4" s="4">
        <f t="shared" ref="Z4:Z67" si="6">S4/V4</f>
        <v>0.2128489355738343</v>
      </c>
      <c r="AA4" s="4">
        <f t="shared" ref="AA4:AA67" si="7">U4/V4</f>
        <v>0</v>
      </c>
      <c r="AB4" s="31">
        <v>0</v>
      </c>
      <c r="AC4" s="31">
        <v>443585</v>
      </c>
      <c r="AD4" s="31">
        <v>2479505</v>
      </c>
      <c r="AE4" s="31">
        <v>2447172</v>
      </c>
      <c r="AF4" s="31">
        <v>2473850</v>
      </c>
      <c r="AG4" s="31">
        <v>0</v>
      </c>
      <c r="AH4" s="31">
        <v>0</v>
      </c>
      <c r="AI4" s="31">
        <v>2473850</v>
      </c>
      <c r="AJ4" s="45">
        <f t="shared" ref="AJ4:AJ67" si="8">AI4/C4</f>
        <v>20.5984229677183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32333</v>
      </c>
      <c r="AQ4" s="31">
        <v>32333</v>
      </c>
      <c r="AR4" s="31">
        <v>2506183</v>
      </c>
      <c r="AS4" s="46">
        <f t="shared" ref="AS4:AS67" si="9">AR4/C4</f>
        <v>20.867642528247529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3" t="s">
        <v>25</v>
      </c>
      <c r="BD4" s="47">
        <v>177843</v>
      </c>
      <c r="BE4" s="47">
        <v>306501</v>
      </c>
      <c r="BF4" s="45">
        <f t="shared" ref="BF4:BF67" si="10">BE4/C4</f>
        <v>2.5520695426273323</v>
      </c>
      <c r="BG4" s="30">
        <v>10535</v>
      </c>
      <c r="BH4" s="30">
        <v>14470</v>
      </c>
      <c r="BI4" s="30">
        <v>4351</v>
      </c>
      <c r="BJ4" s="30">
        <v>9728</v>
      </c>
      <c r="BK4" s="30">
        <v>27069</v>
      </c>
      <c r="BL4" s="30">
        <v>1357</v>
      </c>
      <c r="BM4" s="30">
        <v>5467</v>
      </c>
      <c r="BN4" s="30">
        <v>26</v>
      </c>
      <c r="BO4" s="30">
        <v>51</v>
      </c>
      <c r="BP4" s="30">
        <v>1</v>
      </c>
      <c r="BQ4" s="30">
        <v>78</v>
      </c>
      <c r="BR4" s="47">
        <v>198106</v>
      </c>
      <c r="BS4" s="47">
        <v>359241</v>
      </c>
      <c r="BT4" s="1">
        <f t="shared" ref="BT4:BT67" si="11">BS4/C4</f>
        <v>2.9912072540154373</v>
      </c>
      <c r="BU4" s="30">
        <v>133</v>
      </c>
      <c r="BV4" s="30">
        <v>2</v>
      </c>
      <c r="BW4" s="47">
        <v>81104</v>
      </c>
      <c r="BX4" s="52">
        <f t="shared" ref="BX4:BX67" si="12">BW4/C4</f>
        <v>0.67530953629921986</v>
      </c>
      <c r="BY4" s="47">
        <v>278204</v>
      </c>
      <c r="BZ4" s="47">
        <v>1991</v>
      </c>
      <c r="CA4" s="47">
        <v>419187</v>
      </c>
      <c r="CB4" s="47">
        <v>97204</v>
      </c>
      <c r="CC4" s="47">
        <v>796586</v>
      </c>
      <c r="CD4" s="55">
        <f t="shared" ref="CD4:CD67" si="13">CC4/C4</f>
        <v>6.6327446523284959</v>
      </c>
      <c r="CE4" s="3">
        <f t="shared" ref="CE4:CE67" si="14">CC4/DB4</f>
        <v>22439.042253521126</v>
      </c>
      <c r="CF4" s="55">
        <f t="shared" ref="CF4:CF67" si="15">CC4/DX4</f>
        <v>84.806345150644091</v>
      </c>
      <c r="CG4" s="55">
        <f t="shared" ref="CG4:CG67" si="16">CC4/CR4</f>
        <v>2.2890468076057688</v>
      </c>
      <c r="CH4" s="55">
        <f t="shared" ref="CH4:CH67" si="17">(BY4+CA4)/BS4</f>
        <v>1.9412901088684198</v>
      </c>
      <c r="CI4" s="30">
        <v>2015</v>
      </c>
      <c r="CJ4" s="30">
        <v>59</v>
      </c>
      <c r="CK4" s="30">
        <v>1027</v>
      </c>
      <c r="CL4" s="30">
        <v>3101</v>
      </c>
      <c r="CM4" s="30">
        <v>52176</v>
      </c>
      <c r="CN4" s="30">
        <v>1039</v>
      </c>
      <c r="CO4" s="30">
        <v>4936</v>
      </c>
      <c r="CP4" s="30">
        <v>58151</v>
      </c>
      <c r="CQ4" s="1">
        <f>CP4/C4</f>
        <v>0.48419220809498831</v>
      </c>
      <c r="CR4" s="47">
        <v>347999</v>
      </c>
      <c r="CS4" s="55">
        <f t="shared" ref="CS4:CS67" si="18">CR4/C4</f>
        <v>2.8976011457214463</v>
      </c>
      <c r="CT4" s="59">
        <v>62945</v>
      </c>
      <c r="CU4" s="29" t="s">
        <v>25</v>
      </c>
      <c r="CV4" s="29" t="s">
        <v>25</v>
      </c>
      <c r="CW4" s="29" t="s">
        <v>25</v>
      </c>
      <c r="CX4" s="35">
        <v>12</v>
      </c>
      <c r="CY4" s="49">
        <f t="shared" ref="CY4:CY67" si="19">C4/CX4</f>
        <v>10008.25</v>
      </c>
      <c r="CZ4" s="35">
        <v>0</v>
      </c>
      <c r="DA4" s="35">
        <v>23.5</v>
      </c>
      <c r="DB4" s="35">
        <v>35.5</v>
      </c>
      <c r="DC4" s="49">
        <f t="shared" ref="DC4:DC67" si="20">C4/DB4</f>
        <v>3383.0704225352115</v>
      </c>
      <c r="DD4" s="30">
        <v>1723</v>
      </c>
      <c r="DE4" s="31">
        <v>80000</v>
      </c>
      <c r="DF4" s="35">
        <v>40</v>
      </c>
      <c r="DG4" s="29" t="s">
        <v>25</v>
      </c>
      <c r="DH4" s="29" t="s">
        <v>25</v>
      </c>
      <c r="DI4" s="29" t="s">
        <v>25</v>
      </c>
      <c r="DJ4" s="47">
        <v>4855</v>
      </c>
      <c r="DK4" s="47">
        <v>2469</v>
      </c>
      <c r="DL4" s="47">
        <v>74</v>
      </c>
      <c r="DM4" s="47">
        <v>114099</v>
      </c>
      <c r="DN4" s="47">
        <v>34799</v>
      </c>
      <c r="DO4" s="47">
        <v>0</v>
      </c>
      <c r="DP4" s="29" t="s">
        <v>25</v>
      </c>
      <c r="DQ4" s="47">
        <v>264133</v>
      </c>
      <c r="DR4" s="47">
        <v>3158</v>
      </c>
      <c r="DS4" s="30">
        <v>52</v>
      </c>
      <c r="DT4" s="30">
        <v>63</v>
      </c>
      <c r="DU4" s="30">
        <v>63</v>
      </c>
      <c r="DV4" s="30">
        <v>63</v>
      </c>
      <c r="DW4">
        <f>VLOOKUP(EC4,branch!$I$4:$K$77,3,0)</f>
        <v>6235</v>
      </c>
      <c r="DX4" s="2">
        <f t="shared" ref="DX4:DX67" si="21">DR4+DW4</f>
        <v>9393</v>
      </c>
      <c r="DY4" s="33" t="s">
        <v>2179</v>
      </c>
      <c r="DZ4" s="33" t="s">
        <v>33</v>
      </c>
      <c r="EA4" s="33" t="s">
        <v>2030</v>
      </c>
      <c r="EB4" s="33" t="s">
        <v>2027</v>
      </c>
      <c r="EC4" s="36">
        <v>2</v>
      </c>
      <c r="ED4" s="29" t="s">
        <v>30</v>
      </c>
      <c r="EE4" s="29" t="s">
        <v>31</v>
      </c>
      <c r="EF4" s="37">
        <v>41548</v>
      </c>
      <c r="EG4" s="37">
        <v>41912</v>
      </c>
      <c r="EH4" s="29" t="s">
        <v>30</v>
      </c>
      <c r="EI4" s="55">
        <f t="shared" ref="EI4:EI67" si="22">BY4/C4</f>
        <v>2.316455590804253</v>
      </c>
      <c r="EJ4" s="54">
        <f t="shared" ref="EJ4:EJ67" si="23">BZ4/C4</f>
        <v>1.6577989825060993E-2</v>
      </c>
      <c r="EK4" s="55">
        <f t="shared" ref="EK4:EK67" si="24">CA4/C4</f>
        <v>3.4903454649913823</v>
      </c>
      <c r="EL4" s="54">
        <f t="shared" ref="EL4:EL67" si="25">CB4/C4</f>
        <v>0.80936560670779945</v>
      </c>
    </row>
    <row r="5" spans="1:142" ht="57.6" x14ac:dyDescent="0.3">
      <c r="A5" s="29" t="s">
        <v>34</v>
      </c>
      <c r="B5" s="29"/>
      <c r="C5" s="30">
        <v>29468</v>
      </c>
      <c r="D5" s="30">
        <v>0</v>
      </c>
      <c r="E5" s="30">
        <v>0</v>
      </c>
      <c r="F5" s="30">
        <v>13698</v>
      </c>
      <c r="H5" s="2">
        <f t="shared" ref="H5:H65" si="26">G5+F5</f>
        <v>13698</v>
      </c>
      <c r="I5" s="1">
        <f t="shared" si="0"/>
        <v>0.4648432197638116</v>
      </c>
      <c r="J5" s="31">
        <v>141529</v>
      </c>
      <c r="K5" s="31">
        <v>47341</v>
      </c>
      <c r="L5" s="31">
        <v>188870</v>
      </c>
      <c r="M5" s="45">
        <f t="shared" si="1"/>
        <v>6.4093253698927652</v>
      </c>
      <c r="N5" s="31">
        <v>15051</v>
      </c>
      <c r="O5" s="31">
        <v>3000</v>
      </c>
      <c r="P5" s="31">
        <v>0</v>
      </c>
      <c r="Q5" s="31">
        <v>18051</v>
      </c>
      <c r="R5" s="45">
        <f t="shared" si="2"/>
        <v>0.61256277996470743</v>
      </c>
      <c r="S5" s="31">
        <v>57948</v>
      </c>
      <c r="T5" s="31">
        <v>264869</v>
      </c>
      <c r="U5" s="31">
        <v>0</v>
      </c>
      <c r="V5" s="31">
        <v>264869</v>
      </c>
      <c r="W5" s="45">
        <f t="shared" si="3"/>
        <v>8.988360255192072</v>
      </c>
      <c r="X5" s="4">
        <f t="shared" si="4"/>
        <v>0.71306947962955269</v>
      </c>
      <c r="Y5" s="4">
        <f t="shared" si="5"/>
        <v>6.8150670708916478E-2</v>
      </c>
      <c r="Z5" s="4">
        <f t="shared" si="6"/>
        <v>0.2187798496615308</v>
      </c>
      <c r="AA5" s="4">
        <f t="shared" si="7"/>
        <v>0</v>
      </c>
      <c r="AB5" s="31">
        <v>474000</v>
      </c>
      <c r="AC5" s="31">
        <v>18051</v>
      </c>
      <c r="AD5" s="31">
        <v>264869</v>
      </c>
      <c r="AE5" s="31">
        <v>264869</v>
      </c>
      <c r="AF5" s="31">
        <v>247142</v>
      </c>
      <c r="AG5" s="31">
        <v>17727</v>
      </c>
      <c r="AH5" s="31">
        <v>0</v>
      </c>
      <c r="AI5" s="31">
        <v>264869</v>
      </c>
      <c r="AJ5" s="45">
        <f t="shared" si="8"/>
        <v>8.988360255192072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264869</v>
      </c>
      <c r="AS5" s="46">
        <f t="shared" si="9"/>
        <v>8.988360255192072</v>
      </c>
      <c r="AT5" s="31">
        <v>474000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474000</v>
      </c>
      <c r="BC5" s="33" t="s">
        <v>25</v>
      </c>
      <c r="BD5" s="47">
        <v>24803</v>
      </c>
      <c r="BE5" s="47">
        <v>26615</v>
      </c>
      <c r="BF5" s="45">
        <f t="shared" si="10"/>
        <v>0.9031831138862495</v>
      </c>
      <c r="BG5" s="30">
        <v>1</v>
      </c>
      <c r="BH5" s="30">
        <v>1</v>
      </c>
      <c r="BI5" s="30">
        <v>1008</v>
      </c>
      <c r="BJ5" s="30">
        <v>574</v>
      </c>
      <c r="BK5" s="30">
        <v>574</v>
      </c>
      <c r="BL5" s="30">
        <v>0</v>
      </c>
      <c r="BM5" s="30">
        <v>28732</v>
      </c>
      <c r="BN5" s="30">
        <v>0</v>
      </c>
      <c r="BO5" s="30">
        <v>51</v>
      </c>
      <c r="BP5" s="30">
        <v>0</v>
      </c>
      <c r="BQ5" s="30">
        <v>51</v>
      </c>
      <c r="BR5" s="47">
        <v>25378</v>
      </c>
      <c r="BS5" s="47">
        <v>56930</v>
      </c>
      <c r="BT5" s="1">
        <f t="shared" si="11"/>
        <v>1.9319261571874575</v>
      </c>
      <c r="BU5" s="30">
        <v>69</v>
      </c>
      <c r="BV5" s="30">
        <v>0</v>
      </c>
      <c r="BW5" s="47">
        <v>6259</v>
      </c>
      <c r="BX5" s="52">
        <f t="shared" si="12"/>
        <v>0.2123998914076286</v>
      </c>
      <c r="BY5" s="47">
        <v>10660</v>
      </c>
      <c r="BZ5" s="47">
        <v>0</v>
      </c>
      <c r="CA5" s="47">
        <v>10018</v>
      </c>
      <c r="CB5" s="47">
        <v>2091</v>
      </c>
      <c r="CC5" s="47">
        <v>22769</v>
      </c>
      <c r="CD5" s="55">
        <f t="shared" si="13"/>
        <v>0.77266865752680869</v>
      </c>
      <c r="CE5" s="3">
        <f t="shared" si="14"/>
        <v>3794.8333333333335</v>
      </c>
      <c r="CF5" s="55">
        <f t="shared" si="15"/>
        <v>7.2213764668569613</v>
      </c>
      <c r="CG5" s="55">
        <f t="shared" si="16"/>
        <v>0.26129517208138719</v>
      </c>
      <c r="CH5" s="55">
        <f t="shared" si="17"/>
        <v>0.36321798700158087</v>
      </c>
      <c r="CI5" s="30">
        <v>53</v>
      </c>
      <c r="CJ5" s="30">
        <v>0</v>
      </c>
      <c r="CK5" s="30">
        <v>3</v>
      </c>
      <c r="CL5" s="30">
        <v>56</v>
      </c>
      <c r="CM5" s="30">
        <v>842</v>
      </c>
      <c r="CN5" s="30">
        <v>0</v>
      </c>
      <c r="CO5" s="30">
        <v>37</v>
      </c>
      <c r="CP5" s="30">
        <v>879</v>
      </c>
      <c r="CQ5" s="1">
        <f t="shared" ref="CQ5:CQ68" si="27">CP5/C5</f>
        <v>2.9828967015067192E-2</v>
      </c>
      <c r="CR5" s="47">
        <v>87139</v>
      </c>
      <c r="CS5" s="55">
        <f t="shared" si="18"/>
        <v>2.9570720781865072</v>
      </c>
      <c r="CT5" s="59">
        <v>30115</v>
      </c>
      <c r="CU5" s="29" t="s">
        <v>25</v>
      </c>
      <c r="CV5" s="29" t="s">
        <v>25</v>
      </c>
      <c r="CW5" s="29" t="s">
        <v>25</v>
      </c>
      <c r="CX5" s="35">
        <v>0</v>
      </c>
      <c r="CY5" s="49">
        <v>0</v>
      </c>
      <c r="CZ5" s="35">
        <v>1</v>
      </c>
      <c r="DA5" s="35">
        <v>5</v>
      </c>
      <c r="DB5" s="35">
        <v>6</v>
      </c>
      <c r="DC5" s="49">
        <f t="shared" si="20"/>
        <v>4911.333333333333</v>
      </c>
      <c r="DD5" s="30">
        <v>15</v>
      </c>
      <c r="DE5" s="31">
        <v>38761</v>
      </c>
      <c r="DF5" s="35">
        <v>40</v>
      </c>
      <c r="DG5" s="29" t="s">
        <v>25</v>
      </c>
      <c r="DH5" s="29" t="s">
        <v>25</v>
      </c>
      <c r="DI5" s="29" t="s">
        <v>25</v>
      </c>
      <c r="DJ5" s="47">
        <v>69</v>
      </c>
      <c r="DK5" s="47">
        <v>323</v>
      </c>
      <c r="DL5" s="47">
        <v>38</v>
      </c>
      <c r="DM5" s="47">
        <v>21948</v>
      </c>
      <c r="DN5" s="47">
        <v>2194</v>
      </c>
      <c r="DO5" s="47">
        <v>3153</v>
      </c>
      <c r="DP5" s="29" t="s">
        <v>25</v>
      </c>
      <c r="DQ5" s="47">
        <v>30555</v>
      </c>
      <c r="DR5" s="47">
        <v>3153</v>
      </c>
      <c r="DS5" s="30">
        <v>52</v>
      </c>
      <c r="DT5" s="30">
        <v>63</v>
      </c>
      <c r="DU5" s="30">
        <v>63</v>
      </c>
      <c r="DV5" s="30">
        <v>63</v>
      </c>
      <c r="DX5" s="2">
        <f t="shared" si="21"/>
        <v>3153</v>
      </c>
      <c r="DY5" s="33" t="s">
        <v>2180</v>
      </c>
      <c r="DZ5" s="33" t="s">
        <v>38</v>
      </c>
      <c r="EA5" s="33" t="s">
        <v>2030</v>
      </c>
      <c r="EB5" s="33" t="s">
        <v>2027</v>
      </c>
      <c r="EC5" s="36">
        <v>3</v>
      </c>
      <c r="ED5" s="29" t="s">
        <v>36</v>
      </c>
      <c r="EE5" s="29" t="s">
        <v>35</v>
      </c>
      <c r="EF5" s="37">
        <v>41548</v>
      </c>
      <c r="EG5" s="37">
        <v>41912</v>
      </c>
      <c r="EH5" s="29" t="s">
        <v>36</v>
      </c>
      <c r="EI5" s="55">
        <f t="shared" si="22"/>
        <v>0.36174833717931315</v>
      </c>
      <c r="EJ5" s="54">
        <f t="shared" si="23"/>
        <v>0</v>
      </c>
      <c r="EK5" s="55">
        <f t="shared" si="24"/>
        <v>0.33996199267001492</v>
      </c>
      <c r="EL5" s="54">
        <f t="shared" si="25"/>
        <v>7.0958327677480657E-2</v>
      </c>
    </row>
    <row r="6" spans="1:142" ht="28.8" x14ac:dyDescent="0.3">
      <c r="A6" s="29" t="s">
        <v>39</v>
      </c>
      <c r="B6" s="29"/>
      <c r="C6" s="30">
        <v>3375</v>
      </c>
      <c r="D6" s="30">
        <v>0</v>
      </c>
      <c r="E6" s="30">
        <v>0</v>
      </c>
      <c r="F6" s="30">
        <v>3390</v>
      </c>
      <c r="H6" s="2">
        <f t="shared" si="26"/>
        <v>3390</v>
      </c>
      <c r="I6" s="1">
        <f t="shared" si="0"/>
        <v>1.0044444444444445</v>
      </c>
      <c r="J6" s="31">
        <v>8269</v>
      </c>
      <c r="K6" s="31">
        <v>1920</v>
      </c>
      <c r="L6" s="31">
        <v>10189</v>
      </c>
      <c r="M6" s="45">
        <f t="shared" si="1"/>
        <v>3.0189629629629628</v>
      </c>
      <c r="N6" s="31">
        <v>1522</v>
      </c>
      <c r="O6" s="31">
        <v>0</v>
      </c>
      <c r="P6" s="31">
        <v>1408</v>
      </c>
      <c r="Q6" s="31">
        <v>2930</v>
      </c>
      <c r="R6" s="45">
        <f t="shared" si="2"/>
        <v>0.86814814814814811</v>
      </c>
      <c r="S6" s="31">
        <v>7306</v>
      </c>
      <c r="T6" s="31">
        <v>20425</v>
      </c>
      <c r="U6" s="31">
        <v>0</v>
      </c>
      <c r="V6" s="31">
        <v>20425</v>
      </c>
      <c r="W6" s="45">
        <f t="shared" si="3"/>
        <v>6.0518518518518523</v>
      </c>
      <c r="X6" s="4">
        <f t="shared" si="4"/>
        <v>0.49884944920440638</v>
      </c>
      <c r="Y6" s="4">
        <f t="shared" si="5"/>
        <v>0.1434516523867809</v>
      </c>
      <c r="Z6" s="4">
        <f t="shared" si="6"/>
        <v>0.35769889840881275</v>
      </c>
      <c r="AA6" s="4">
        <f t="shared" si="7"/>
        <v>0</v>
      </c>
      <c r="AB6" s="31">
        <v>0</v>
      </c>
      <c r="AC6" s="31">
        <v>2929</v>
      </c>
      <c r="AD6" s="31">
        <v>20425</v>
      </c>
      <c r="AE6" s="31">
        <v>10000</v>
      </c>
      <c r="AF6" s="31">
        <v>0</v>
      </c>
      <c r="AG6" s="31">
        <v>10000</v>
      </c>
      <c r="AH6" s="31">
        <v>0</v>
      </c>
      <c r="AI6" s="31">
        <v>10000</v>
      </c>
      <c r="AJ6" s="45">
        <f t="shared" si="8"/>
        <v>2.9629629629629628</v>
      </c>
      <c r="AK6" s="31">
        <v>0</v>
      </c>
      <c r="AL6" s="31">
        <v>0</v>
      </c>
      <c r="AM6" s="31">
        <v>0</v>
      </c>
      <c r="AN6" s="31">
        <v>0</v>
      </c>
      <c r="AO6" s="31">
        <v>3000</v>
      </c>
      <c r="AP6" s="31">
        <v>13000</v>
      </c>
      <c r="AQ6" s="31">
        <v>16000</v>
      </c>
      <c r="AR6" s="31">
        <v>26000</v>
      </c>
      <c r="AS6" s="46">
        <f t="shared" si="9"/>
        <v>7.7037037037037033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3" t="s">
        <v>25</v>
      </c>
      <c r="BD6" s="47">
        <v>9487</v>
      </c>
      <c r="BE6" s="47">
        <v>9521</v>
      </c>
      <c r="BF6" s="45">
        <f t="shared" si="10"/>
        <v>2.821037037037037</v>
      </c>
      <c r="BG6" s="30">
        <v>550</v>
      </c>
      <c r="BH6" s="30">
        <v>571</v>
      </c>
      <c r="BI6" s="30">
        <v>0</v>
      </c>
      <c r="BJ6" s="30">
        <v>486</v>
      </c>
      <c r="BK6" s="30">
        <v>492</v>
      </c>
      <c r="BL6" s="30">
        <v>0</v>
      </c>
      <c r="BM6" s="30">
        <v>0</v>
      </c>
      <c r="BN6" s="30">
        <v>0</v>
      </c>
      <c r="BO6" s="30">
        <v>51</v>
      </c>
      <c r="BP6" s="30">
        <v>0</v>
      </c>
      <c r="BQ6" s="30">
        <v>51</v>
      </c>
      <c r="BR6" s="47">
        <v>10523</v>
      </c>
      <c r="BS6" s="47">
        <v>10584</v>
      </c>
      <c r="BT6" s="1">
        <f t="shared" si="11"/>
        <v>3.1360000000000001</v>
      </c>
      <c r="BU6" s="30">
        <v>0</v>
      </c>
      <c r="BV6" s="30">
        <v>0</v>
      </c>
      <c r="BW6" s="47">
        <v>262</v>
      </c>
      <c r="BX6" s="52">
        <f t="shared" si="12"/>
        <v>7.7629629629629632E-2</v>
      </c>
      <c r="BY6" s="47">
        <v>784</v>
      </c>
      <c r="BZ6" s="47">
        <v>0</v>
      </c>
      <c r="CA6" s="47">
        <v>4294</v>
      </c>
      <c r="CB6" s="47">
        <v>0</v>
      </c>
      <c r="CC6" s="47">
        <v>5078</v>
      </c>
      <c r="CD6" s="55">
        <f t="shared" si="13"/>
        <v>1.5045925925925925</v>
      </c>
      <c r="CE6" s="3">
        <f t="shared" si="14"/>
        <v>4894.4578313253005</v>
      </c>
      <c r="CF6" s="55">
        <f t="shared" si="15"/>
        <v>3.7642698295033359</v>
      </c>
      <c r="CG6" s="55">
        <f t="shared" si="16"/>
        <v>0.83519736842105263</v>
      </c>
      <c r="CH6" s="55">
        <f t="shared" si="17"/>
        <v>0.47978080120937266</v>
      </c>
      <c r="CI6" s="30">
        <v>8</v>
      </c>
      <c r="CJ6" s="30">
        <v>0</v>
      </c>
      <c r="CK6" s="30">
        <v>12</v>
      </c>
      <c r="CL6" s="30">
        <v>20</v>
      </c>
      <c r="CM6" s="30">
        <v>236</v>
      </c>
      <c r="CN6" s="30">
        <v>0</v>
      </c>
      <c r="CO6" s="30">
        <v>138</v>
      </c>
      <c r="CP6" s="30">
        <v>374</v>
      </c>
      <c r="CQ6" s="1">
        <f t="shared" si="27"/>
        <v>0.11081481481481481</v>
      </c>
      <c r="CR6" s="47">
        <v>6080</v>
      </c>
      <c r="CS6" s="55">
        <f t="shared" si="18"/>
        <v>1.8014814814814815</v>
      </c>
      <c r="CT6" s="59">
        <v>832</v>
      </c>
      <c r="CU6" s="29" t="s">
        <v>25</v>
      </c>
      <c r="CV6" s="29" t="s">
        <v>25</v>
      </c>
      <c r="CW6" s="29" t="s">
        <v>25</v>
      </c>
      <c r="CX6" s="35">
        <v>0.5</v>
      </c>
      <c r="CY6" s="49">
        <f t="shared" si="19"/>
        <v>6750</v>
      </c>
      <c r="CZ6" s="35">
        <v>0.53749999999999998</v>
      </c>
      <c r="DA6" s="35">
        <v>0</v>
      </c>
      <c r="DB6" s="35">
        <v>1.0375000000000001</v>
      </c>
      <c r="DC6" s="49">
        <f t="shared" si="20"/>
        <v>3253.0120481927706</v>
      </c>
      <c r="DD6" s="30">
        <v>580</v>
      </c>
      <c r="DE6" s="31">
        <v>1771</v>
      </c>
      <c r="DF6" s="35">
        <v>20</v>
      </c>
      <c r="DG6" s="29" t="s">
        <v>25</v>
      </c>
      <c r="DH6" s="29" t="s">
        <v>25</v>
      </c>
      <c r="DI6" s="29" t="s">
        <v>25</v>
      </c>
      <c r="DJ6" s="47">
        <v>0</v>
      </c>
      <c r="DK6" s="47">
        <v>0</v>
      </c>
      <c r="DL6" s="47">
        <v>8</v>
      </c>
      <c r="DM6" s="47">
        <v>2401</v>
      </c>
      <c r="DN6" s="47">
        <v>18</v>
      </c>
      <c r="DO6" s="47">
        <v>106</v>
      </c>
      <c r="DP6" s="29" t="s">
        <v>2028</v>
      </c>
      <c r="DQ6" s="47">
        <v>0</v>
      </c>
      <c r="DR6" s="47">
        <v>1349</v>
      </c>
      <c r="DS6" s="30">
        <v>51</v>
      </c>
      <c r="DT6" s="30">
        <v>27</v>
      </c>
      <c r="DU6" s="30">
        <v>27</v>
      </c>
      <c r="DV6" s="30">
        <v>27</v>
      </c>
      <c r="DX6" s="2">
        <f t="shared" si="21"/>
        <v>1349</v>
      </c>
      <c r="DY6" s="33" t="s">
        <v>2179</v>
      </c>
      <c r="DZ6" s="33" t="s">
        <v>43</v>
      </c>
      <c r="EA6" s="33" t="s">
        <v>2031</v>
      </c>
      <c r="EB6" s="33" t="s">
        <v>2027</v>
      </c>
      <c r="EC6" s="36">
        <v>4</v>
      </c>
      <c r="ED6" s="29" t="s">
        <v>40</v>
      </c>
      <c r="EE6" s="29" t="s">
        <v>41</v>
      </c>
      <c r="EF6" s="37">
        <v>41640</v>
      </c>
      <c r="EG6" s="37">
        <v>42004</v>
      </c>
      <c r="EH6" s="29" t="s">
        <v>40</v>
      </c>
      <c r="EI6" s="55">
        <f t="shared" si="22"/>
        <v>0.23229629629629631</v>
      </c>
      <c r="EJ6" s="54">
        <f t="shared" si="23"/>
        <v>0</v>
      </c>
      <c r="EK6" s="55">
        <f t="shared" si="24"/>
        <v>1.2722962962962963</v>
      </c>
      <c r="EL6" s="54">
        <f t="shared" si="25"/>
        <v>0</v>
      </c>
    </row>
    <row r="7" spans="1:142" ht="28.8" x14ac:dyDescent="0.3">
      <c r="A7" s="29" t="s">
        <v>1590</v>
      </c>
      <c r="B7" s="29"/>
      <c r="C7" s="30">
        <v>10023</v>
      </c>
      <c r="D7" s="30">
        <v>0</v>
      </c>
      <c r="E7" s="30">
        <v>0</v>
      </c>
      <c r="F7" s="30">
        <v>3000</v>
      </c>
      <c r="H7" s="2">
        <f t="shared" si="26"/>
        <v>3000</v>
      </c>
      <c r="I7" s="1">
        <f t="shared" si="0"/>
        <v>0.29931158335827596</v>
      </c>
      <c r="J7" s="31">
        <v>39623</v>
      </c>
      <c r="K7" s="31">
        <v>0</v>
      </c>
      <c r="L7" s="31">
        <v>39623</v>
      </c>
      <c r="M7" s="45">
        <f t="shared" si="1"/>
        <v>3.953207622468323</v>
      </c>
      <c r="N7" s="31">
        <v>3148</v>
      </c>
      <c r="O7" s="31">
        <v>3354</v>
      </c>
      <c r="P7" s="31">
        <v>0</v>
      </c>
      <c r="Q7" s="31">
        <v>6502</v>
      </c>
      <c r="R7" s="45">
        <f t="shared" si="2"/>
        <v>0.64870797166517014</v>
      </c>
      <c r="S7" s="31">
        <v>16352</v>
      </c>
      <c r="T7" s="31">
        <v>62477</v>
      </c>
      <c r="U7" s="31">
        <v>0</v>
      </c>
      <c r="V7" s="31">
        <v>62477</v>
      </c>
      <c r="W7" s="45">
        <f t="shared" si="3"/>
        <v>6.2333632644916692</v>
      </c>
      <c r="X7" s="4">
        <f t="shared" si="4"/>
        <v>0.63420138611008847</v>
      </c>
      <c r="Y7" s="4">
        <f t="shared" si="5"/>
        <v>0.10407029786961602</v>
      </c>
      <c r="Z7" s="4">
        <f t="shared" si="6"/>
        <v>0.26172831602029545</v>
      </c>
      <c r="AA7" s="4">
        <f t="shared" si="7"/>
        <v>0</v>
      </c>
      <c r="AB7" s="31">
        <v>0</v>
      </c>
      <c r="AC7" s="31">
        <v>4502</v>
      </c>
      <c r="AD7" s="31">
        <v>60477</v>
      </c>
      <c r="AE7" s="31">
        <v>28300</v>
      </c>
      <c r="AF7" s="31">
        <v>8500</v>
      </c>
      <c r="AG7" s="31">
        <v>19800</v>
      </c>
      <c r="AH7" s="31">
        <v>0</v>
      </c>
      <c r="AI7" s="31">
        <v>28300</v>
      </c>
      <c r="AJ7" s="45">
        <f t="shared" si="8"/>
        <v>2.8235059363464035</v>
      </c>
      <c r="AK7" s="31">
        <v>0</v>
      </c>
      <c r="AL7" s="31">
        <v>0</v>
      </c>
      <c r="AM7" s="31">
        <v>0</v>
      </c>
      <c r="AN7" s="31">
        <v>0</v>
      </c>
      <c r="AO7" s="31">
        <v>2000</v>
      </c>
      <c r="AP7" s="31">
        <v>44860</v>
      </c>
      <c r="AQ7" s="31">
        <v>46860</v>
      </c>
      <c r="AR7" s="31">
        <v>75160</v>
      </c>
      <c r="AS7" s="46">
        <f t="shared" si="9"/>
        <v>7.4987528684026739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3" t="s">
        <v>25</v>
      </c>
      <c r="BD7" s="47">
        <v>16776</v>
      </c>
      <c r="BE7" s="47">
        <v>17138</v>
      </c>
      <c r="BF7" s="45">
        <f t="shared" si="10"/>
        <v>1.7098673051980444</v>
      </c>
      <c r="BG7" s="30">
        <v>1296</v>
      </c>
      <c r="BH7" s="30">
        <v>1305</v>
      </c>
      <c r="BI7" s="30">
        <v>4111</v>
      </c>
      <c r="BJ7" s="30">
        <v>2215</v>
      </c>
      <c r="BK7" s="30">
        <v>2256</v>
      </c>
      <c r="BL7" s="30">
        <v>0</v>
      </c>
      <c r="BM7" s="30">
        <v>7120</v>
      </c>
      <c r="BN7" s="30">
        <v>0</v>
      </c>
      <c r="BO7" s="30">
        <v>0</v>
      </c>
      <c r="BP7" s="30">
        <v>0</v>
      </c>
      <c r="BQ7" s="30">
        <v>0</v>
      </c>
      <c r="BR7" s="47">
        <v>20287</v>
      </c>
      <c r="BS7" s="47">
        <v>31930</v>
      </c>
      <c r="BT7" s="1">
        <f t="shared" si="11"/>
        <v>3.185672952209917</v>
      </c>
      <c r="BU7" s="30">
        <v>0</v>
      </c>
      <c r="BV7" s="30">
        <v>0</v>
      </c>
      <c r="BW7" s="47">
        <v>867</v>
      </c>
      <c r="BX7" s="52">
        <f t="shared" si="12"/>
        <v>8.6501047590541752E-2</v>
      </c>
      <c r="BY7" s="47">
        <v>6597</v>
      </c>
      <c r="BZ7" s="47">
        <v>0</v>
      </c>
      <c r="CA7" s="47">
        <v>19055</v>
      </c>
      <c r="CB7" s="47">
        <v>1237</v>
      </c>
      <c r="CC7" s="47">
        <v>26889</v>
      </c>
      <c r="CD7" s="55">
        <f t="shared" si="13"/>
        <v>2.6827297216402273</v>
      </c>
      <c r="CE7" s="3">
        <f t="shared" si="14"/>
        <v>20293.584905660373</v>
      </c>
      <c r="CF7" s="55">
        <f t="shared" si="15"/>
        <v>15.365142857142857</v>
      </c>
      <c r="CG7" s="55">
        <f t="shared" si="16"/>
        <v>1.4489949884140756</v>
      </c>
      <c r="CH7" s="55">
        <f t="shared" si="17"/>
        <v>0.80338239899780772</v>
      </c>
      <c r="CI7" s="30">
        <v>65</v>
      </c>
      <c r="CJ7" s="30">
        <v>5</v>
      </c>
      <c r="CK7" s="30">
        <v>5</v>
      </c>
      <c r="CL7" s="30">
        <v>75</v>
      </c>
      <c r="CM7" s="30">
        <v>1190</v>
      </c>
      <c r="CN7" s="30">
        <v>30</v>
      </c>
      <c r="CO7" s="30">
        <v>185</v>
      </c>
      <c r="CP7" s="30">
        <v>1405</v>
      </c>
      <c r="CQ7" s="1">
        <f t="shared" si="27"/>
        <v>0.14017759153945925</v>
      </c>
      <c r="CR7" s="47">
        <v>18557</v>
      </c>
      <c r="CS7" s="55">
        <f t="shared" si="18"/>
        <v>1.8514416841265091</v>
      </c>
      <c r="CT7" s="59">
        <v>3591</v>
      </c>
      <c r="CU7" s="29" t="s">
        <v>25</v>
      </c>
      <c r="CV7" s="29" t="s">
        <v>25</v>
      </c>
      <c r="CW7" s="29" t="s">
        <v>25</v>
      </c>
      <c r="CX7" s="35">
        <v>0.8</v>
      </c>
      <c r="CY7" s="49">
        <f t="shared" si="19"/>
        <v>12528.75</v>
      </c>
      <c r="CZ7" s="35">
        <v>0</v>
      </c>
      <c r="DA7" s="35">
        <v>0.52500000000000002</v>
      </c>
      <c r="DB7" s="35">
        <v>1.3250000000000002</v>
      </c>
      <c r="DC7" s="49">
        <f t="shared" si="20"/>
        <v>7564.5283018867913</v>
      </c>
      <c r="DD7" s="30">
        <v>615</v>
      </c>
      <c r="DE7" s="31">
        <v>21500</v>
      </c>
      <c r="DF7" s="35">
        <v>32</v>
      </c>
      <c r="DG7" s="29" t="s">
        <v>25</v>
      </c>
      <c r="DH7" s="29" t="s">
        <v>26</v>
      </c>
      <c r="DI7" s="29" t="s">
        <v>26</v>
      </c>
      <c r="DJ7" s="47">
        <v>2167</v>
      </c>
      <c r="DK7" s="47">
        <v>1818</v>
      </c>
      <c r="DL7" s="47">
        <v>6</v>
      </c>
      <c r="DM7" s="47">
        <v>1806</v>
      </c>
      <c r="DN7" s="47">
        <v>100</v>
      </c>
      <c r="DO7" s="47">
        <v>200</v>
      </c>
      <c r="DP7" s="29" t="s">
        <v>2028</v>
      </c>
      <c r="DQ7" s="47">
        <v>0</v>
      </c>
      <c r="DR7" s="47">
        <v>1750</v>
      </c>
      <c r="DS7" s="30">
        <v>50</v>
      </c>
      <c r="DT7" s="30">
        <v>35</v>
      </c>
      <c r="DU7" s="30">
        <v>35</v>
      </c>
      <c r="DV7" s="30">
        <v>32</v>
      </c>
      <c r="DX7" s="2">
        <f t="shared" si="21"/>
        <v>1750</v>
      </c>
      <c r="DY7" s="33" t="s">
        <v>2181</v>
      </c>
      <c r="DZ7" s="33" t="s">
        <v>1592</v>
      </c>
      <c r="EA7" s="33" t="s">
        <v>2032</v>
      </c>
      <c r="EB7" s="33" t="s">
        <v>2027</v>
      </c>
      <c r="EC7" s="36">
        <v>535</v>
      </c>
      <c r="ED7" s="29" t="s">
        <v>1591</v>
      </c>
      <c r="EE7" s="29" t="s">
        <v>1325</v>
      </c>
      <c r="EF7" s="37">
        <v>41548</v>
      </c>
      <c r="EG7" s="37">
        <v>41912</v>
      </c>
      <c r="EH7" s="29" t="s">
        <v>1591</v>
      </c>
      <c r="EI7" s="55">
        <f t="shared" si="22"/>
        <v>0.65818617180484884</v>
      </c>
      <c r="EJ7" s="54">
        <f t="shared" si="23"/>
        <v>0</v>
      </c>
      <c r="EK7" s="55">
        <f t="shared" si="24"/>
        <v>1.9011274069639827</v>
      </c>
      <c r="EL7" s="54">
        <f t="shared" si="25"/>
        <v>0.1234161428713958</v>
      </c>
    </row>
    <row r="8" spans="1:142" ht="28.8" x14ac:dyDescent="0.3">
      <c r="A8" s="29" t="s">
        <v>44</v>
      </c>
      <c r="B8" s="29"/>
      <c r="C8" s="30">
        <v>40762</v>
      </c>
      <c r="D8" s="30">
        <v>2</v>
      </c>
      <c r="E8" s="30">
        <v>0</v>
      </c>
      <c r="F8" s="30">
        <v>12000</v>
      </c>
      <c r="G8">
        <v>6734</v>
      </c>
      <c r="H8" s="2">
        <f t="shared" si="26"/>
        <v>18734</v>
      </c>
      <c r="I8" s="1">
        <f t="shared" si="0"/>
        <v>0.45959472057308276</v>
      </c>
      <c r="J8" s="31">
        <v>412623</v>
      </c>
      <c r="K8" s="31">
        <v>124707</v>
      </c>
      <c r="L8" s="31">
        <v>537330</v>
      </c>
      <c r="M8" s="45">
        <f t="shared" si="1"/>
        <v>13.182130415583142</v>
      </c>
      <c r="N8" s="31">
        <v>83421</v>
      </c>
      <c r="O8" s="31">
        <v>0</v>
      </c>
      <c r="P8" s="31">
        <v>1500</v>
      </c>
      <c r="Q8" s="31">
        <v>84921</v>
      </c>
      <c r="R8" s="45">
        <f t="shared" si="2"/>
        <v>2.0833374221088268</v>
      </c>
      <c r="S8" s="31">
        <v>113850</v>
      </c>
      <c r="T8" s="31">
        <v>736101</v>
      </c>
      <c r="U8" s="31">
        <v>0</v>
      </c>
      <c r="V8" s="31">
        <v>736101</v>
      </c>
      <c r="W8" s="45">
        <f t="shared" si="3"/>
        <v>18.058510377312203</v>
      </c>
      <c r="X8" s="4">
        <f t="shared" si="4"/>
        <v>0.72996776257605955</v>
      </c>
      <c r="Y8" s="4">
        <f t="shared" si="5"/>
        <v>0.11536596200793098</v>
      </c>
      <c r="Z8" s="4">
        <f t="shared" si="6"/>
        <v>0.1546662754160095</v>
      </c>
      <c r="AA8" s="4">
        <f t="shared" si="7"/>
        <v>0</v>
      </c>
      <c r="AB8" s="31">
        <v>0</v>
      </c>
      <c r="AC8" s="31">
        <v>84921</v>
      </c>
      <c r="AD8" s="31">
        <v>736101</v>
      </c>
      <c r="AE8" s="31">
        <v>688493</v>
      </c>
      <c r="AF8" s="31">
        <v>471763</v>
      </c>
      <c r="AG8" s="31">
        <v>50000</v>
      </c>
      <c r="AH8" s="31">
        <v>166730</v>
      </c>
      <c r="AI8" s="31">
        <v>688493</v>
      </c>
      <c r="AJ8" s="45">
        <f t="shared" si="8"/>
        <v>16.890559835140571</v>
      </c>
      <c r="AK8" s="31">
        <v>0</v>
      </c>
      <c r="AL8" s="31">
        <v>0</v>
      </c>
      <c r="AM8" s="31">
        <v>0</v>
      </c>
      <c r="AN8" s="31">
        <v>0</v>
      </c>
      <c r="AO8" s="31">
        <v>2000</v>
      </c>
      <c r="AP8" s="31">
        <v>725</v>
      </c>
      <c r="AQ8" s="31">
        <v>2725</v>
      </c>
      <c r="AR8" s="31">
        <v>691218</v>
      </c>
      <c r="AS8" s="46">
        <f t="shared" si="9"/>
        <v>16.957411314459545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3" t="s">
        <v>25</v>
      </c>
      <c r="BD8" s="47">
        <v>69121</v>
      </c>
      <c r="BE8" s="47">
        <v>78281</v>
      </c>
      <c r="BF8" s="45">
        <f t="shared" si="10"/>
        <v>1.9204406064471813</v>
      </c>
      <c r="BG8" s="30">
        <v>1136</v>
      </c>
      <c r="BH8" s="30">
        <v>1263</v>
      </c>
      <c r="BI8" s="30">
        <v>0</v>
      </c>
      <c r="BJ8" s="30">
        <v>1148</v>
      </c>
      <c r="BK8" s="30">
        <v>1372</v>
      </c>
      <c r="BL8" s="30">
        <v>0</v>
      </c>
      <c r="BM8" s="30">
        <v>0</v>
      </c>
      <c r="BN8" s="30">
        <v>14</v>
      </c>
      <c r="BO8" s="30">
        <v>51</v>
      </c>
      <c r="BP8" s="30">
        <v>0</v>
      </c>
      <c r="BQ8" s="30">
        <v>65</v>
      </c>
      <c r="BR8" s="47">
        <v>71405</v>
      </c>
      <c r="BS8" s="47">
        <v>80930</v>
      </c>
      <c r="BT8" s="1">
        <f t="shared" si="11"/>
        <v>1.9854276041411119</v>
      </c>
      <c r="BU8" s="30">
        <v>133</v>
      </c>
      <c r="BV8" s="30">
        <v>0</v>
      </c>
      <c r="BW8" s="47">
        <v>20781</v>
      </c>
      <c r="BX8" s="52">
        <f t="shared" si="12"/>
        <v>0.50981306118443648</v>
      </c>
      <c r="BY8" s="47">
        <v>76072</v>
      </c>
      <c r="BZ8" s="47">
        <v>0</v>
      </c>
      <c r="CA8" s="47">
        <v>17044</v>
      </c>
      <c r="CB8" s="47">
        <v>0</v>
      </c>
      <c r="CC8" s="47">
        <v>93116</v>
      </c>
      <c r="CD8" s="55">
        <f t="shared" si="13"/>
        <v>2.2843825131249695</v>
      </c>
      <c r="CE8" s="3">
        <f t="shared" si="14"/>
        <v>12014.967741935483</v>
      </c>
      <c r="CF8" s="55">
        <f t="shared" si="15"/>
        <v>16.71441392927661</v>
      </c>
      <c r="CG8" s="55">
        <f t="shared" si="16"/>
        <v>1.9928091426614734</v>
      </c>
      <c r="CH8" s="55">
        <f t="shared" si="17"/>
        <v>1.1505745706165822</v>
      </c>
      <c r="CI8" s="30">
        <v>138</v>
      </c>
      <c r="CJ8" s="30">
        <v>6</v>
      </c>
      <c r="CK8" s="30">
        <v>12</v>
      </c>
      <c r="CL8" s="30">
        <v>156</v>
      </c>
      <c r="CM8" s="30">
        <v>3082</v>
      </c>
      <c r="CN8" s="30">
        <v>72</v>
      </c>
      <c r="CO8" s="30">
        <v>120</v>
      </c>
      <c r="CP8" s="30">
        <v>3274</v>
      </c>
      <c r="CQ8" s="1">
        <f t="shared" si="27"/>
        <v>8.0319905794612623E-2</v>
      </c>
      <c r="CR8" s="47">
        <v>46726</v>
      </c>
      <c r="CS8" s="55">
        <f t="shared" si="18"/>
        <v>1.1463127422599479</v>
      </c>
      <c r="CT8" s="59">
        <v>19474</v>
      </c>
      <c r="CU8" s="29" t="s">
        <v>25</v>
      </c>
      <c r="CV8" s="29" t="s">
        <v>25</v>
      </c>
      <c r="CW8" s="29" t="s">
        <v>25</v>
      </c>
      <c r="CX8" s="35">
        <v>1</v>
      </c>
      <c r="CY8" s="49">
        <f t="shared" si="19"/>
        <v>40762</v>
      </c>
      <c r="CZ8" s="35">
        <v>1</v>
      </c>
      <c r="DA8" s="35">
        <v>5.75</v>
      </c>
      <c r="DB8" s="35">
        <v>7.75</v>
      </c>
      <c r="DC8" s="49">
        <f t="shared" si="20"/>
        <v>5259.6129032258068</v>
      </c>
      <c r="DD8" s="30">
        <v>150</v>
      </c>
      <c r="DE8" s="31">
        <v>48606</v>
      </c>
      <c r="DF8" s="35">
        <v>40</v>
      </c>
      <c r="DG8" s="29" t="s">
        <v>25</v>
      </c>
      <c r="DH8" s="29" t="s">
        <v>25</v>
      </c>
      <c r="DI8" s="29" t="s">
        <v>25</v>
      </c>
      <c r="DJ8" s="47">
        <v>431</v>
      </c>
      <c r="DK8" s="47">
        <v>43</v>
      </c>
      <c r="DL8" s="47">
        <v>38</v>
      </c>
      <c r="DM8" s="47">
        <v>14239</v>
      </c>
      <c r="DN8" s="47">
        <v>2358</v>
      </c>
      <c r="DO8" s="47">
        <v>0</v>
      </c>
      <c r="DP8" s="29" t="s">
        <v>2028</v>
      </c>
      <c r="DQ8" s="47">
        <v>0</v>
      </c>
      <c r="DR8" s="47">
        <v>2880</v>
      </c>
      <c r="DS8" s="30">
        <v>52</v>
      </c>
      <c r="DT8" s="30">
        <v>49</v>
      </c>
      <c r="DU8" s="30">
        <v>49</v>
      </c>
      <c r="DV8" s="30">
        <v>49</v>
      </c>
      <c r="DW8">
        <f>VLOOKUP(EC8,branch!$I$4:$K$77,3,0)</f>
        <v>2691</v>
      </c>
      <c r="DX8" s="2">
        <f t="shared" si="21"/>
        <v>5571</v>
      </c>
      <c r="DY8" s="33" t="s">
        <v>2180</v>
      </c>
      <c r="DZ8" s="33" t="s">
        <v>48</v>
      </c>
      <c r="EA8" s="33" t="s">
        <v>2030</v>
      </c>
      <c r="EB8" s="33" t="s">
        <v>2027</v>
      </c>
      <c r="EC8" s="36">
        <v>5</v>
      </c>
      <c r="ED8" s="29" t="s">
        <v>45</v>
      </c>
      <c r="EE8" s="29" t="s">
        <v>46</v>
      </c>
      <c r="EF8" s="37">
        <v>41548</v>
      </c>
      <c r="EG8" s="37">
        <v>41912</v>
      </c>
      <c r="EH8" s="29" t="s">
        <v>45</v>
      </c>
      <c r="EI8" s="55">
        <f t="shared" si="22"/>
        <v>1.8662479760561308</v>
      </c>
      <c r="EJ8" s="54">
        <f t="shared" si="23"/>
        <v>0</v>
      </c>
      <c r="EK8" s="55">
        <f t="shared" si="24"/>
        <v>0.41813453706883863</v>
      </c>
      <c r="EL8" s="54">
        <f t="shared" si="25"/>
        <v>0</v>
      </c>
    </row>
    <row r="9" spans="1:142" ht="28.8" x14ac:dyDescent="0.3">
      <c r="A9" s="29" t="s">
        <v>49</v>
      </c>
      <c r="B9" s="29"/>
      <c r="C9" s="30">
        <v>104035</v>
      </c>
      <c r="D9" s="30">
        <v>0</v>
      </c>
      <c r="E9" s="30">
        <v>0</v>
      </c>
      <c r="F9" s="30">
        <v>53030</v>
      </c>
      <c r="H9" s="2">
        <f t="shared" si="26"/>
        <v>53030</v>
      </c>
      <c r="I9" s="1">
        <f t="shared" si="0"/>
        <v>0.50973230162925942</v>
      </c>
      <c r="J9" s="31">
        <v>1604785</v>
      </c>
      <c r="K9" s="31">
        <v>511661</v>
      </c>
      <c r="L9" s="31">
        <v>2116446</v>
      </c>
      <c r="M9" s="45">
        <f t="shared" si="1"/>
        <v>20.343595905224202</v>
      </c>
      <c r="N9" s="31">
        <v>189273</v>
      </c>
      <c r="O9" s="31">
        <v>50417</v>
      </c>
      <c r="P9" s="31">
        <v>58417</v>
      </c>
      <c r="Q9" s="31">
        <v>298107</v>
      </c>
      <c r="R9" s="45">
        <f t="shared" si="2"/>
        <v>2.8654491276974094</v>
      </c>
      <c r="S9" s="31">
        <v>117035</v>
      </c>
      <c r="T9" s="31">
        <v>2531588</v>
      </c>
      <c r="U9" s="31">
        <v>0</v>
      </c>
      <c r="V9" s="31">
        <v>2531588</v>
      </c>
      <c r="W9" s="45">
        <f t="shared" si="3"/>
        <v>24.334002979766424</v>
      </c>
      <c r="X9" s="4">
        <f t="shared" si="4"/>
        <v>0.83601518098521566</v>
      </c>
      <c r="Y9" s="4">
        <f t="shared" si="5"/>
        <v>0.11775494274739808</v>
      </c>
      <c r="Z9" s="4">
        <f t="shared" si="6"/>
        <v>4.6229876267386318E-2</v>
      </c>
      <c r="AA9" s="4">
        <f t="shared" si="7"/>
        <v>0</v>
      </c>
      <c r="AB9" s="31">
        <v>0</v>
      </c>
      <c r="AC9" s="31">
        <v>298107</v>
      </c>
      <c r="AD9" s="31">
        <v>2531588</v>
      </c>
      <c r="AE9" s="31">
        <v>2526080</v>
      </c>
      <c r="AF9" s="31">
        <v>2481074</v>
      </c>
      <c r="AG9" s="31">
        <v>45702</v>
      </c>
      <c r="AH9" s="31">
        <v>0</v>
      </c>
      <c r="AI9" s="31">
        <v>2526776</v>
      </c>
      <c r="AJ9" s="45">
        <f t="shared" si="8"/>
        <v>24.287749315134331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5508</v>
      </c>
      <c r="AQ9" s="31">
        <v>5508</v>
      </c>
      <c r="AR9" s="31">
        <v>2532284</v>
      </c>
      <c r="AS9" s="46">
        <f t="shared" si="9"/>
        <v>24.3406930359975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3" t="s">
        <v>25</v>
      </c>
      <c r="BD9" s="47">
        <v>85996</v>
      </c>
      <c r="BE9" s="47">
        <v>108480</v>
      </c>
      <c r="BF9" s="45">
        <f t="shared" si="10"/>
        <v>1.0427260056711685</v>
      </c>
      <c r="BG9" s="30">
        <v>7498</v>
      </c>
      <c r="BH9" s="30">
        <v>8069</v>
      </c>
      <c r="BI9" s="30">
        <v>290</v>
      </c>
      <c r="BJ9" s="30">
        <v>8206</v>
      </c>
      <c r="BK9" s="30">
        <v>11952</v>
      </c>
      <c r="BL9" s="30">
        <v>0</v>
      </c>
      <c r="BM9" s="30">
        <v>3662</v>
      </c>
      <c r="BN9" s="30">
        <v>10</v>
      </c>
      <c r="BO9" s="30">
        <v>51</v>
      </c>
      <c r="BP9" s="30">
        <v>0</v>
      </c>
      <c r="BQ9" s="30">
        <v>61</v>
      </c>
      <c r="BR9" s="47">
        <v>101700</v>
      </c>
      <c r="BS9" s="47">
        <v>132463</v>
      </c>
      <c r="BT9" s="1">
        <f t="shared" si="11"/>
        <v>1.2732541933003316</v>
      </c>
      <c r="BU9" s="30">
        <v>157</v>
      </c>
      <c r="BV9" s="30">
        <v>0</v>
      </c>
      <c r="BW9" s="47">
        <v>85697</v>
      </c>
      <c r="BX9" s="52">
        <f t="shared" si="12"/>
        <v>0.82373239775075691</v>
      </c>
      <c r="BY9" s="47">
        <v>604411</v>
      </c>
      <c r="BZ9" s="47">
        <v>7575</v>
      </c>
      <c r="CA9" s="47">
        <v>351343</v>
      </c>
      <c r="CB9" s="47">
        <v>21558</v>
      </c>
      <c r="CC9" s="47">
        <v>984887</v>
      </c>
      <c r="CD9" s="55">
        <f t="shared" si="13"/>
        <v>9.4668813380112464</v>
      </c>
      <c r="CE9" s="3">
        <f t="shared" si="14"/>
        <v>26909.480874316938</v>
      </c>
      <c r="CF9" s="55">
        <f t="shared" si="15"/>
        <v>307.48891664064939</v>
      </c>
      <c r="CG9" s="55">
        <f t="shared" si="16"/>
        <v>2.8390847009106293</v>
      </c>
      <c r="CH9" s="55">
        <f t="shared" si="17"/>
        <v>7.2152525610925311</v>
      </c>
      <c r="CI9" s="30">
        <v>717</v>
      </c>
      <c r="CJ9" s="30">
        <v>75</v>
      </c>
      <c r="CK9" s="30">
        <v>231</v>
      </c>
      <c r="CL9" s="30">
        <v>1023</v>
      </c>
      <c r="CM9" s="30">
        <v>48140</v>
      </c>
      <c r="CN9" s="30">
        <v>1901</v>
      </c>
      <c r="CO9" s="30">
        <v>11055</v>
      </c>
      <c r="CP9" s="30">
        <v>61096</v>
      </c>
      <c r="CQ9" s="1">
        <f t="shared" si="27"/>
        <v>0.58726390157158648</v>
      </c>
      <c r="CR9" s="47">
        <v>346903</v>
      </c>
      <c r="CS9" s="55">
        <f t="shared" si="18"/>
        <v>3.3344835872542893</v>
      </c>
      <c r="CT9" s="59">
        <v>63284</v>
      </c>
      <c r="CU9" s="29" t="s">
        <v>25</v>
      </c>
      <c r="CV9" s="29" t="s">
        <v>25</v>
      </c>
      <c r="CW9" s="29" t="s">
        <v>25</v>
      </c>
      <c r="CX9" s="35">
        <v>14.5</v>
      </c>
      <c r="CY9" s="49">
        <f t="shared" si="19"/>
        <v>7174.8275862068967</v>
      </c>
      <c r="CZ9" s="35">
        <v>0</v>
      </c>
      <c r="DA9" s="35">
        <v>22.1</v>
      </c>
      <c r="DB9" s="35">
        <v>36.6</v>
      </c>
      <c r="DC9" s="49">
        <f t="shared" si="20"/>
        <v>2842.4863387978139</v>
      </c>
      <c r="DD9" s="30">
        <v>3912</v>
      </c>
      <c r="DE9" s="31">
        <v>108906</v>
      </c>
      <c r="DF9" s="35">
        <v>40</v>
      </c>
      <c r="DG9" s="29" t="s">
        <v>25</v>
      </c>
      <c r="DH9" s="29" t="s">
        <v>25</v>
      </c>
      <c r="DI9" s="29" t="s">
        <v>25</v>
      </c>
      <c r="DJ9" s="47">
        <v>684</v>
      </c>
      <c r="DK9" s="47">
        <v>587</v>
      </c>
      <c r="DL9" s="47">
        <v>24</v>
      </c>
      <c r="DM9" s="47">
        <v>38372</v>
      </c>
      <c r="DN9" s="47">
        <v>0</v>
      </c>
      <c r="DO9" s="47">
        <v>0</v>
      </c>
      <c r="DP9" s="29" t="s">
        <v>2028</v>
      </c>
      <c r="DQ9" s="47">
        <v>0</v>
      </c>
      <c r="DR9" s="47">
        <v>3203</v>
      </c>
      <c r="DS9" s="30">
        <v>52</v>
      </c>
      <c r="DT9" s="30">
        <v>64</v>
      </c>
      <c r="DU9" s="30">
        <v>64</v>
      </c>
      <c r="DV9" s="30">
        <v>64</v>
      </c>
      <c r="DX9" s="2">
        <f t="shared" si="21"/>
        <v>3203</v>
      </c>
      <c r="DY9" s="33" t="s">
        <v>2182</v>
      </c>
      <c r="DZ9" s="33" t="s">
        <v>53</v>
      </c>
      <c r="EA9" s="33" t="s">
        <v>2030</v>
      </c>
      <c r="EB9" s="33" t="s">
        <v>2027</v>
      </c>
      <c r="EC9" s="36">
        <v>6</v>
      </c>
      <c r="ED9" s="29" t="s">
        <v>50</v>
      </c>
      <c r="EE9" s="29" t="s">
        <v>51</v>
      </c>
      <c r="EF9" s="37">
        <v>41548</v>
      </c>
      <c r="EG9" s="37">
        <v>41912</v>
      </c>
      <c r="EH9" s="29" t="s">
        <v>50</v>
      </c>
      <c r="EI9" s="55">
        <f t="shared" si="22"/>
        <v>5.8096890469553513</v>
      </c>
      <c r="EJ9" s="54">
        <f t="shared" si="23"/>
        <v>7.2812034411496127E-2</v>
      </c>
      <c r="EK9" s="55">
        <f t="shared" si="24"/>
        <v>3.3771615321766713</v>
      </c>
      <c r="EL9" s="54">
        <f t="shared" si="25"/>
        <v>0.20721872446772721</v>
      </c>
    </row>
    <row r="10" spans="1:142" ht="28.8" x14ac:dyDescent="0.3">
      <c r="A10" s="29" t="s">
        <v>54</v>
      </c>
      <c r="B10" s="29"/>
      <c r="C10" s="30">
        <v>8155</v>
      </c>
      <c r="D10" s="30">
        <v>0</v>
      </c>
      <c r="E10" s="30">
        <v>0</v>
      </c>
      <c r="F10" s="30">
        <v>8832</v>
      </c>
      <c r="H10" s="2">
        <f t="shared" si="26"/>
        <v>8832</v>
      </c>
      <c r="I10" s="1">
        <f t="shared" si="0"/>
        <v>1.0830165542611894</v>
      </c>
      <c r="J10" s="31">
        <v>127412</v>
      </c>
      <c r="K10" s="31">
        <v>13807</v>
      </c>
      <c r="L10" s="31">
        <v>141219</v>
      </c>
      <c r="M10" s="45">
        <f t="shared" si="1"/>
        <v>17.316860821581852</v>
      </c>
      <c r="N10" s="31">
        <v>18664</v>
      </c>
      <c r="O10" s="31">
        <v>3250</v>
      </c>
      <c r="P10" s="31">
        <v>4933</v>
      </c>
      <c r="Q10" s="31">
        <v>26847</v>
      </c>
      <c r="R10" s="45">
        <f t="shared" si="2"/>
        <v>3.2920907418761498</v>
      </c>
      <c r="S10" s="31">
        <v>148193</v>
      </c>
      <c r="T10" s="31">
        <v>316259</v>
      </c>
      <c r="U10" s="31">
        <v>0</v>
      </c>
      <c r="V10" s="31">
        <v>316259</v>
      </c>
      <c r="W10" s="45">
        <f t="shared" si="3"/>
        <v>38.780993255671369</v>
      </c>
      <c r="X10" s="4">
        <f t="shared" si="4"/>
        <v>0.44652958492880834</v>
      </c>
      <c r="Y10" s="4">
        <f t="shared" si="5"/>
        <v>8.4889283783228298E-2</v>
      </c>
      <c r="Z10" s="4">
        <f t="shared" si="6"/>
        <v>0.46858113128796336</v>
      </c>
      <c r="AA10" s="4">
        <f t="shared" si="7"/>
        <v>0</v>
      </c>
      <c r="AB10" s="31">
        <v>18445</v>
      </c>
      <c r="AC10" s="31">
        <v>14556</v>
      </c>
      <c r="AD10" s="31">
        <v>246242</v>
      </c>
      <c r="AE10" s="31">
        <v>62381</v>
      </c>
      <c r="AF10" s="31">
        <v>40000</v>
      </c>
      <c r="AG10" s="31">
        <v>22381</v>
      </c>
      <c r="AH10" s="31">
        <v>0</v>
      </c>
      <c r="AI10" s="31">
        <v>62381</v>
      </c>
      <c r="AJ10" s="45">
        <f t="shared" si="8"/>
        <v>7.6494175352544449</v>
      </c>
      <c r="AK10" s="31">
        <v>0</v>
      </c>
      <c r="AL10" s="31">
        <v>0</v>
      </c>
      <c r="AM10" s="31">
        <v>7850</v>
      </c>
      <c r="AN10" s="31">
        <v>7850</v>
      </c>
      <c r="AO10" s="31">
        <v>74975</v>
      </c>
      <c r="AP10" s="31">
        <v>100510</v>
      </c>
      <c r="AQ10" s="31">
        <v>175485</v>
      </c>
      <c r="AR10" s="31">
        <v>245716</v>
      </c>
      <c r="AS10" s="46">
        <f t="shared" si="9"/>
        <v>30.130717351318211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18445</v>
      </c>
      <c r="BA10" s="31">
        <v>0</v>
      </c>
      <c r="BB10" s="31">
        <v>18445</v>
      </c>
      <c r="BC10" s="33" t="s">
        <v>25</v>
      </c>
      <c r="BD10" s="47">
        <v>21070</v>
      </c>
      <c r="BE10" s="47">
        <v>21284</v>
      </c>
      <c r="BF10" s="45">
        <f t="shared" si="10"/>
        <v>2.6099325567136726</v>
      </c>
      <c r="BG10" s="30">
        <v>710</v>
      </c>
      <c r="BH10" s="30">
        <v>712</v>
      </c>
      <c r="BI10" s="30">
        <v>0</v>
      </c>
      <c r="BJ10" s="30">
        <v>1867</v>
      </c>
      <c r="BK10" s="30">
        <v>1870</v>
      </c>
      <c r="BL10" s="30">
        <v>0</v>
      </c>
      <c r="BM10" s="30">
        <v>127</v>
      </c>
      <c r="BN10" s="30">
        <v>0</v>
      </c>
      <c r="BO10" s="30">
        <v>51</v>
      </c>
      <c r="BP10" s="30">
        <v>2</v>
      </c>
      <c r="BQ10" s="30">
        <v>53</v>
      </c>
      <c r="BR10" s="47">
        <v>23647</v>
      </c>
      <c r="BS10" s="47">
        <v>23993</v>
      </c>
      <c r="BT10" s="1">
        <f t="shared" si="11"/>
        <v>2.9421213979153893</v>
      </c>
      <c r="BU10" s="30">
        <v>52</v>
      </c>
      <c r="BV10" s="30">
        <v>0</v>
      </c>
      <c r="BW10" s="47">
        <v>7205</v>
      </c>
      <c r="BX10" s="52">
        <f t="shared" si="12"/>
        <v>0.88350705088902515</v>
      </c>
      <c r="BY10" s="47">
        <v>9274</v>
      </c>
      <c r="BZ10" s="47">
        <v>22</v>
      </c>
      <c r="CA10" s="47">
        <v>31145</v>
      </c>
      <c r="CB10" s="47">
        <v>137</v>
      </c>
      <c r="CC10" s="47">
        <v>40578</v>
      </c>
      <c r="CD10" s="55">
        <f t="shared" si="13"/>
        <v>4.9758430410790924</v>
      </c>
      <c r="CE10" s="3">
        <f t="shared" si="14"/>
        <v>7514.4444444444443</v>
      </c>
      <c r="CF10" s="55">
        <f t="shared" si="15"/>
        <v>17.208651399491096</v>
      </c>
      <c r="CG10" s="55">
        <f t="shared" si="16"/>
        <v>0.79630283763099019</v>
      </c>
      <c r="CH10" s="55">
        <f t="shared" si="17"/>
        <v>1.6846163464343766</v>
      </c>
      <c r="CI10" s="30">
        <v>277</v>
      </c>
      <c r="CJ10" s="30">
        <v>46</v>
      </c>
      <c r="CK10" s="30">
        <v>167</v>
      </c>
      <c r="CL10" s="30">
        <v>490</v>
      </c>
      <c r="CM10" s="30">
        <v>5094</v>
      </c>
      <c r="CN10" s="30">
        <v>351</v>
      </c>
      <c r="CO10" s="30">
        <v>1724</v>
      </c>
      <c r="CP10" s="30">
        <v>7169</v>
      </c>
      <c r="CQ10" s="1">
        <f t="shared" si="27"/>
        <v>0.87909258123850398</v>
      </c>
      <c r="CR10" s="47">
        <v>50958</v>
      </c>
      <c r="CS10" s="55">
        <f t="shared" si="18"/>
        <v>6.2486817903126912</v>
      </c>
      <c r="CT10" s="59">
        <v>8060</v>
      </c>
      <c r="CU10" s="29" t="s">
        <v>25</v>
      </c>
      <c r="CV10" s="29" t="s">
        <v>25</v>
      </c>
      <c r="CW10" s="29" t="s">
        <v>25</v>
      </c>
      <c r="CX10" s="35">
        <v>0</v>
      </c>
      <c r="CY10" s="49">
        <v>0</v>
      </c>
      <c r="CZ10" s="35">
        <v>4.9000000000000004</v>
      </c>
      <c r="DA10" s="35">
        <v>0.5</v>
      </c>
      <c r="DB10" s="35">
        <v>5.4</v>
      </c>
      <c r="DC10" s="49">
        <f t="shared" si="20"/>
        <v>1510.185185185185</v>
      </c>
      <c r="DD10" s="30">
        <v>5508</v>
      </c>
      <c r="DE10" s="31">
        <v>38000</v>
      </c>
      <c r="DF10" s="35">
        <v>40</v>
      </c>
      <c r="DG10" s="29" t="s">
        <v>25</v>
      </c>
      <c r="DH10" s="29" t="s">
        <v>25</v>
      </c>
      <c r="DI10" s="29" t="s">
        <v>25</v>
      </c>
      <c r="DJ10" s="47">
        <v>596</v>
      </c>
      <c r="DK10" s="47">
        <v>170</v>
      </c>
      <c r="DL10" s="47">
        <v>15</v>
      </c>
      <c r="DM10" s="47">
        <v>12849</v>
      </c>
      <c r="DN10" s="47">
        <v>176</v>
      </c>
      <c r="DO10" s="47">
        <v>10360</v>
      </c>
      <c r="DP10" s="29" t="s">
        <v>25</v>
      </c>
      <c r="DQ10" s="47">
        <v>91547</v>
      </c>
      <c r="DR10" s="47">
        <v>2358</v>
      </c>
      <c r="DS10" s="30">
        <v>52</v>
      </c>
      <c r="DT10" s="30">
        <v>47</v>
      </c>
      <c r="DU10" s="30">
        <v>47</v>
      </c>
      <c r="DV10" s="30">
        <v>47</v>
      </c>
      <c r="DX10" s="2">
        <f t="shared" si="21"/>
        <v>2358</v>
      </c>
      <c r="DY10" s="33" t="s">
        <v>2183</v>
      </c>
      <c r="DZ10" s="33" t="s">
        <v>57</v>
      </c>
      <c r="EA10" s="33" t="s">
        <v>2032</v>
      </c>
      <c r="EB10" s="33" t="s">
        <v>2027</v>
      </c>
      <c r="EC10" s="36">
        <v>7</v>
      </c>
      <c r="ED10" s="29" t="s">
        <v>55</v>
      </c>
      <c r="EE10" s="29" t="s">
        <v>56</v>
      </c>
      <c r="EF10" s="37">
        <v>41640</v>
      </c>
      <c r="EG10" s="37">
        <v>42004</v>
      </c>
      <c r="EH10" s="29" t="s">
        <v>55</v>
      </c>
      <c r="EI10" s="55">
        <f t="shared" si="22"/>
        <v>1.1372164316370326</v>
      </c>
      <c r="EJ10" s="54">
        <f t="shared" si="23"/>
        <v>2.6977314530962598E-3</v>
      </c>
      <c r="EK10" s="55">
        <f t="shared" si="24"/>
        <v>3.8191293684855916</v>
      </c>
      <c r="EL10" s="54">
        <f t="shared" si="25"/>
        <v>1.6799509503372164E-2</v>
      </c>
    </row>
    <row r="11" spans="1:142" ht="28.8" x14ac:dyDescent="0.3">
      <c r="A11" s="29" t="s">
        <v>1566</v>
      </c>
      <c r="B11" s="29"/>
      <c r="C11" s="30">
        <v>3819</v>
      </c>
      <c r="D11" s="30">
        <v>0</v>
      </c>
      <c r="E11" s="30">
        <v>0</v>
      </c>
      <c r="F11" s="30">
        <v>10000</v>
      </c>
      <c r="H11" s="2">
        <f t="shared" si="26"/>
        <v>10000</v>
      </c>
      <c r="I11" s="1">
        <f t="shared" si="0"/>
        <v>2.6184865147944487</v>
      </c>
      <c r="J11" s="31">
        <v>85871</v>
      </c>
      <c r="K11" s="31">
        <v>20924</v>
      </c>
      <c r="L11" s="31">
        <v>106795</v>
      </c>
      <c r="M11" s="45">
        <f t="shared" si="1"/>
        <v>27.964126734747317</v>
      </c>
      <c r="N11" s="31">
        <v>4583</v>
      </c>
      <c r="O11" s="31">
        <v>550</v>
      </c>
      <c r="P11" s="31">
        <v>3398</v>
      </c>
      <c r="Q11" s="31">
        <v>8531</v>
      </c>
      <c r="R11" s="45">
        <f t="shared" si="2"/>
        <v>2.2338308457711444</v>
      </c>
      <c r="S11" s="31">
        <v>51210</v>
      </c>
      <c r="T11" s="31">
        <v>166536</v>
      </c>
      <c r="U11" s="31">
        <v>0</v>
      </c>
      <c r="V11" s="31">
        <v>166536</v>
      </c>
      <c r="W11" s="45">
        <f t="shared" si="3"/>
        <v>43.607227022780833</v>
      </c>
      <c r="X11" s="4">
        <f t="shared" si="4"/>
        <v>0.64127275784214821</v>
      </c>
      <c r="Y11" s="4">
        <f t="shared" si="5"/>
        <v>5.1226161310467408E-2</v>
      </c>
      <c r="Z11" s="4">
        <f t="shared" si="6"/>
        <v>0.30750108084738437</v>
      </c>
      <c r="AA11" s="4">
        <f t="shared" si="7"/>
        <v>0</v>
      </c>
      <c r="AB11" s="31">
        <v>8420</v>
      </c>
      <c r="AC11" s="31">
        <v>8531</v>
      </c>
      <c r="AD11" s="31">
        <v>166536</v>
      </c>
      <c r="AE11" s="31">
        <v>161127</v>
      </c>
      <c r="AF11" s="31">
        <v>161127</v>
      </c>
      <c r="AG11" s="31">
        <v>0</v>
      </c>
      <c r="AH11" s="31">
        <v>0</v>
      </c>
      <c r="AI11" s="31">
        <v>161127</v>
      </c>
      <c r="AJ11" s="45">
        <f t="shared" si="8"/>
        <v>42.190887666928518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2757</v>
      </c>
      <c r="AQ11" s="31">
        <v>2757</v>
      </c>
      <c r="AR11" s="31">
        <v>163884</v>
      </c>
      <c r="AS11" s="46">
        <f t="shared" si="9"/>
        <v>42.912804399057343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3" t="s">
        <v>25</v>
      </c>
      <c r="BD11" s="47">
        <v>29833</v>
      </c>
      <c r="BE11" s="47">
        <v>30410</v>
      </c>
      <c r="BF11" s="45">
        <f t="shared" si="10"/>
        <v>7.9628174914899192</v>
      </c>
      <c r="BG11" s="30">
        <v>1417</v>
      </c>
      <c r="BH11" s="30">
        <v>1421</v>
      </c>
      <c r="BI11" s="30">
        <v>34</v>
      </c>
      <c r="BJ11" s="30">
        <v>3802</v>
      </c>
      <c r="BK11" s="30">
        <v>3821</v>
      </c>
      <c r="BL11" s="30">
        <v>0</v>
      </c>
      <c r="BM11" s="30">
        <v>441</v>
      </c>
      <c r="BN11" s="30">
        <v>1</v>
      </c>
      <c r="BO11" s="30">
        <v>51</v>
      </c>
      <c r="BP11" s="30">
        <v>0</v>
      </c>
      <c r="BQ11" s="30">
        <v>52</v>
      </c>
      <c r="BR11" s="47">
        <v>35052</v>
      </c>
      <c r="BS11" s="47">
        <v>36128</v>
      </c>
      <c r="BT11" s="1">
        <f t="shared" si="11"/>
        <v>9.4600680806493855</v>
      </c>
      <c r="BU11" s="30">
        <v>2</v>
      </c>
      <c r="BV11" s="30">
        <v>1</v>
      </c>
      <c r="BW11" s="47">
        <v>659</v>
      </c>
      <c r="BX11" s="52">
        <f t="shared" si="12"/>
        <v>0.17255826132495417</v>
      </c>
      <c r="BY11" s="47">
        <v>19069</v>
      </c>
      <c r="BZ11" s="47">
        <v>4</v>
      </c>
      <c r="CA11" s="47">
        <v>18692</v>
      </c>
      <c r="CB11" s="47">
        <v>10</v>
      </c>
      <c r="CC11" s="47">
        <v>37775</v>
      </c>
      <c r="CD11" s="55">
        <f t="shared" si="13"/>
        <v>9.8913328096360296</v>
      </c>
      <c r="CE11" s="3">
        <f t="shared" si="14"/>
        <v>12591.666666666666</v>
      </c>
      <c r="CF11" s="55">
        <f t="shared" si="15"/>
        <v>15.759282436378808</v>
      </c>
      <c r="CG11" s="55">
        <f t="shared" si="16"/>
        <v>0.91640183401664199</v>
      </c>
      <c r="CH11" s="55">
        <f t="shared" si="17"/>
        <v>1.0452003985828167</v>
      </c>
      <c r="CI11" s="30">
        <v>56</v>
      </c>
      <c r="CJ11" s="30">
        <v>36</v>
      </c>
      <c r="CK11" s="30">
        <v>41</v>
      </c>
      <c r="CL11" s="30">
        <v>133</v>
      </c>
      <c r="CM11" s="30">
        <v>2637</v>
      </c>
      <c r="CN11" s="30">
        <v>940</v>
      </c>
      <c r="CO11" s="30">
        <v>839</v>
      </c>
      <c r="CP11" s="30">
        <v>4416</v>
      </c>
      <c r="CQ11" s="1">
        <f t="shared" si="27"/>
        <v>1.1563236449332286</v>
      </c>
      <c r="CR11" s="47">
        <v>41221</v>
      </c>
      <c r="CS11" s="55">
        <f t="shared" si="18"/>
        <v>10.793663262634198</v>
      </c>
      <c r="CT11" s="59">
        <v>4207</v>
      </c>
      <c r="CU11" s="29" t="s">
        <v>25</v>
      </c>
      <c r="CV11" s="29" t="s">
        <v>25</v>
      </c>
      <c r="CW11" s="29" t="s">
        <v>25</v>
      </c>
      <c r="CX11" s="35">
        <v>0</v>
      </c>
      <c r="CY11" s="49">
        <v>0</v>
      </c>
      <c r="CZ11" s="35">
        <v>2</v>
      </c>
      <c r="DA11" s="35">
        <v>1</v>
      </c>
      <c r="DB11" s="35">
        <v>3</v>
      </c>
      <c r="DC11" s="49">
        <f t="shared" si="20"/>
        <v>1273</v>
      </c>
      <c r="DD11" s="30">
        <v>1447</v>
      </c>
      <c r="DE11" s="31">
        <v>39707</v>
      </c>
      <c r="DF11" s="35">
        <v>40</v>
      </c>
      <c r="DG11" s="29" t="s">
        <v>25</v>
      </c>
      <c r="DH11" s="29" t="s">
        <v>25</v>
      </c>
      <c r="DI11" s="29" t="s">
        <v>25</v>
      </c>
      <c r="DJ11" s="47">
        <v>367</v>
      </c>
      <c r="DK11" s="47">
        <v>1214</v>
      </c>
      <c r="DL11" s="47">
        <v>10</v>
      </c>
      <c r="DM11" s="47">
        <v>6701</v>
      </c>
      <c r="DN11" s="47">
        <v>407</v>
      </c>
      <c r="DO11" s="47">
        <v>486</v>
      </c>
      <c r="DP11" s="29" t="s">
        <v>25</v>
      </c>
      <c r="DQ11" s="47">
        <v>1569</v>
      </c>
      <c r="DR11" s="47">
        <v>2397</v>
      </c>
      <c r="DS11" s="30">
        <v>52</v>
      </c>
      <c r="DT11" s="30">
        <v>48</v>
      </c>
      <c r="DU11" s="30">
        <v>48</v>
      </c>
      <c r="DV11" s="30">
        <v>48</v>
      </c>
      <c r="DX11" s="2">
        <f t="shared" si="21"/>
        <v>2397</v>
      </c>
      <c r="DY11" s="33" t="s">
        <v>2181</v>
      </c>
      <c r="DZ11" s="33" t="s">
        <v>1568</v>
      </c>
      <c r="EA11" s="33" t="s">
        <v>2030</v>
      </c>
      <c r="EB11" s="33" t="s">
        <v>2027</v>
      </c>
      <c r="EC11" s="36">
        <v>512</v>
      </c>
      <c r="ED11" s="29" t="s">
        <v>1567</v>
      </c>
      <c r="EE11" s="29" t="s">
        <v>236</v>
      </c>
      <c r="EF11" s="37">
        <v>41548</v>
      </c>
      <c r="EG11" s="37">
        <v>41912</v>
      </c>
      <c r="EH11" s="29" t="s">
        <v>1567</v>
      </c>
      <c r="EI11" s="55">
        <f t="shared" si="22"/>
        <v>4.9931919350615344</v>
      </c>
      <c r="EJ11" s="54">
        <f t="shared" si="23"/>
        <v>1.0473946059177796E-3</v>
      </c>
      <c r="EK11" s="55">
        <f t="shared" si="24"/>
        <v>4.8944749934537839</v>
      </c>
      <c r="EL11" s="54">
        <f t="shared" si="25"/>
        <v>2.618486514794449E-3</v>
      </c>
    </row>
    <row r="12" spans="1:142" ht="28.8" x14ac:dyDescent="0.3">
      <c r="A12" s="29" t="s">
        <v>1460</v>
      </c>
      <c r="B12" s="29"/>
      <c r="C12" s="30">
        <v>2382</v>
      </c>
      <c r="D12" s="30">
        <v>0</v>
      </c>
      <c r="E12" s="30">
        <v>0</v>
      </c>
      <c r="F12" s="30">
        <v>874</v>
      </c>
      <c r="H12" s="2">
        <f t="shared" si="26"/>
        <v>874</v>
      </c>
      <c r="I12" s="1">
        <f t="shared" si="0"/>
        <v>0.36691855583543243</v>
      </c>
      <c r="J12" s="31">
        <v>12773</v>
      </c>
      <c r="K12" s="31">
        <v>977</v>
      </c>
      <c r="L12" s="31">
        <v>13750</v>
      </c>
      <c r="M12" s="45">
        <f t="shared" si="1"/>
        <v>5.7724601175482784</v>
      </c>
      <c r="N12" s="31">
        <v>2380</v>
      </c>
      <c r="O12" s="31">
        <v>0</v>
      </c>
      <c r="P12" s="31">
        <v>638</v>
      </c>
      <c r="Q12" s="31">
        <v>3018</v>
      </c>
      <c r="R12" s="45">
        <f t="shared" si="2"/>
        <v>1.2670025188916876</v>
      </c>
      <c r="S12" s="31">
        <v>9810</v>
      </c>
      <c r="T12" s="31">
        <v>26578</v>
      </c>
      <c r="U12" s="31">
        <v>6569</v>
      </c>
      <c r="V12" s="31">
        <v>33147</v>
      </c>
      <c r="W12" s="45">
        <f t="shared" si="3"/>
        <v>13.915617128463476</v>
      </c>
      <c r="X12" s="4">
        <f t="shared" si="4"/>
        <v>0.41481883730050984</v>
      </c>
      <c r="Y12" s="4">
        <f t="shared" si="5"/>
        <v>9.1048963707122815E-2</v>
      </c>
      <c r="Z12" s="4">
        <f t="shared" si="6"/>
        <v>0.29595438501221832</v>
      </c>
      <c r="AA12" s="4">
        <f t="shared" si="7"/>
        <v>0.19817781398014903</v>
      </c>
      <c r="AB12" s="31">
        <v>0</v>
      </c>
      <c r="AC12" s="31">
        <v>3018</v>
      </c>
      <c r="AD12" s="31">
        <v>33147</v>
      </c>
      <c r="AE12" s="31">
        <v>32148</v>
      </c>
      <c r="AF12" s="31">
        <v>6000</v>
      </c>
      <c r="AG12" s="31">
        <v>22000</v>
      </c>
      <c r="AH12" s="31">
        <v>0</v>
      </c>
      <c r="AI12" s="31">
        <v>28000</v>
      </c>
      <c r="AJ12" s="45">
        <f t="shared" si="8"/>
        <v>11.754827875734676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937</v>
      </c>
      <c r="AQ12" s="31">
        <v>937</v>
      </c>
      <c r="AR12" s="31">
        <v>28937</v>
      </c>
      <c r="AS12" s="46">
        <f t="shared" si="9"/>
        <v>12.148194794290513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3" t="s">
        <v>25</v>
      </c>
      <c r="BD12" s="47">
        <v>14216</v>
      </c>
      <c r="BE12" s="47">
        <v>14461</v>
      </c>
      <c r="BF12" s="45">
        <f t="shared" si="10"/>
        <v>6.0709487825356847</v>
      </c>
      <c r="BG12" s="30">
        <v>527</v>
      </c>
      <c r="BH12" s="30">
        <v>530</v>
      </c>
      <c r="BI12" s="30">
        <v>0</v>
      </c>
      <c r="BJ12" s="30">
        <v>968</v>
      </c>
      <c r="BK12" s="30">
        <v>969</v>
      </c>
      <c r="BL12" s="30">
        <v>0</v>
      </c>
      <c r="BM12" s="30">
        <v>0</v>
      </c>
      <c r="BN12" s="30">
        <v>0</v>
      </c>
      <c r="BO12" s="30">
        <v>51</v>
      </c>
      <c r="BP12" s="30">
        <v>0</v>
      </c>
      <c r="BQ12" s="30">
        <v>51</v>
      </c>
      <c r="BR12" s="47">
        <v>15711</v>
      </c>
      <c r="BS12" s="47">
        <v>15960</v>
      </c>
      <c r="BT12" s="1">
        <f t="shared" si="11"/>
        <v>6.7002518891687659</v>
      </c>
      <c r="BU12" s="30">
        <v>23</v>
      </c>
      <c r="BV12" s="30">
        <v>0</v>
      </c>
      <c r="BW12" s="47">
        <v>266</v>
      </c>
      <c r="BX12" s="52">
        <f t="shared" si="12"/>
        <v>0.11167086481947942</v>
      </c>
      <c r="BY12" s="47">
        <v>1583</v>
      </c>
      <c r="BZ12" s="47">
        <v>0</v>
      </c>
      <c r="CA12" s="47">
        <v>2027</v>
      </c>
      <c r="CB12" s="47">
        <v>0</v>
      </c>
      <c r="CC12" s="47">
        <v>3610</v>
      </c>
      <c r="CD12" s="55">
        <f t="shared" si="13"/>
        <v>1.5155331654072208</v>
      </c>
      <c r="CE12" s="3">
        <f t="shared" si="14"/>
        <v>5776</v>
      </c>
      <c r="CF12" s="55">
        <f t="shared" si="15"/>
        <v>2.3320413436692506</v>
      </c>
      <c r="CG12" s="55">
        <f t="shared" si="16"/>
        <v>0.95477386934673369</v>
      </c>
      <c r="CH12" s="55">
        <f t="shared" si="17"/>
        <v>0.22619047619047619</v>
      </c>
      <c r="CI12" s="30">
        <v>4</v>
      </c>
      <c r="CJ12" s="30">
        <v>2</v>
      </c>
      <c r="CK12" s="30">
        <v>2</v>
      </c>
      <c r="CL12" s="30">
        <v>8</v>
      </c>
      <c r="CM12" s="30">
        <v>115</v>
      </c>
      <c r="CN12" s="30">
        <v>3</v>
      </c>
      <c r="CO12" s="30">
        <v>35</v>
      </c>
      <c r="CP12" s="30">
        <v>153</v>
      </c>
      <c r="CQ12" s="1">
        <f t="shared" si="27"/>
        <v>6.4231738035264482E-2</v>
      </c>
      <c r="CR12" s="47">
        <v>3781</v>
      </c>
      <c r="CS12" s="55">
        <f t="shared" si="18"/>
        <v>1.5873215785054575</v>
      </c>
      <c r="CT12" s="59">
        <v>2151</v>
      </c>
      <c r="CU12" s="29" t="s">
        <v>25</v>
      </c>
      <c r="CV12" s="29" t="s">
        <v>25</v>
      </c>
      <c r="CW12" s="29" t="s">
        <v>25</v>
      </c>
      <c r="CX12" s="35">
        <v>0.625</v>
      </c>
      <c r="CY12" s="49">
        <f t="shared" si="19"/>
        <v>3811.2</v>
      </c>
      <c r="CZ12" s="35">
        <v>0</v>
      </c>
      <c r="DA12" s="35">
        <v>0</v>
      </c>
      <c r="DB12" s="35">
        <v>0.625</v>
      </c>
      <c r="DC12" s="49">
        <f t="shared" si="20"/>
        <v>3811.2</v>
      </c>
      <c r="DD12" s="30">
        <v>1007</v>
      </c>
      <c r="DE12" s="31">
        <v>12675</v>
      </c>
      <c r="DF12" s="35">
        <v>25</v>
      </c>
      <c r="DG12" s="29" t="s">
        <v>25</v>
      </c>
      <c r="DH12" s="29" t="s">
        <v>25</v>
      </c>
      <c r="DI12" s="29" t="s">
        <v>25</v>
      </c>
      <c r="DJ12" s="47">
        <v>2</v>
      </c>
      <c r="DK12" s="47">
        <v>11</v>
      </c>
      <c r="DL12" s="47">
        <v>4</v>
      </c>
      <c r="DM12" s="47">
        <v>1646</v>
      </c>
      <c r="DN12" s="47">
        <v>5</v>
      </c>
      <c r="DO12" s="47">
        <v>142</v>
      </c>
      <c r="DP12" s="29" t="s">
        <v>2028</v>
      </c>
      <c r="DQ12" s="47">
        <v>0</v>
      </c>
      <c r="DR12" s="47">
        <v>1548</v>
      </c>
      <c r="DS12" s="30">
        <v>49</v>
      </c>
      <c r="DT12" s="30">
        <v>28</v>
      </c>
      <c r="DU12" s="30">
        <v>28</v>
      </c>
      <c r="DV12" s="30">
        <v>29</v>
      </c>
      <c r="DX12" s="2">
        <f t="shared" si="21"/>
        <v>1548</v>
      </c>
      <c r="DY12" s="33" t="s">
        <v>2181</v>
      </c>
      <c r="DZ12" s="33" t="s">
        <v>1462</v>
      </c>
      <c r="EA12" s="33" t="s">
        <v>2030</v>
      </c>
      <c r="EB12" s="33" t="s">
        <v>2027</v>
      </c>
      <c r="EC12" s="36">
        <v>462</v>
      </c>
      <c r="ED12" s="29" t="s">
        <v>1461</v>
      </c>
      <c r="EE12" s="29" t="s">
        <v>206</v>
      </c>
      <c r="EF12" s="37">
        <v>41518</v>
      </c>
      <c r="EG12" s="37">
        <v>41882</v>
      </c>
      <c r="EH12" s="29" t="s">
        <v>1461</v>
      </c>
      <c r="EI12" s="55">
        <f t="shared" si="22"/>
        <v>0.66456759026028545</v>
      </c>
      <c r="EJ12" s="54">
        <f t="shared" si="23"/>
        <v>0</v>
      </c>
      <c r="EK12" s="55">
        <f t="shared" si="24"/>
        <v>0.85096557514693538</v>
      </c>
      <c r="EL12" s="54">
        <f t="shared" si="25"/>
        <v>0</v>
      </c>
    </row>
    <row r="13" spans="1:142" ht="28.8" x14ac:dyDescent="0.3">
      <c r="A13" s="29" t="s">
        <v>59</v>
      </c>
      <c r="B13" s="29"/>
      <c r="C13" s="30">
        <v>196429</v>
      </c>
      <c r="D13" s="30">
        <v>4</v>
      </c>
      <c r="E13" s="30">
        <v>0</v>
      </c>
      <c r="F13" s="30">
        <v>63262</v>
      </c>
      <c r="G13">
        <v>55536</v>
      </c>
      <c r="H13" s="2">
        <f t="shared" si="26"/>
        <v>118798</v>
      </c>
      <c r="I13" s="1">
        <f t="shared" si="0"/>
        <v>0.60478849864327566</v>
      </c>
      <c r="J13" s="31">
        <v>1946660</v>
      </c>
      <c r="K13" s="31">
        <v>765979</v>
      </c>
      <c r="L13" s="31">
        <v>2712639</v>
      </c>
      <c r="M13" s="45">
        <f t="shared" si="1"/>
        <v>13.809768415050732</v>
      </c>
      <c r="N13" s="31">
        <v>311057</v>
      </c>
      <c r="O13" s="31">
        <v>132492</v>
      </c>
      <c r="P13" s="31">
        <v>114023</v>
      </c>
      <c r="Q13" s="31">
        <v>557572</v>
      </c>
      <c r="R13" s="45">
        <f t="shared" si="2"/>
        <v>2.8385421704534464</v>
      </c>
      <c r="S13" s="31">
        <v>493018</v>
      </c>
      <c r="T13" s="31">
        <v>3763229</v>
      </c>
      <c r="U13" s="31">
        <v>0</v>
      </c>
      <c r="V13" s="31">
        <v>3763229</v>
      </c>
      <c r="W13" s="45">
        <f t="shared" si="3"/>
        <v>19.158214927531066</v>
      </c>
      <c r="X13" s="4">
        <f t="shared" si="4"/>
        <v>0.72082751275566803</v>
      </c>
      <c r="Y13" s="4">
        <f t="shared" si="5"/>
        <v>0.14816318645503634</v>
      </c>
      <c r="Z13" s="4">
        <f t="shared" si="6"/>
        <v>0.13100930078929557</v>
      </c>
      <c r="AA13" s="4">
        <f t="shared" si="7"/>
        <v>0</v>
      </c>
      <c r="AB13" s="31">
        <v>10155</v>
      </c>
      <c r="AC13" s="31">
        <v>530819</v>
      </c>
      <c r="AD13" s="31">
        <v>3708293</v>
      </c>
      <c r="AE13" s="31">
        <v>3708293</v>
      </c>
      <c r="AF13" s="31">
        <v>3708293</v>
      </c>
      <c r="AG13" s="31">
        <v>0</v>
      </c>
      <c r="AH13" s="31">
        <v>0</v>
      </c>
      <c r="AI13" s="31">
        <v>3708293</v>
      </c>
      <c r="AJ13" s="45">
        <f t="shared" si="8"/>
        <v>18.878541355909768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26753</v>
      </c>
      <c r="AQ13" s="31">
        <v>26753</v>
      </c>
      <c r="AR13" s="31">
        <v>3735046</v>
      </c>
      <c r="AS13" s="46">
        <f t="shared" si="9"/>
        <v>19.014738149662218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3" t="s">
        <v>25</v>
      </c>
      <c r="BD13" s="47">
        <v>234026</v>
      </c>
      <c r="BE13" s="47">
        <v>441560</v>
      </c>
      <c r="BF13" s="45">
        <f t="shared" si="10"/>
        <v>2.2479369135921887</v>
      </c>
      <c r="BG13" s="30">
        <v>13867</v>
      </c>
      <c r="BH13" s="30">
        <v>22422</v>
      </c>
      <c r="BI13" s="30">
        <v>803</v>
      </c>
      <c r="BJ13" s="30">
        <v>17549</v>
      </c>
      <c r="BK13" s="30">
        <v>31557</v>
      </c>
      <c r="BL13" s="30">
        <v>23</v>
      </c>
      <c r="BM13" s="30">
        <v>3348</v>
      </c>
      <c r="BN13" s="30">
        <v>25</v>
      </c>
      <c r="BO13" s="30">
        <v>51</v>
      </c>
      <c r="BP13" s="30">
        <v>16</v>
      </c>
      <c r="BQ13" s="30">
        <v>92</v>
      </c>
      <c r="BR13" s="47">
        <v>265442</v>
      </c>
      <c r="BS13" s="47">
        <v>499738</v>
      </c>
      <c r="BT13" s="1">
        <f t="shared" si="11"/>
        <v>2.5441151764759784</v>
      </c>
      <c r="BU13" s="30">
        <v>162</v>
      </c>
      <c r="BV13" s="30">
        <v>100</v>
      </c>
      <c r="BW13" s="47">
        <v>271034</v>
      </c>
      <c r="BX13" s="52">
        <f t="shared" si="12"/>
        <v>1.3798064440586675</v>
      </c>
      <c r="BY13" s="47">
        <v>445687</v>
      </c>
      <c r="BZ13" s="47">
        <v>2291</v>
      </c>
      <c r="CA13" s="47">
        <v>1043456</v>
      </c>
      <c r="CB13" s="47">
        <v>16424</v>
      </c>
      <c r="CC13" s="47">
        <v>1507858</v>
      </c>
      <c r="CD13" s="55">
        <f t="shared" si="13"/>
        <v>7.6763512515972696</v>
      </c>
      <c r="CE13" s="3">
        <f t="shared" si="14"/>
        <v>21711.418286537075</v>
      </c>
      <c r="CF13" s="55">
        <f t="shared" si="15"/>
        <v>89.999880625522266</v>
      </c>
      <c r="CG13" s="55">
        <f t="shared" si="16"/>
        <v>1.0484538369166991</v>
      </c>
      <c r="CH13" s="55">
        <f t="shared" si="17"/>
        <v>2.9798474400585908</v>
      </c>
      <c r="CI13" s="30">
        <v>1212</v>
      </c>
      <c r="CJ13" s="30">
        <v>44</v>
      </c>
      <c r="CK13" s="30">
        <v>211</v>
      </c>
      <c r="CL13" s="30">
        <v>1467</v>
      </c>
      <c r="CM13" s="30">
        <v>30826</v>
      </c>
      <c r="CN13" s="30">
        <v>4293</v>
      </c>
      <c r="CO13" s="30">
        <v>2880</v>
      </c>
      <c r="CP13" s="30">
        <v>37999</v>
      </c>
      <c r="CQ13" s="1">
        <f t="shared" si="27"/>
        <v>0.19344903247483825</v>
      </c>
      <c r="CR13" s="47">
        <v>1438173</v>
      </c>
      <c r="CS13" s="55">
        <f t="shared" si="18"/>
        <v>7.3215920256173987</v>
      </c>
      <c r="CT13" s="59">
        <v>90742</v>
      </c>
      <c r="CU13" s="29" t="s">
        <v>25</v>
      </c>
      <c r="CV13" s="29" t="s">
        <v>25</v>
      </c>
      <c r="CW13" s="29" t="s">
        <v>25</v>
      </c>
      <c r="CX13" s="35">
        <v>10</v>
      </c>
      <c r="CY13" s="49">
        <f t="shared" si="19"/>
        <v>19642.900000000001</v>
      </c>
      <c r="CZ13" s="35">
        <v>5</v>
      </c>
      <c r="DA13" s="35">
        <v>54.45</v>
      </c>
      <c r="DB13" s="35">
        <v>69.45</v>
      </c>
      <c r="DC13" s="49">
        <f t="shared" si="20"/>
        <v>2828.3513318934483</v>
      </c>
      <c r="DD13" s="30">
        <v>1218</v>
      </c>
      <c r="DE13" s="31">
        <v>101535</v>
      </c>
      <c r="DF13" s="35">
        <v>40</v>
      </c>
      <c r="DG13" s="29" t="s">
        <v>25</v>
      </c>
      <c r="DH13" s="29" t="s">
        <v>25</v>
      </c>
      <c r="DI13" s="29" t="s">
        <v>25</v>
      </c>
      <c r="DJ13" s="47">
        <v>1323</v>
      </c>
      <c r="DK13" s="47">
        <v>4984</v>
      </c>
      <c r="DL13" s="47">
        <v>96</v>
      </c>
      <c r="DM13" s="47">
        <v>86486</v>
      </c>
      <c r="DN13" s="47">
        <v>35366</v>
      </c>
      <c r="DO13" s="47">
        <v>15903</v>
      </c>
      <c r="DP13" s="29" t="s">
        <v>25</v>
      </c>
      <c r="DQ13" s="47">
        <v>625398</v>
      </c>
      <c r="DR13" s="47">
        <v>3543</v>
      </c>
      <c r="DS13" s="30">
        <v>52</v>
      </c>
      <c r="DT13" s="30">
        <v>70</v>
      </c>
      <c r="DU13" s="30">
        <v>70</v>
      </c>
      <c r="DV13" s="30">
        <v>70</v>
      </c>
      <c r="DW13">
        <f>VLOOKUP(EC13,branch!$I$4:$K$77,3,0)</f>
        <v>13211</v>
      </c>
      <c r="DX13" s="2">
        <f t="shared" si="21"/>
        <v>16754</v>
      </c>
      <c r="DY13" s="33" t="s">
        <v>2184</v>
      </c>
      <c r="DZ13" s="33" t="s">
        <v>63</v>
      </c>
      <c r="EA13" s="33" t="s">
        <v>2030</v>
      </c>
      <c r="EB13" s="33" t="s">
        <v>2027</v>
      </c>
      <c r="EC13" s="36">
        <v>9</v>
      </c>
      <c r="ED13" s="29" t="s">
        <v>60</v>
      </c>
      <c r="EE13" s="29" t="s">
        <v>61</v>
      </c>
      <c r="EF13" s="37">
        <v>41548</v>
      </c>
      <c r="EG13" s="37">
        <v>41912</v>
      </c>
      <c r="EH13" s="29" t="s">
        <v>60</v>
      </c>
      <c r="EI13" s="55">
        <f t="shared" si="22"/>
        <v>2.2689470495700736</v>
      </c>
      <c r="EJ13" s="54">
        <f t="shared" si="23"/>
        <v>1.1663247280187753E-2</v>
      </c>
      <c r="EK13" s="55">
        <f t="shared" si="24"/>
        <v>5.3121280462660811</v>
      </c>
      <c r="EL13" s="54">
        <f t="shared" si="25"/>
        <v>8.3612908480926951E-2</v>
      </c>
    </row>
    <row r="14" spans="1:142" ht="28.8" x14ac:dyDescent="0.3">
      <c r="A14" s="29" t="s">
        <v>64</v>
      </c>
      <c r="B14" s="29"/>
      <c r="C14" s="30">
        <v>32666</v>
      </c>
      <c r="D14" s="30">
        <v>3</v>
      </c>
      <c r="E14" s="30">
        <v>0</v>
      </c>
      <c r="F14" s="30">
        <v>8400</v>
      </c>
      <c r="G14">
        <v>13329</v>
      </c>
      <c r="H14" s="2">
        <f t="shared" si="26"/>
        <v>21729</v>
      </c>
      <c r="I14" s="1">
        <f t="shared" si="0"/>
        <v>0.66518704463356393</v>
      </c>
      <c r="J14" s="31">
        <v>419987</v>
      </c>
      <c r="K14" s="31">
        <v>191744</v>
      </c>
      <c r="L14" s="31">
        <v>611731</v>
      </c>
      <c r="M14" s="45">
        <f t="shared" si="1"/>
        <v>18.726841364109472</v>
      </c>
      <c r="N14" s="31">
        <v>39989</v>
      </c>
      <c r="O14" s="31">
        <v>2303</v>
      </c>
      <c r="P14" s="31">
        <v>9183</v>
      </c>
      <c r="Q14" s="31">
        <v>51475</v>
      </c>
      <c r="R14" s="45">
        <f t="shared" si="2"/>
        <v>1.5757974652543929</v>
      </c>
      <c r="S14" s="31">
        <v>52642</v>
      </c>
      <c r="T14" s="31">
        <v>715848</v>
      </c>
      <c r="U14" s="31">
        <v>0</v>
      </c>
      <c r="V14" s="31">
        <v>715848</v>
      </c>
      <c r="W14" s="45">
        <f t="shared" si="3"/>
        <v>21.914161513500275</v>
      </c>
      <c r="X14" s="4">
        <f t="shared" si="4"/>
        <v>0.85455431879393395</v>
      </c>
      <c r="Y14" s="4">
        <f t="shared" si="5"/>
        <v>7.190772342731977E-2</v>
      </c>
      <c r="Z14" s="4">
        <f t="shared" si="6"/>
        <v>7.3537957778746332E-2</v>
      </c>
      <c r="AA14" s="4">
        <f t="shared" si="7"/>
        <v>0</v>
      </c>
      <c r="AB14" s="31">
        <v>0</v>
      </c>
      <c r="AC14" s="31">
        <v>51475</v>
      </c>
      <c r="AD14" s="31">
        <v>709483</v>
      </c>
      <c r="AE14" s="31">
        <v>662989</v>
      </c>
      <c r="AF14" s="31">
        <v>0</v>
      </c>
      <c r="AG14" s="31">
        <v>662989</v>
      </c>
      <c r="AH14" s="31">
        <v>0</v>
      </c>
      <c r="AI14" s="31">
        <v>662989</v>
      </c>
      <c r="AJ14" s="45">
        <f t="shared" si="8"/>
        <v>20.295995836649727</v>
      </c>
      <c r="AK14" s="31">
        <v>0</v>
      </c>
      <c r="AL14" s="31">
        <v>0</v>
      </c>
      <c r="AM14" s="31">
        <v>0</v>
      </c>
      <c r="AN14" s="31">
        <v>0</v>
      </c>
      <c r="AO14" s="31">
        <v>7245</v>
      </c>
      <c r="AP14" s="31">
        <v>24044</v>
      </c>
      <c r="AQ14" s="31">
        <v>31289</v>
      </c>
      <c r="AR14" s="31">
        <v>694278</v>
      </c>
      <c r="AS14" s="46">
        <f t="shared" si="9"/>
        <v>21.253841915141127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3" t="s">
        <v>25</v>
      </c>
      <c r="BD14" s="47">
        <v>92963</v>
      </c>
      <c r="BE14" s="47">
        <v>105569</v>
      </c>
      <c r="BF14" s="45">
        <f t="shared" si="10"/>
        <v>3.2317700361231863</v>
      </c>
      <c r="BG14" s="30">
        <v>2697</v>
      </c>
      <c r="BH14" s="30">
        <v>2797</v>
      </c>
      <c r="BI14" s="30">
        <v>12536</v>
      </c>
      <c r="BJ14" s="30">
        <v>3086</v>
      </c>
      <c r="BK14" s="30">
        <v>3086</v>
      </c>
      <c r="BL14" s="30">
        <v>322</v>
      </c>
      <c r="BM14" s="30">
        <v>32227</v>
      </c>
      <c r="BN14" s="30">
        <v>6</v>
      </c>
      <c r="BO14" s="30">
        <v>51</v>
      </c>
      <c r="BP14" s="30">
        <v>1</v>
      </c>
      <c r="BQ14" s="30">
        <v>58</v>
      </c>
      <c r="BR14" s="47">
        <v>98746</v>
      </c>
      <c r="BS14" s="47">
        <v>156543</v>
      </c>
      <c r="BT14" s="1">
        <f t="shared" si="11"/>
        <v>4.7922304536827278</v>
      </c>
      <c r="BU14" s="30">
        <v>53</v>
      </c>
      <c r="BV14" s="30">
        <v>0</v>
      </c>
      <c r="BW14" s="47">
        <v>2415</v>
      </c>
      <c r="BX14" s="52">
        <f t="shared" si="12"/>
        <v>7.3930080205718479E-2</v>
      </c>
      <c r="BY14" s="47">
        <v>48400</v>
      </c>
      <c r="BZ14" s="47">
        <v>2400</v>
      </c>
      <c r="CA14" s="47">
        <v>230030</v>
      </c>
      <c r="CB14" s="47">
        <v>7062</v>
      </c>
      <c r="CC14" s="47">
        <v>287892</v>
      </c>
      <c r="CD14" s="55">
        <f t="shared" si="13"/>
        <v>8.8132002693932527</v>
      </c>
      <c r="CE14" s="3">
        <f t="shared" si="14"/>
        <v>14974.876462938881</v>
      </c>
      <c r="CF14" s="55">
        <f t="shared" si="15"/>
        <v>28.812249799839872</v>
      </c>
      <c r="CG14" s="55">
        <f t="shared" si="16"/>
        <v>2.0444696942797287</v>
      </c>
      <c r="CH14" s="55">
        <f t="shared" si="17"/>
        <v>1.7786167378931028</v>
      </c>
      <c r="CI14" s="30">
        <v>197</v>
      </c>
      <c r="CJ14" s="30">
        <v>73</v>
      </c>
      <c r="CK14" s="30">
        <v>118</v>
      </c>
      <c r="CL14" s="30">
        <v>388</v>
      </c>
      <c r="CM14" s="30">
        <v>9269</v>
      </c>
      <c r="CN14" s="30">
        <v>804</v>
      </c>
      <c r="CO14" s="30">
        <v>677</v>
      </c>
      <c r="CP14" s="30">
        <v>10750</v>
      </c>
      <c r="CQ14" s="1">
        <f t="shared" si="27"/>
        <v>0.32908834874181103</v>
      </c>
      <c r="CR14" s="47">
        <v>140815</v>
      </c>
      <c r="CS14" s="55">
        <f t="shared" si="18"/>
        <v>4.3107512398212204</v>
      </c>
      <c r="CT14" s="59">
        <v>11589</v>
      </c>
      <c r="CU14" s="29" t="s">
        <v>25</v>
      </c>
      <c r="CV14" s="29" t="s">
        <v>25</v>
      </c>
      <c r="CW14" s="29" t="s">
        <v>25</v>
      </c>
      <c r="CX14" s="35">
        <v>2</v>
      </c>
      <c r="CY14" s="49">
        <f t="shared" si="19"/>
        <v>16333</v>
      </c>
      <c r="CZ14" s="35">
        <v>12.725</v>
      </c>
      <c r="DA14" s="35">
        <v>4.5</v>
      </c>
      <c r="DB14" s="35">
        <v>19.225000000000001</v>
      </c>
      <c r="DC14" s="49">
        <f t="shared" si="20"/>
        <v>1699.1417425227567</v>
      </c>
      <c r="DD14" s="30">
        <v>775</v>
      </c>
      <c r="DE14" s="31">
        <v>58400</v>
      </c>
      <c r="DF14" s="35">
        <v>40</v>
      </c>
      <c r="DG14" s="29" t="s">
        <v>25</v>
      </c>
      <c r="DH14" s="29" t="s">
        <v>25</v>
      </c>
      <c r="DI14" s="29" t="s">
        <v>25</v>
      </c>
      <c r="DJ14" s="47">
        <v>1789</v>
      </c>
      <c r="DK14" s="47">
        <v>175</v>
      </c>
      <c r="DL14" s="47">
        <v>37</v>
      </c>
      <c r="DM14" s="47">
        <v>24569</v>
      </c>
      <c r="DN14" s="47">
        <v>115</v>
      </c>
      <c r="DO14" s="47">
        <v>5294</v>
      </c>
      <c r="DP14" s="29" t="s">
        <v>25</v>
      </c>
      <c r="DQ14" s="47">
        <v>45763</v>
      </c>
      <c r="DR14" s="47">
        <v>2756</v>
      </c>
      <c r="DS14" s="30">
        <v>52</v>
      </c>
      <c r="DT14" s="30">
        <v>55</v>
      </c>
      <c r="DU14" s="30">
        <v>53</v>
      </c>
      <c r="DV14" s="30">
        <v>53</v>
      </c>
      <c r="DW14">
        <f>VLOOKUP(EC14,branch!$I$4:$K$77,3,0)</f>
        <v>7236</v>
      </c>
      <c r="DX14" s="2">
        <f t="shared" si="21"/>
        <v>9992</v>
      </c>
      <c r="DY14" s="33" t="s">
        <v>2185</v>
      </c>
      <c r="DZ14" s="33" t="s">
        <v>67</v>
      </c>
      <c r="EA14" s="33" t="s">
        <v>2031</v>
      </c>
      <c r="EB14" s="33" t="s">
        <v>2027</v>
      </c>
      <c r="EC14" s="36">
        <v>10</v>
      </c>
      <c r="ED14" s="29" t="s">
        <v>65</v>
      </c>
      <c r="EE14" s="29" t="s">
        <v>66</v>
      </c>
      <c r="EF14" s="37">
        <v>41640</v>
      </c>
      <c r="EG14" s="37">
        <v>42004</v>
      </c>
      <c r="EH14" s="29" t="s">
        <v>65</v>
      </c>
      <c r="EI14" s="55">
        <f t="shared" si="22"/>
        <v>1.4816628910794098</v>
      </c>
      <c r="EJ14" s="54">
        <f t="shared" si="23"/>
        <v>7.3470887160962464E-2</v>
      </c>
      <c r="EK14" s="55">
        <f t="shared" si="24"/>
        <v>7.0418784056817483</v>
      </c>
      <c r="EL14" s="54">
        <f t="shared" si="25"/>
        <v>0.21618808547113205</v>
      </c>
    </row>
    <row r="15" spans="1:142" ht="28.8" x14ac:dyDescent="0.3">
      <c r="A15" s="29" t="s">
        <v>68</v>
      </c>
      <c r="B15" s="29"/>
      <c r="C15" s="30">
        <v>16799</v>
      </c>
      <c r="D15" s="30">
        <v>0</v>
      </c>
      <c r="E15" s="30">
        <v>0</v>
      </c>
      <c r="F15" s="30">
        <v>19990</v>
      </c>
      <c r="H15" s="2">
        <f t="shared" si="26"/>
        <v>19990</v>
      </c>
      <c r="I15" s="1">
        <f t="shared" si="0"/>
        <v>1.189951782844217</v>
      </c>
      <c r="J15" s="31">
        <v>391626</v>
      </c>
      <c r="K15" s="31">
        <v>195012</v>
      </c>
      <c r="L15" s="31">
        <v>586638</v>
      </c>
      <c r="M15" s="45">
        <f t="shared" si="1"/>
        <v>34.92100720280969</v>
      </c>
      <c r="N15" s="31">
        <v>34282</v>
      </c>
      <c r="O15" s="31">
        <v>6754</v>
      </c>
      <c r="P15" s="31">
        <v>17032</v>
      </c>
      <c r="Q15" s="31">
        <v>58068</v>
      </c>
      <c r="R15" s="45">
        <f t="shared" si="2"/>
        <v>3.456634323471635</v>
      </c>
      <c r="S15" s="31">
        <v>45725</v>
      </c>
      <c r="T15" s="31">
        <v>690431</v>
      </c>
      <c r="U15" s="31">
        <v>0</v>
      </c>
      <c r="V15" s="31">
        <v>690431</v>
      </c>
      <c r="W15" s="45">
        <f t="shared" si="3"/>
        <v>41.099529733912732</v>
      </c>
      <c r="X15" s="4">
        <f t="shared" si="4"/>
        <v>0.84966926456083225</v>
      </c>
      <c r="Y15" s="4">
        <f t="shared" si="5"/>
        <v>8.4103987219577334E-2</v>
      </c>
      <c r="Z15" s="4">
        <f t="shared" si="6"/>
        <v>6.6226748219590376E-2</v>
      </c>
      <c r="AA15" s="4">
        <f t="shared" si="7"/>
        <v>0</v>
      </c>
      <c r="AB15" s="31">
        <v>0</v>
      </c>
      <c r="AC15" s="31">
        <v>58068</v>
      </c>
      <c r="AD15" s="31">
        <v>690431</v>
      </c>
      <c r="AE15" s="31">
        <v>682737</v>
      </c>
      <c r="AF15" s="31">
        <v>0</v>
      </c>
      <c r="AG15" s="31">
        <v>682737</v>
      </c>
      <c r="AH15" s="31">
        <v>0</v>
      </c>
      <c r="AI15" s="31">
        <v>682737</v>
      </c>
      <c r="AJ15" s="45">
        <f t="shared" si="8"/>
        <v>40.641526281326271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7694</v>
      </c>
      <c r="AQ15" s="31">
        <v>7694</v>
      </c>
      <c r="AR15" s="31">
        <v>690431</v>
      </c>
      <c r="AS15" s="46">
        <f t="shared" si="9"/>
        <v>41.099529733912732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3" t="s">
        <v>25</v>
      </c>
      <c r="BD15" s="47">
        <v>69374</v>
      </c>
      <c r="BE15" s="47">
        <v>75029</v>
      </c>
      <c r="BF15" s="45">
        <f t="shared" si="10"/>
        <v>4.4662777546282513</v>
      </c>
      <c r="BG15" s="30">
        <v>3482</v>
      </c>
      <c r="BH15" s="30">
        <v>3544</v>
      </c>
      <c r="BI15" s="30">
        <v>2</v>
      </c>
      <c r="BJ15" s="30">
        <v>2883</v>
      </c>
      <c r="BK15" s="30">
        <v>3022</v>
      </c>
      <c r="BL15" s="30">
        <v>0</v>
      </c>
      <c r="BM15" s="30">
        <v>262</v>
      </c>
      <c r="BN15" s="30">
        <v>5</v>
      </c>
      <c r="BO15" s="30">
        <v>51</v>
      </c>
      <c r="BP15" s="30">
        <v>0</v>
      </c>
      <c r="BQ15" s="30">
        <v>56</v>
      </c>
      <c r="BR15" s="47">
        <v>75739</v>
      </c>
      <c r="BS15" s="47">
        <v>81864</v>
      </c>
      <c r="BT15" s="1">
        <f t="shared" si="11"/>
        <v>4.8731472111435208</v>
      </c>
      <c r="BU15" s="30">
        <v>68</v>
      </c>
      <c r="BV15" s="30">
        <v>15</v>
      </c>
      <c r="BW15" s="47">
        <v>17713</v>
      </c>
      <c r="BX15" s="52">
        <f t="shared" si="12"/>
        <v>1.0544080004762189</v>
      </c>
      <c r="BY15" s="47">
        <v>26683</v>
      </c>
      <c r="BZ15" s="47">
        <v>9</v>
      </c>
      <c r="CA15" s="47">
        <v>21670</v>
      </c>
      <c r="CB15" s="47">
        <v>155</v>
      </c>
      <c r="CC15" s="47">
        <v>48517</v>
      </c>
      <c r="CD15" s="55">
        <f t="shared" si="13"/>
        <v>2.8880885767009943</v>
      </c>
      <c r="CE15" s="3">
        <f t="shared" si="14"/>
        <v>6004.5792079207922</v>
      </c>
      <c r="CF15" s="55">
        <f t="shared" si="15"/>
        <v>18.239473684210527</v>
      </c>
      <c r="CG15" s="55">
        <f t="shared" si="16"/>
        <v>0.98425739963077918</v>
      </c>
      <c r="CH15" s="55">
        <f t="shared" si="17"/>
        <v>0.59065034691683771</v>
      </c>
      <c r="CI15" s="30">
        <v>163</v>
      </c>
      <c r="CJ15" s="30">
        <v>1</v>
      </c>
      <c r="CK15" s="30">
        <v>156</v>
      </c>
      <c r="CL15" s="30">
        <v>320</v>
      </c>
      <c r="CM15" s="30">
        <v>4992</v>
      </c>
      <c r="CN15" s="30">
        <v>15</v>
      </c>
      <c r="CO15" s="30">
        <v>1234</v>
      </c>
      <c r="CP15" s="30">
        <v>6241</v>
      </c>
      <c r="CQ15" s="1">
        <f t="shared" si="27"/>
        <v>0.37151020894100839</v>
      </c>
      <c r="CR15" s="47">
        <v>49293</v>
      </c>
      <c r="CS15" s="55">
        <f t="shared" si="18"/>
        <v>2.9342818024882433</v>
      </c>
      <c r="CT15" s="59">
        <v>5657</v>
      </c>
      <c r="CU15" s="29" t="s">
        <v>25</v>
      </c>
      <c r="CV15" s="29" t="s">
        <v>25</v>
      </c>
      <c r="CW15" s="29" t="s">
        <v>25</v>
      </c>
      <c r="CX15" s="35">
        <v>2</v>
      </c>
      <c r="CY15" s="49">
        <f t="shared" si="19"/>
        <v>8399.5</v>
      </c>
      <c r="CZ15" s="35">
        <v>5</v>
      </c>
      <c r="DA15" s="35">
        <v>1.08</v>
      </c>
      <c r="DB15" s="35">
        <v>8.08</v>
      </c>
      <c r="DC15" s="49">
        <f t="shared" si="20"/>
        <v>2079.0841584158416</v>
      </c>
      <c r="DD15" s="30">
        <v>596</v>
      </c>
      <c r="DE15" s="31">
        <v>64355</v>
      </c>
      <c r="DF15" s="35">
        <v>40</v>
      </c>
      <c r="DG15" s="29" t="s">
        <v>25</v>
      </c>
      <c r="DH15" s="29" t="s">
        <v>25</v>
      </c>
      <c r="DI15" s="29" t="s">
        <v>25</v>
      </c>
      <c r="DJ15" s="47">
        <v>80</v>
      </c>
      <c r="DK15" s="47">
        <v>22</v>
      </c>
      <c r="DL15" s="47">
        <v>25</v>
      </c>
      <c r="DM15" s="47">
        <v>7734</v>
      </c>
      <c r="DN15" s="47">
        <v>11382</v>
      </c>
      <c r="DO15" s="47">
        <v>2633</v>
      </c>
      <c r="DP15" s="29" t="s">
        <v>2028</v>
      </c>
      <c r="DQ15" s="47">
        <v>0</v>
      </c>
      <c r="DR15" s="47">
        <v>2660</v>
      </c>
      <c r="DS15" s="30">
        <v>52</v>
      </c>
      <c r="DT15" s="30">
        <v>58</v>
      </c>
      <c r="DU15" s="30">
        <v>58</v>
      </c>
      <c r="DV15" s="30">
        <v>45</v>
      </c>
      <c r="DX15" s="2">
        <f t="shared" si="21"/>
        <v>2660</v>
      </c>
      <c r="DY15" s="33" t="s">
        <v>2178</v>
      </c>
      <c r="DZ15" s="33" t="s">
        <v>70</v>
      </c>
      <c r="EA15" s="33" t="s">
        <v>2031</v>
      </c>
      <c r="EB15" s="33" t="s">
        <v>2027</v>
      </c>
      <c r="EC15" s="36">
        <v>11</v>
      </c>
      <c r="ED15" s="29" t="s">
        <v>69</v>
      </c>
      <c r="EE15" s="29" t="s">
        <v>68</v>
      </c>
      <c r="EF15" s="37">
        <v>41548</v>
      </c>
      <c r="EG15" s="37">
        <v>41912</v>
      </c>
      <c r="EH15" s="29" t="s">
        <v>69</v>
      </c>
      <c r="EI15" s="55">
        <f t="shared" si="22"/>
        <v>1.5883683552592416</v>
      </c>
      <c r="EJ15" s="54">
        <f t="shared" si="23"/>
        <v>5.3574617536758138E-4</v>
      </c>
      <c r="EK15" s="55">
        <f t="shared" si="24"/>
        <v>1.2899577355794989</v>
      </c>
      <c r="EL15" s="54">
        <f t="shared" si="25"/>
        <v>9.2267396868861238E-3</v>
      </c>
    </row>
    <row r="16" spans="1:142" ht="28.8" x14ac:dyDescent="0.3">
      <c r="A16" s="29" t="s">
        <v>71</v>
      </c>
      <c r="B16" s="29"/>
      <c r="C16" s="30">
        <v>330242</v>
      </c>
      <c r="D16" s="30">
        <v>12</v>
      </c>
      <c r="E16" s="30">
        <v>0</v>
      </c>
      <c r="F16" s="30">
        <v>0</v>
      </c>
      <c r="G16">
        <v>135815</v>
      </c>
      <c r="H16" s="2">
        <f t="shared" si="26"/>
        <v>135815</v>
      </c>
      <c r="I16" s="1">
        <f t="shared" si="0"/>
        <v>0.41125901611545473</v>
      </c>
      <c r="J16" s="31">
        <v>3249447</v>
      </c>
      <c r="K16" s="31">
        <v>1367075</v>
      </c>
      <c r="L16" s="31">
        <v>4616522</v>
      </c>
      <c r="M16" s="45">
        <f t="shared" si="1"/>
        <v>13.979209185990879</v>
      </c>
      <c r="N16" s="31">
        <v>737831</v>
      </c>
      <c r="O16" s="31">
        <v>245881</v>
      </c>
      <c r="P16" s="31">
        <v>40457</v>
      </c>
      <c r="Q16" s="31">
        <v>1024169</v>
      </c>
      <c r="R16" s="45">
        <f t="shared" si="2"/>
        <v>3.101268160924413</v>
      </c>
      <c r="S16" s="31">
        <v>1071623</v>
      </c>
      <c r="T16" s="31">
        <v>6712314</v>
      </c>
      <c r="U16" s="31">
        <v>0</v>
      </c>
      <c r="V16" s="31">
        <v>6712314</v>
      </c>
      <c r="W16" s="45">
        <f t="shared" si="3"/>
        <v>20.325440131782148</v>
      </c>
      <c r="X16" s="4">
        <f t="shared" si="4"/>
        <v>0.68776907635727413</v>
      </c>
      <c r="Y16" s="4">
        <f t="shared" si="5"/>
        <v>0.15258061526919034</v>
      </c>
      <c r="Z16" s="4">
        <f t="shared" si="6"/>
        <v>0.15965030837353555</v>
      </c>
      <c r="AA16" s="4">
        <f t="shared" si="7"/>
        <v>0</v>
      </c>
      <c r="AB16" s="31">
        <v>82151</v>
      </c>
      <c r="AC16" s="31">
        <v>1024169</v>
      </c>
      <c r="AD16" s="31">
        <v>6712314</v>
      </c>
      <c r="AE16" s="31">
        <v>6176716</v>
      </c>
      <c r="AF16" s="31">
        <v>740984</v>
      </c>
      <c r="AG16" s="31">
        <v>5435732</v>
      </c>
      <c r="AH16" s="31">
        <v>0</v>
      </c>
      <c r="AI16" s="31">
        <v>6176716</v>
      </c>
      <c r="AJ16" s="45">
        <f t="shared" si="8"/>
        <v>18.703605234948917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458216</v>
      </c>
      <c r="AQ16" s="31">
        <v>458216</v>
      </c>
      <c r="AR16" s="31">
        <v>6634932</v>
      </c>
      <c r="AS16" s="46">
        <f t="shared" si="9"/>
        <v>20.091121056679647</v>
      </c>
      <c r="AT16" s="31">
        <v>57975</v>
      </c>
      <c r="AU16" s="31">
        <v>24176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82151</v>
      </c>
      <c r="BC16" s="33" t="s">
        <v>25</v>
      </c>
      <c r="BD16" s="47">
        <v>204856</v>
      </c>
      <c r="BE16" s="47">
        <v>551336</v>
      </c>
      <c r="BF16" s="45">
        <f t="shared" si="10"/>
        <v>1.6694908582191241</v>
      </c>
      <c r="BG16" s="30">
        <v>11912</v>
      </c>
      <c r="BH16" s="30">
        <v>27422</v>
      </c>
      <c r="BI16" s="30">
        <v>2328</v>
      </c>
      <c r="BJ16" s="30">
        <v>8229</v>
      </c>
      <c r="BK16" s="30">
        <v>20332</v>
      </c>
      <c r="BL16" s="30">
        <v>0</v>
      </c>
      <c r="BM16" s="30">
        <v>4425</v>
      </c>
      <c r="BN16" s="30">
        <v>14</v>
      </c>
      <c r="BO16" s="30">
        <v>51</v>
      </c>
      <c r="BP16" s="30">
        <v>0</v>
      </c>
      <c r="BQ16" s="30">
        <v>65</v>
      </c>
      <c r="BR16" s="47">
        <v>224997</v>
      </c>
      <c r="BS16" s="47">
        <v>605857</v>
      </c>
      <c r="BT16" s="1">
        <f t="shared" si="11"/>
        <v>1.8345849407404267</v>
      </c>
      <c r="BU16" s="30">
        <v>683</v>
      </c>
      <c r="BV16" s="30">
        <v>5</v>
      </c>
      <c r="BW16" s="47">
        <v>82965</v>
      </c>
      <c r="BX16" s="52">
        <f t="shared" si="12"/>
        <v>0.25122485934557082</v>
      </c>
      <c r="BY16" s="47">
        <v>735100</v>
      </c>
      <c r="BZ16" s="47">
        <v>0</v>
      </c>
      <c r="CA16" s="47">
        <v>730316</v>
      </c>
      <c r="CB16" s="47">
        <v>53972</v>
      </c>
      <c r="CC16" s="47">
        <v>1519388</v>
      </c>
      <c r="CD16" s="55">
        <f t="shared" si="13"/>
        <v>4.6008321170535549</v>
      </c>
      <c r="CE16" s="3">
        <f t="shared" si="14"/>
        <v>11254.725925925926</v>
      </c>
      <c r="CF16" s="55">
        <f t="shared" si="15"/>
        <v>57.259770114942526</v>
      </c>
      <c r="CG16" s="55">
        <f t="shared" si="16"/>
        <v>2.1349554289054509</v>
      </c>
      <c r="CH16" s="55">
        <f t="shared" si="17"/>
        <v>2.418748978719401</v>
      </c>
      <c r="CI16" s="30">
        <v>1840</v>
      </c>
      <c r="CJ16" s="30">
        <v>278</v>
      </c>
      <c r="CK16" s="30">
        <v>645</v>
      </c>
      <c r="CL16" s="30">
        <v>2763</v>
      </c>
      <c r="CM16" s="30">
        <v>52261</v>
      </c>
      <c r="CN16" s="30">
        <v>2584</v>
      </c>
      <c r="CO16" s="30">
        <v>4217</v>
      </c>
      <c r="CP16" s="30">
        <v>59062</v>
      </c>
      <c r="CQ16" s="1">
        <f t="shared" si="27"/>
        <v>0.17884460486552287</v>
      </c>
      <c r="CR16" s="47">
        <v>711672</v>
      </c>
      <c r="CS16" s="55">
        <f t="shared" si="18"/>
        <v>2.1550014837603939</v>
      </c>
      <c r="CT16" s="59">
        <v>119315</v>
      </c>
      <c r="CU16" s="29" t="s">
        <v>25</v>
      </c>
      <c r="CV16" s="29" t="s">
        <v>25</v>
      </c>
      <c r="CW16" s="29" t="s">
        <v>25</v>
      </c>
      <c r="CX16" s="35">
        <v>16.5</v>
      </c>
      <c r="CY16" s="49">
        <f t="shared" si="19"/>
        <v>20014.666666666668</v>
      </c>
      <c r="CZ16" s="35">
        <v>18</v>
      </c>
      <c r="DA16" s="35">
        <v>100.5</v>
      </c>
      <c r="DB16" s="35">
        <v>135</v>
      </c>
      <c r="DC16" s="49">
        <f t="shared" si="20"/>
        <v>2446.2370370370372</v>
      </c>
      <c r="DD16" s="30">
        <v>9064</v>
      </c>
      <c r="DE16" s="31">
        <v>94026</v>
      </c>
      <c r="DF16" s="35">
        <v>40</v>
      </c>
      <c r="DG16" s="29" t="s">
        <v>25</v>
      </c>
      <c r="DH16" s="29" t="s">
        <v>25</v>
      </c>
      <c r="DI16" s="29" t="s">
        <v>25</v>
      </c>
      <c r="DJ16" s="47">
        <v>5327</v>
      </c>
      <c r="DK16" s="47">
        <v>2408</v>
      </c>
      <c r="DL16" s="47">
        <v>175</v>
      </c>
      <c r="DM16" s="47">
        <v>248388</v>
      </c>
      <c r="DN16" s="47">
        <v>30267</v>
      </c>
      <c r="DO16" s="47">
        <v>20735</v>
      </c>
      <c r="DP16" s="29" t="s">
        <v>25</v>
      </c>
      <c r="DQ16" s="47">
        <v>1141917</v>
      </c>
      <c r="DR16" s="47">
        <v>0</v>
      </c>
      <c r="DS16" s="30">
        <v>0</v>
      </c>
      <c r="DT16" s="30">
        <v>66</v>
      </c>
      <c r="DU16" s="30">
        <v>0</v>
      </c>
      <c r="DV16" s="30">
        <v>0</v>
      </c>
      <c r="DW16">
        <f>VLOOKUP(EC16,branch!$I$4:$K$77,3,0)</f>
        <v>26535</v>
      </c>
      <c r="DX16" s="2">
        <f t="shared" si="21"/>
        <v>26535</v>
      </c>
      <c r="DY16" s="33" t="s">
        <v>2185</v>
      </c>
      <c r="DZ16" s="33" t="s">
        <v>75</v>
      </c>
      <c r="EA16" s="33" t="s">
        <v>2031</v>
      </c>
      <c r="EB16" s="33" t="s">
        <v>2027</v>
      </c>
      <c r="EC16" s="36">
        <v>12</v>
      </c>
      <c r="ED16" s="29" t="s">
        <v>72</v>
      </c>
      <c r="EE16" s="29" t="s">
        <v>73</v>
      </c>
      <c r="EF16" s="37">
        <v>41548</v>
      </c>
      <c r="EG16" s="37">
        <v>41912</v>
      </c>
      <c r="EH16" s="29" t="s">
        <v>72</v>
      </c>
      <c r="EI16" s="55">
        <f t="shared" si="22"/>
        <v>2.2259433990830968</v>
      </c>
      <c r="EJ16" s="54">
        <f t="shared" si="23"/>
        <v>0</v>
      </c>
      <c r="EK16" s="55">
        <f t="shared" si="24"/>
        <v>2.2114570527068027</v>
      </c>
      <c r="EL16" s="54">
        <f t="shared" si="25"/>
        <v>0.16343166526365513</v>
      </c>
    </row>
    <row r="17" spans="1:142" ht="28.8" x14ac:dyDescent="0.3">
      <c r="A17" s="29" t="s">
        <v>76</v>
      </c>
      <c r="B17" s="29"/>
      <c r="C17" s="30">
        <v>2347</v>
      </c>
      <c r="D17" s="30">
        <v>0</v>
      </c>
      <c r="E17" s="30">
        <v>0</v>
      </c>
      <c r="F17" s="30">
        <v>5000</v>
      </c>
      <c r="H17" s="2">
        <f t="shared" si="26"/>
        <v>5000</v>
      </c>
      <c r="I17" s="1">
        <f t="shared" si="0"/>
        <v>2.1303792074989349</v>
      </c>
      <c r="J17" s="31">
        <v>9052</v>
      </c>
      <c r="K17" s="31">
        <v>1443</v>
      </c>
      <c r="L17" s="31">
        <v>10495</v>
      </c>
      <c r="M17" s="45">
        <f t="shared" si="1"/>
        <v>4.4716659565402646</v>
      </c>
      <c r="N17" s="31">
        <v>4500</v>
      </c>
      <c r="O17" s="31">
        <v>0</v>
      </c>
      <c r="P17" s="31">
        <v>100</v>
      </c>
      <c r="Q17" s="31">
        <v>4600</v>
      </c>
      <c r="R17" s="45">
        <f t="shared" si="2"/>
        <v>1.95994887089902</v>
      </c>
      <c r="S17" s="31">
        <v>10000</v>
      </c>
      <c r="T17" s="31">
        <v>25095</v>
      </c>
      <c r="U17" s="31">
        <v>0</v>
      </c>
      <c r="V17" s="31">
        <v>25095</v>
      </c>
      <c r="W17" s="45">
        <f t="shared" si="3"/>
        <v>10.692373242437153</v>
      </c>
      <c r="X17" s="4">
        <f t="shared" si="4"/>
        <v>0.41821079896393704</v>
      </c>
      <c r="Y17" s="4">
        <f t="shared" si="5"/>
        <v>0.18330344690177325</v>
      </c>
      <c r="Z17" s="4">
        <f t="shared" si="6"/>
        <v>0.39848575413428972</v>
      </c>
      <c r="AA17" s="4">
        <f t="shared" si="7"/>
        <v>0</v>
      </c>
      <c r="AB17" s="31">
        <v>0</v>
      </c>
      <c r="AC17" s="31">
        <v>4600</v>
      </c>
      <c r="AD17" s="31">
        <v>25095</v>
      </c>
      <c r="AE17" s="31">
        <v>11682</v>
      </c>
      <c r="AF17" s="31">
        <v>11682</v>
      </c>
      <c r="AG17" s="31">
        <v>0</v>
      </c>
      <c r="AH17" s="31">
        <v>0</v>
      </c>
      <c r="AI17" s="31">
        <v>11682</v>
      </c>
      <c r="AJ17" s="45">
        <f t="shared" si="8"/>
        <v>4.977417980400511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13115</v>
      </c>
      <c r="AQ17" s="31">
        <v>13115</v>
      </c>
      <c r="AR17" s="31">
        <v>24797</v>
      </c>
      <c r="AS17" s="46">
        <f t="shared" si="9"/>
        <v>10.565402641670218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3" t="s">
        <v>25</v>
      </c>
      <c r="BD17" s="47">
        <v>17020</v>
      </c>
      <c r="BE17" s="47">
        <v>17120</v>
      </c>
      <c r="BF17" s="45">
        <f t="shared" si="10"/>
        <v>7.2944184064763524</v>
      </c>
      <c r="BG17" s="30">
        <v>76</v>
      </c>
      <c r="BH17" s="30">
        <v>76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51</v>
      </c>
      <c r="BP17" s="30">
        <v>0</v>
      </c>
      <c r="BQ17" s="30">
        <v>51</v>
      </c>
      <c r="BR17" s="47">
        <v>17096</v>
      </c>
      <c r="BS17" s="47">
        <v>17196</v>
      </c>
      <c r="BT17" s="1">
        <f t="shared" si="11"/>
        <v>7.3268001704303369</v>
      </c>
      <c r="BU17" s="30">
        <v>8</v>
      </c>
      <c r="BV17" s="30">
        <v>0</v>
      </c>
      <c r="BW17" s="47">
        <v>400</v>
      </c>
      <c r="BX17" s="52">
        <f t="shared" si="12"/>
        <v>0.17043033659991477</v>
      </c>
      <c r="BY17" s="47">
        <v>1800</v>
      </c>
      <c r="BZ17" s="47">
        <v>0</v>
      </c>
      <c r="CA17" s="47">
        <v>3200</v>
      </c>
      <c r="CB17" s="47">
        <v>0</v>
      </c>
      <c r="CC17" s="47">
        <v>5000</v>
      </c>
      <c r="CD17" s="55">
        <f t="shared" si="13"/>
        <v>2.1303792074989349</v>
      </c>
      <c r="CE17" s="3">
        <f t="shared" si="14"/>
        <v>7142.8571428571422</v>
      </c>
      <c r="CF17" s="55">
        <f t="shared" si="15"/>
        <v>3.4246575342465753</v>
      </c>
      <c r="CG17" s="55">
        <f t="shared" si="16"/>
        <v>1.1355893708834885</v>
      </c>
      <c r="CH17" s="55">
        <f t="shared" si="17"/>
        <v>0.29076529425447778</v>
      </c>
      <c r="CI17" s="30">
        <v>25</v>
      </c>
      <c r="CJ17" s="30">
        <v>0</v>
      </c>
      <c r="CK17" s="30">
        <v>1</v>
      </c>
      <c r="CL17" s="30">
        <v>26</v>
      </c>
      <c r="CM17" s="30">
        <v>229</v>
      </c>
      <c r="CN17" s="30">
        <v>0</v>
      </c>
      <c r="CO17" s="30">
        <v>60</v>
      </c>
      <c r="CP17" s="30">
        <v>289</v>
      </c>
      <c r="CQ17" s="1">
        <f t="shared" si="27"/>
        <v>0.12313591819343843</v>
      </c>
      <c r="CR17" s="47">
        <v>4403</v>
      </c>
      <c r="CS17" s="55">
        <f t="shared" si="18"/>
        <v>1.876011930123562</v>
      </c>
      <c r="CT17" s="59">
        <v>3500</v>
      </c>
      <c r="CU17" s="29" t="s">
        <v>25</v>
      </c>
      <c r="CV17" s="29" t="s">
        <v>25</v>
      </c>
      <c r="CW17" s="29" t="s">
        <v>25</v>
      </c>
      <c r="CX17" s="35">
        <v>0</v>
      </c>
      <c r="CY17" s="49">
        <v>0</v>
      </c>
      <c r="CZ17" s="35">
        <v>0.67500000000000004</v>
      </c>
      <c r="DA17" s="35">
        <v>2.5000000000000001E-2</v>
      </c>
      <c r="DB17" s="35">
        <v>0.70000000000000007</v>
      </c>
      <c r="DC17" s="49">
        <f t="shared" si="20"/>
        <v>3352.8571428571427</v>
      </c>
      <c r="DD17" s="30">
        <v>500</v>
      </c>
      <c r="DE17" s="31">
        <v>7956</v>
      </c>
      <c r="DF17" s="35">
        <v>27</v>
      </c>
      <c r="DG17" s="29" t="s">
        <v>25</v>
      </c>
      <c r="DH17" s="29" t="s">
        <v>25</v>
      </c>
      <c r="DI17" s="29" t="s">
        <v>25</v>
      </c>
      <c r="DJ17" s="47">
        <v>0</v>
      </c>
      <c r="DK17" s="47">
        <v>0</v>
      </c>
      <c r="DL17" s="47">
        <v>6</v>
      </c>
      <c r="DM17" s="47">
        <v>1200</v>
      </c>
      <c r="DN17" s="47">
        <v>0</v>
      </c>
      <c r="DO17" s="47">
        <v>0</v>
      </c>
      <c r="DP17" s="29" t="s">
        <v>2028</v>
      </c>
      <c r="DQ17" s="47">
        <v>0</v>
      </c>
      <c r="DR17" s="47">
        <v>1460</v>
      </c>
      <c r="DS17" s="30">
        <v>52</v>
      </c>
      <c r="DT17" s="30">
        <v>29</v>
      </c>
      <c r="DU17" s="30">
        <v>29</v>
      </c>
      <c r="DV17" s="30">
        <v>29</v>
      </c>
      <c r="DX17" s="2">
        <f t="shared" si="21"/>
        <v>1460</v>
      </c>
      <c r="DY17" s="33" t="s">
        <v>2179</v>
      </c>
      <c r="DZ17" s="33" t="s">
        <v>79</v>
      </c>
      <c r="EA17" s="33" t="s">
        <v>2032</v>
      </c>
      <c r="EB17" s="33" t="s">
        <v>2027</v>
      </c>
      <c r="EC17" s="36">
        <v>13</v>
      </c>
      <c r="ED17" s="29" t="s">
        <v>77</v>
      </c>
      <c r="EE17" s="29" t="s">
        <v>78</v>
      </c>
      <c r="EF17" s="37">
        <v>41640</v>
      </c>
      <c r="EG17" s="37">
        <v>42004</v>
      </c>
      <c r="EH17" s="29" t="s">
        <v>77</v>
      </c>
      <c r="EI17" s="55">
        <f t="shared" si="22"/>
        <v>0.76693651469961654</v>
      </c>
      <c r="EJ17" s="54">
        <f t="shared" si="23"/>
        <v>0</v>
      </c>
      <c r="EK17" s="55">
        <f t="shared" si="24"/>
        <v>1.3634426927993182</v>
      </c>
      <c r="EL17" s="54">
        <f t="shared" si="25"/>
        <v>0</v>
      </c>
    </row>
    <row r="18" spans="1:142" ht="43.2" x14ac:dyDescent="0.3">
      <c r="A18" s="29" t="s">
        <v>82</v>
      </c>
      <c r="B18" s="29"/>
      <c r="C18" s="30">
        <v>10960</v>
      </c>
      <c r="D18" s="30">
        <v>0</v>
      </c>
      <c r="E18" s="30">
        <v>0</v>
      </c>
      <c r="F18" s="30">
        <v>7590</v>
      </c>
      <c r="H18" s="2">
        <f t="shared" si="26"/>
        <v>7590</v>
      </c>
      <c r="I18" s="1">
        <f t="shared" si="0"/>
        <v>0.69251824817518248</v>
      </c>
      <c r="J18" s="31">
        <v>65047</v>
      </c>
      <c r="K18" s="31">
        <v>18699</v>
      </c>
      <c r="L18" s="31">
        <v>83746</v>
      </c>
      <c r="M18" s="45">
        <f t="shared" si="1"/>
        <v>7.6410583941605843</v>
      </c>
      <c r="N18" s="31">
        <v>8430</v>
      </c>
      <c r="O18" s="31">
        <v>0</v>
      </c>
      <c r="P18" s="31">
        <v>2729</v>
      </c>
      <c r="Q18" s="31">
        <v>11159</v>
      </c>
      <c r="R18" s="45">
        <f t="shared" si="2"/>
        <v>1.0181569343065693</v>
      </c>
      <c r="S18" s="31">
        <v>10164</v>
      </c>
      <c r="T18" s="31">
        <v>105069</v>
      </c>
      <c r="U18" s="31">
        <v>0</v>
      </c>
      <c r="V18" s="31">
        <v>105069</v>
      </c>
      <c r="W18" s="45">
        <f t="shared" si="3"/>
        <v>9.5865875912408764</v>
      </c>
      <c r="X18" s="4">
        <f t="shared" si="4"/>
        <v>0.79705717195366854</v>
      </c>
      <c r="Y18" s="4">
        <f t="shared" si="5"/>
        <v>0.10620639770055867</v>
      </c>
      <c r="Z18" s="4">
        <f t="shared" si="6"/>
        <v>9.6736430345772784E-2</v>
      </c>
      <c r="AA18" s="4">
        <f t="shared" si="7"/>
        <v>0</v>
      </c>
      <c r="AB18" s="31">
        <v>0</v>
      </c>
      <c r="AC18" s="31">
        <v>8430</v>
      </c>
      <c r="AD18" s="31">
        <v>94906</v>
      </c>
      <c r="AE18" s="31">
        <v>79958</v>
      </c>
      <c r="AF18" s="31">
        <v>147205</v>
      </c>
      <c r="AG18" s="31">
        <v>1000</v>
      </c>
      <c r="AH18" s="31">
        <v>0</v>
      </c>
      <c r="AI18" s="31">
        <v>148205</v>
      </c>
      <c r="AJ18" s="45">
        <f t="shared" si="8"/>
        <v>13.522354014598541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14948</v>
      </c>
      <c r="AQ18" s="31">
        <v>14948</v>
      </c>
      <c r="AR18" s="31">
        <v>163153</v>
      </c>
      <c r="AS18" s="46">
        <f t="shared" si="9"/>
        <v>14.886222627737226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3" t="s">
        <v>25</v>
      </c>
      <c r="BD18" s="47">
        <v>21492</v>
      </c>
      <c r="BE18" s="47">
        <v>21685</v>
      </c>
      <c r="BF18" s="45">
        <f t="shared" si="10"/>
        <v>1.978558394160584</v>
      </c>
      <c r="BG18" s="30">
        <v>355</v>
      </c>
      <c r="BH18" s="30">
        <v>366</v>
      </c>
      <c r="BI18" s="30">
        <v>0</v>
      </c>
      <c r="BJ18" s="30">
        <v>844</v>
      </c>
      <c r="BK18" s="30">
        <v>844</v>
      </c>
      <c r="BL18" s="30">
        <v>0</v>
      </c>
      <c r="BM18" s="30">
        <v>0</v>
      </c>
      <c r="BN18" s="30">
        <v>0</v>
      </c>
      <c r="BO18" s="30">
        <v>51</v>
      </c>
      <c r="BP18" s="30">
        <v>1</v>
      </c>
      <c r="BQ18" s="30">
        <v>52</v>
      </c>
      <c r="BR18" s="47">
        <v>22691</v>
      </c>
      <c r="BS18" s="47">
        <v>22895</v>
      </c>
      <c r="BT18" s="1">
        <f t="shared" si="11"/>
        <v>2.0889598540145986</v>
      </c>
      <c r="BU18" s="30">
        <v>8</v>
      </c>
      <c r="BV18" s="30">
        <v>0</v>
      </c>
      <c r="BW18" s="47">
        <v>4905</v>
      </c>
      <c r="BX18" s="52">
        <f t="shared" si="12"/>
        <v>0.44753649635036497</v>
      </c>
      <c r="BY18" s="47">
        <v>2519</v>
      </c>
      <c r="BZ18" s="47">
        <v>0</v>
      </c>
      <c r="CA18" s="47">
        <v>17987</v>
      </c>
      <c r="CB18" s="47">
        <v>0</v>
      </c>
      <c r="CC18" s="47">
        <v>20506</v>
      </c>
      <c r="CD18" s="55">
        <f t="shared" si="13"/>
        <v>1.8709854014598539</v>
      </c>
      <c r="CE18" s="3">
        <f t="shared" si="14"/>
        <v>8202.4</v>
      </c>
      <c r="CF18" s="55">
        <f t="shared" si="15"/>
        <v>8.4352118469765536</v>
      </c>
      <c r="CG18" s="55">
        <f t="shared" si="16"/>
        <v>0.52728207765492419</v>
      </c>
      <c r="CH18" s="55">
        <f t="shared" si="17"/>
        <v>0.8956540729416903</v>
      </c>
      <c r="CI18" s="30">
        <v>116</v>
      </c>
      <c r="CJ18" s="30">
        <v>12</v>
      </c>
      <c r="CK18" s="30">
        <v>0</v>
      </c>
      <c r="CL18" s="30">
        <v>128</v>
      </c>
      <c r="CM18" s="30">
        <v>4254</v>
      </c>
      <c r="CN18" s="30">
        <v>132</v>
      </c>
      <c r="CO18" s="30">
        <v>0</v>
      </c>
      <c r="CP18" s="30">
        <v>4386</v>
      </c>
      <c r="CQ18" s="1">
        <f t="shared" si="27"/>
        <v>0.4001824817518248</v>
      </c>
      <c r="CR18" s="47">
        <v>38890</v>
      </c>
      <c r="CS18" s="55">
        <f t="shared" si="18"/>
        <v>3.5483576642335768</v>
      </c>
      <c r="CT18" s="59">
        <v>5602</v>
      </c>
      <c r="CU18" s="29" t="s">
        <v>25</v>
      </c>
      <c r="CV18" s="29" t="s">
        <v>25</v>
      </c>
      <c r="CW18" s="29" t="s">
        <v>25</v>
      </c>
      <c r="CX18" s="35">
        <v>0</v>
      </c>
      <c r="CY18" s="49">
        <v>0</v>
      </c>
      <c r="CZ18" s="35">
        <v>1</v>
      </c>
      <c r="DA18" s="35">
        <v>1.5</v>
      </c>
      <c r="DB18" s="35">
        <v>2.5</v>
      </c>
      <c r="DC18" s="49">
        <f t="shared" si="20"/>
        <v>4384</v>
      </c>
      <c r="DD18" s="30">
        <v>0</v>
      </c>
      <c r="DE18" s="31">
        <v>31809</v>
      </c>
      <c r="DF18" s="35">
        <v>40</v>
      </c>
      <c r="DG18" s="29" t="s">
        <v>25</v>
      </c>
      <c r="DH18" s="29" t="s">
        <v>26</v>
      </c>
      <c r="DI18" s="29" t="s">
        <v>26</v>
      </c>
      <c r="DJ18" s="47">
        <v>0</v>
      </c>
      <c r="DK18" s="47">
        <v>0</v>
      </c>
      <c r="DL18" s="47">
        <v>9</v>
      </c>
      <c r="DM18" s="47">
        <v>14303</v>
      </c>
      <c r="DN18" s="47">
        <v>156</v>
      </c>
      <c r="DO18" s="47">
        <v>1208</v>
      </c>
      <c r="DP18" s="29" t="s">
        <v>2028</v>
      </c>
      <c r="DQ18" s="47">
        <v>0</v>
      </c>
      <c r="DR18" s="47">
        <v>2431</v>
      </c>
      <c r="DS18" s="30">
        <v>51</v>
      </c>
      <c r="DT18" s="30">
        <v>49</v>
      </c>
      <c r="DU18" s="30">
        <v>49</v>
      </c>
      <c r="DV18" s="30">
        <v>49</v>
      </c>
      <c r="DX18" s="2">
        <f t="shared" si="21"/>
        <v>2431</v>
      </c>
      <c r="DY18" s="33" t="s">
        <v>2180</v>
      </c>
      <c r="DZ18" s="33" t="s">
        <v>84</v>
      </c>
      <c r="EA18" s="33" t="s">
        <v>2030</v>
      </c>
      <c r="EB18" s="33" t="s">
        <v>2027</v>
      </c>
      <c r="EC18" s="36">
        <v>14</v>
      </c>
      <c r="ED18" s="29" t="s">
        <v>80</v>
      </c>
      <c r="EE18" s="29" t="s">
        <v>81</v>
      </c>
      <c r="EF18" s="37">
        <v>41548</v>
      </c>
      <c r="EG18" s="37">
        <v>41912</v>
      </c>
      <c r="EH18" s="29" t="s">
        <v>80</v>
      </c>
      <c r="EI18" s="55">
        <f t="shared" si="22"/>
        <v>0.22983576642335765</v>
      </c>
      <c r="EJ18" s="54">
        <f t="shared" si="23"/>
        <v>0</v>
      </c>
      <c r="EK18" s="55">
        <f t="shared" si="24"/>
        <v>1.6411496350364962</v>
      </c>
      <c r="EL18" s="54">
        <f t="shared" si="25"/>
        <v>0</v>
      </c>
    </row>
    <row r="19" spans="1:142" ht="28.8" x14ac:dyDescent="0.3">
      <c r="A19" s="29" t="s">
        <v>87</v>
      </c>
      <c r="B19" s="29"/>
      <c r="C19" s="30">
        <v>8681</v>
      </c>
      <c r="D19" s="30">
        <v>0</v>
      </c>
      <c r="E19" s="30">
        <v>0</v>
      </c>
      <c r="F19" s="30">
        <v>4000</v>
      </c>
      <c r="H19" s="2">
        <f t="shared" si="26"/>
        <v>4000</v>
      </c>
      <c r="I19" s="1">
        <f t="shared" si="0"/>
        <v>0.46077640824789773</v>
      </c>
      <c r="J19" s="31">
        <v>29797</v>
      </c>
      <c r="K19" s="31">
        <v>17277</v>
      </c>
      <c r="L19" s="31">
        <v>47074</v>
      </c>
      <c r="M19" s="45">
        <f t="shared" si="1"/>
        <v>5.4226471604653845</v>
      </c>
      <c r="N19" s="31">
        <v>5052</v>
      </c>
      <c r="O19" s="31">
        <v>0</v>
      </c>
      <c r="P19" s="31">
        <v>1456</v>
      </c>
      <c r="Q19" s="31">
        <v>6508</v>
      </c>
      <c r="R19" s="45">
        <f t="shared" si="2"/>
        <v>0.74968321621932954</v>
      </c>
      <c r="S19" s="31">
        <v>14096</v>
      </c>
      <c r="T19" s="31">
        <v>67678</v>
      </c>
      <c r="U19" s="31">
        <v>0</v>
      </c>
      <c r="V19" s="31">
        <v>67678</v>
      </c>
      <c r="W19" s="45">
        <f t="shared" si="3"/>
        <v>7.7961064393503055</v>
      </c>
      <c r="X19" s="4">
        <f t="shared" si="4"/>
        <v>0.69555837938473364</v>
      </c>
      <c r="Y19" s="4">
        <f t="shared" si="5"/>
        <v>9.6161234079021246E-2</v>
      </c>
      <c r="Z19" s="4">
        <f t="shared" si="6"/>
        <v>0.20828038653624517</v>
      </c>
      <c r="AA19" s="4">
        <f t="shared" si="7"/>
        <v>0</v>
      </c>
      <c r="AB19" s="31">
        <v>0</v>
      </c>
      <c r="AC19" s="31">
        <v>6395</v>
      </c>
      <c r="AD19" s="31">
        <v>67026</v>
      </c>
      <c r="AE19" s="31">
        <v>54692</v>
      </c>
      <c r="AF19" s="31">
        <v>8618</v>
      </c>
      <c r="AG19" s="31">
        <v>47074</v>
      </c>
      <c r="AH19" s="31">
        <v>0</v>
      </c>
      <c r="AI19" s="31">
        <v>55692</v>
      </c>
      <c r="AJ19" s="45">
        <f t="shared" si="8"/>
        <v>6.4153899320354801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12254</v>
      </c>
      <c r="AQ19" s="31">
        <v>12254</v>
      </c>
      <c r="AR19" s="31">
        <v>67946</v>
      </c>
      <c r="AS19" s="46">
        <f t="shared" si="9"/>
        <v>7.8269784587029143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3" t="s">
        <v>25</v>
      </c>
      <c r="BD19" s="47">
        <v>25371</v>
      </c>
      <c r="BE19" s="47">
        <v>26121</v>
      </c>
      <c r="BF19" s="45">
        <f t="shared" si="10"/>
        <v>3.0089851399608341</v>
      </c>
      <c r="BG19" s="30">
        <v>628</v>
      </c>
      <c r="BH19" s="30">
        <v>628</v>
      </c>
      <c r="BI19" s="30">
        <v>0</v>
      </c>
      <c r="BJ19" s="30">
        <v>2753</v>
      </c>
      <c r="BK19" s="30">
        <v>2756</v>
      </c>
      <c r="BL19" s="30">
        <v>0</v>
      </c>
      <c r="BM19" s="30">
        <v>0</v>
      </c>
      <c r="BN19" s="30">
        <v>0</v>
      </c>
      <c r="BO19" s="30">
        <v>51</v>
      </c>
      <c r="BP19" s="30">
        <v>0</v>
      </c>
      <c r="BQ19" s="30">
        <v>51</v>
      </c>
      <c r="BR19" s="47">
        <v>28752</v>
      </c>
      <c r="BS19" s="47">
        <v>29505</v>
      </c>
      <c r="BT19" s="1">
        <f t="shared" si="11"/>
        <v>3.3988019813385555</v>
      </c>
      <c r="BU19" s="30">
        <v>4</v>
      </c>
      <c r="BV19" s="30">
        <v>0</v>
      </c>
      <c r="BW19" s="47">
        <v>1392</v>
      </c>
      <c r="BX19" s="52">
        <f t="shared" si="12"/>
        <v>0.16035019007026841</v>
      </c>
      <c r="BY19" s="47">
        <v>7654</v>
      </c>
      <c r="BZ19" s="47">
        <v>0</v>
      </c>
      <c r="CA19" s="47">
        <v>7746</v>
      </c>
      <c r="CB19" s="47">
        <v>0</v>
      </c>
      <c r="CC19" s="47">
        <v>15400</v>
      </c>
      <c r="CD19" s="55">
        <f t="shared" si="13"/>
        <v>1.7739891717544061</v>
      </c>
      <c r="CE19" s="3">
        <f t="shared" si="14"/>
        <v>12833.333333333334</v>
      </c>
      <c r="CF19" s="55">
        <f t="shared" si="15"/>
        <v>8.2397003745318358</v>
      </c>
      <c r="CG19" s="55">
        <f t="shared" si="16"/>
        <v>0.8980639141590856</v>
      </c>
      <c r="CH19" s="55">
        <f t="shared" si="17"/>
        <v>0.52194543297746143</v>
      </c>
      <c r="CI19" s="30">
        <v>13</v>
      </c>
      <c r="CJ19" s="30">
        <v>3</v>
      </c>
      <c r="CK19" s="30">
        <v>12</v>
      </c>
      <c r="CL19" s="30">
        <v>28</v>
      </c>
      <c r="CM19" s="30">
        <v>982</v>
      </c>
      <c r="CN19" s="30">
        <v>92</v>
      </c>
      <c r="CO19" s="30">
        <v>149</v>
      </c>
      <c r="CP19" s="30">
        <v>1223</v>
      </c>
      <c r="CQ19" s="1">
        <f t="shared" si="27"/>
        <v>0.14088238682179471</v>
      </c>
      <c r="CR19" s="47">
        <v>17148</v>
      </c>
      <c r="CS19" s="55">
        <f t="shared" si="18"/>
        <v>1.9753484621587374</v>
      </c>
      <c r="CT19" s="59">
        <v>2546</v>
      </c>
      <c r="CU19" s="29" t="s">
        <v>25</v>
      </c>
      <c r="CV19" s="29" t="s">
        <v>25</v>
      </c>
      <c r="CW19" s="29" t="s">
        <v>25</v>
      </c>
      <c r="CX19" s="35">
        <v>0</v>
      </c>
      <c r="CY19" s="49">
        <v>0</v>
      </c>
      <c r="CZ19" s="35">
        <v>1</v>
      </c>
      <c r="DA19" s="35">
        <v>0.2</v>
      </c>
      <c r="DB19" s="35">
        <v>1.2</v>
      </c>
      <c r="DC19" s="49">
        <f t="shared" si="20"/>
        <v>7234.166666666667</v>
      </c>
      <c r="DD19" s="30">
        <v>385</v>
      </c>
      <c r="DE19" s="31">
        <v>34784</v>
      </c>
      <c r="DF19" s="35">
        <v>40</v>
      </c>
      <c r="DG19" s="29" t="s">
        <v>25</v>
      </c>
      <c r="DH19" s="29" t="s">
        <v>25</v>
      </c>
      <c r="DI19" s="29" t="s">
        <v>25</v>
      </c>
      <c r="DJ19" s="47">
        <v>148</v>
      </c>
      <c r="DK19" s="47">
        <v>168</v>
      </c>
      <c r="DL19" s="47">
        <v>6</v>
      </c>
      <c r="DM19" s="47">
        <v>1999</v>
      </c>
      <c r="DN19" s="47">
        <v>41</v>
      </c>
      <c r="DO19" s="47">
        <v>285</v>
      </c>
      <c r="DP19" s="29" t="s">
        <v>2028</v>
      </c>
      <c r="DQ19" s="47">
        <v>0</v>
      </c>
      <c r="DR19" s="47">
        <v>1869</v>
      </c>
      <c r="DS19" s="30">
        <v>52</v>
      </c>
      <c r="DT19" s="30">
        <v>38</v>
      </c>
      <c r="DU19" s="30">
        <v>38</v>
      </c>
      <c r="DV19" s="30">
        <v>38</v>
      </c>
      <c r="DX19" s="2">
        <f t="shared" si="21"/>
        <v>1869</v>
      </c>
      <c r="DY19" s="33" t="s">
        <v>2181</v>
      </c>
      <c r="DZ19" s="33" t="s">
        <v>88</v>
      </c>
      <c r="EA19" s="33" t="s">
        <v>2031</v>
      </c>
      <c r="EB19" s="33" t="s">
        <v>2027</v>
      </c>
      <c r="EC19" s="36">
        <v>15</v>
      </c>
      <c r="ED19" s="29" t="s">
        <v>85</v>
      </c>
      <c r="EE19" s="29" t="s">
        <v>86</v>
      </c>
      <c r="EF19" s="37">
        <v>41548</v>
      </c>
      <c r="EG19" s="37">
        <v>41912</v>
      </c>
      <c r="EH19" s="29" t="s">
        <v>85</v>
      </c>
      <c r="EI19" s="55">
        <f t="shared" si="22"/>
        <v>0.88169565718235221</v>
      </c>
      <c r="EJ19" s="54">
        <f t="shared" si="23"/>
        <v>0</v>
      </c>
      <c r="EK19" s="55">
        <f t="shared" si="24"/>
        <v>0.89229351457205386</v>
      </c>
      <c r="EL19" s="54">
        <f t="shared" si="25"/>
        <v>0</v>
      </c>
    </row>
    <row r="20" spans="1:142" ht="28.8" x14ac:dyDescent="0.3">
      <c r="A20" s="29" t="s">
        <v>89</v>
      </c>
      <c r="B20" s="29"/>
      <c r="C20" s="30">
        <v>379577</v>
      </c>
      <c r="D20" s="30">
        <v>6</v>
      </c>
      <c r="E20" s="30">
        <v>0</v>
      </c>
      <c r="F20" s="30">
        <v>63575</v>
      </c>
      <c r="G20">
        <v>64300</v>
      </c>
      <c r="H20" s="2">
        <f t="shared" si="26"/>
        <v>127875</v>
      </c>
      <c r="I20" s="1">
        <f t="shared" si="0"/>
        <v>0.33688816761816442</v>
      </c>
      <c r="J20" s="31">
        <v>3950459</v>
      </c>
      <c r="K20" s="31">
        <v>1182371</v>
      </c>
      <c r="L20" s="31">
        <v>5132830</v>
      </c>
      <c r="M20" s="45">
        <f t="shared" si="1"/>
        <v>13.522500046103952</v>
      </c>
      <c r="N20" s="31">
        <v>511575</v>
      </c>
      <c r="O20" s="31">
        <v>279738</v>
      </c>
      <c r="P20" s="31">
        <v>146520</v>
      </c>
      <c r="Q20" s="31">
        <v>937833</v>
      </c>
      <c r="R20" s="45">
        <f t="shared" si="2"/>
        <v>2.4707318936605747</v>
      </c>
      <c r="S20" s="31">
        <v>1579686</v>
      </c>
      <c r="T20" s="31">
        <v>7650349</v>
      </c>
      <c r="U20" s="31">
        <v>0</v>
      </c>
      <c r="V20" s="31">
        <v>7650349</v>
      </c>
      <c r="W20" s="45">
        <f t="shared" si="3"/>
        <v>20.154932991198098</v>
      </c>
      <c r="X20" s="4">
        <f t="shared" si="4"/>
        <v>0.67092756160535949</v>
      </c>
      <c r="Y20" s="4">
        <f t="shared" si="5"/>
        <v>0.12258695649048168</v>
      </c>
      <c r="Z20" s="4">
        <f t="shared" si="6"/>
        <v>0.20648548190415889</v>
      </c>
      <c r="AA20" s="4">
        <f t="shared" si="7"/>
        <v>0</v>
      </c>
      <c r="AB20" s="31">
        <v>0</v>
      </c>
      <c r="AC20" s="31">
        <v>924456</v>
      </c>
      <c r="AD20" s="31">
        <v>7410273</v>
      </c>
      <c r="AE20" s="31">
        <v>7246942</v>
      </c>
      <c r="AF20" s="31">
        <v>7246942</v>
      </c>
      <c r="AG20" s="31">
        <v>0</v>
      </c>
      <c r="AH20" s="31">
        <v>0</v>
      </c>
      <c r="AI20" s="31">
        <v>7246942</v>
      </c>
      <c r="AJ20" s="45">
        <f t="shared" si="8"/>
        <v>19.09215258037236</v>
      </c>
      <c r="AK20" s="31">
        <v>0</v>
      </c>
      <c r="AL20" s="31">
        <v>0</v>
      </c>
      <c r="AM20" s="31">
        <v>201934</v>
      </c>
      <c r="AN20" s="31">
        <v>201934</v>
      </c>
      <c r="AO20" s="31">
        <v>141827</v>
      </c>
      <c r="AP20" s="31">
        <v>56017</v>
      </c>
      <c r="AQ20" s="31">
        <v>197844</v>
      </c>
      <c r="AR20" s="31">
        <v>7646720</v>
      </c>
      <c r="AS20" s="46">
        <f t="shared" si="9"/>
        <v>20.145372348693414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3" t="s">
        <v>25</v>
      </c>
      <c r="BD20" s="47">
        <v>206245</v>
      </c>
      <c r="BE20" s="47">
        <v>502915</v>
      </c>
      <c r="BF20" s="45">
        <f t="shared" si="10"/>
        <v>1.3249353886036299</v>
      </c>
      <c r="BG20" s="30">
        <v>19163</v>
      </c>
      <c r="BH20" s="30">
        <v>35329</v>
      </c>
      <c r="BI20" s="30">
        <v>9752</v>
      </c>
      <c r="BJ20" s="30">
        <v>9960</v>
      </c>
      <c r="BK20" s="30">
        <v>31811</v>
      </c>
      <c r="BL20" s="30">
        <v>0</v>
      </c>
      <c r="BM20" s="30">
        <v>80115</v>
      </c>
      <c r="BN20" s="30">
        <v>16</v>
      </c>
      <c r="BO20" s="30">
        <v>51</v>
      </c>
      <c r="BP20" s="30">
        <v>0</v>
      </c>
      <c r="BQ20" s="30">
        <v>67</v>
      </c>
      <c r="BR20" s="47">
        <v>235368</v>
      </c>
      <c r="BS20" s="47">
        <v>659938</v>
      </c>
      <c r="BT20" s="1">
        <f t="shared" si="11"/>
        <v>1.7386142996019254</v>
      </c>
      <c r="BU20" s="30">
        <v>326</v>
      </c>
      <c r="BV20" s="30">
        <v>105</v>
      </c>
      <c r="BW20" s="47">
        <v>127110</v>
      </c>
      <c r="BX20" s="52">
        <f t="shared" si="12"/>
        <v>0.3348727662634986</v>
      </c>
      <c r="BY20" s="47">
        <v>878672</v>
      </c>
      <c r="BZ20" s="47">
        <v>13681</v>
      </c>
      <c r="CA20" s="47">
        <v>1015527</v>
      </c>
      <c r="CB20" s="47">
        <v>182701</v>
      </c>
      <c r="CC20" s="47">
        <v>2090581</v>
      </c>
      <c r="CD20" s="55">
        <f t="shared" si="13"/>
        <v>5.5076598424035179</v>
      </c>
      <c r="CE20" s="3">
        <f t="shared" si="14"/>
        <v>22854.124077616838</v>
      </c>
      <c r="CF20" s="55">
        <f t="shared" si="15"/>
        <v>102.60520245398773</v>
      </c>
      <c r="CG20" s="55">
        <f t="shared" si="16"/>
        <v>1.491859139129653</v>
      </c>
      <c r="CH20" s="55">
        <f t="shared" si="17"/>
        <v>2.8702681160957546</v>
      </c>
      <c r="CI20" s="30">
        <v>1745</v>
      </c>
      <c r="CJ20" s="30">
        <v>380</v>
      </c>
      <c r="CK20" s="30">
        <v>2237</v>
      </c>
      <c r="CL20" s="30">
        <v>4362</v>
      </c>
      <c r="CM20" s="30">
        <v>65603</v>
      </c>
      <c r="CN20" s="30">
        <v>6305</v>
      </c>
      <c r="CO20" s="30">
        <v>22739</v>
      </c>
      <c r="CP20" s="30">
        <v>94647</v>
      </c>
      <c r="CQ20" s="1">
        <f t="shared" si="27"/>
        <v>0.24934861701314884</v>
      </c>
      <c r="CR20" s="47">
        <v>1401326</v>
      </c>
      <c r="CS20" s="55">
        <f t="shared" si="18"/>
        <v>3.6918095669653326</v>
      </c>
      <c r="CT20" s="59">
        <v>164933</v>
      </c>
      <c r="CU20" s="29" t="s">
        <v>25</v>
      </c>
      <c r="CV20" s="29" t="s">
        <v>25</v>
      </c>
      <c r="CW20" s="29" t="s">
        <v>25</v>
      </c>
      <c r="CX20" s="35">
        <v>25</v>
      </c>
      <c r="CY20" s="49">
        <f t="shared" si="19"/>
        <v>15183.08</v>
      </c>
      <c r="CZ20" s="35">
        <v>4</v>
      </c>
      <c r="DA20" s="35">
        <v>62.475000000000001</v>
      </c>
      <c r="DB20" s="35">
        <v>91.474999999999994</v>
      </c>
      <c r="DC20" s="49">
        <f t="shared" si="20"/>
        <v>4149.5162612735721</v>
      </c>
      <c r="DD20" s="30">
        <v>31130</v>
      </c>
      <c r="DE20" s="31">
        <v>137436</v>
      </c>
      <c r="DF20" s="35">
        <v>40</v>
      </c>
      <c r="DG20" s="29" t="s">
        <v>25</v>
      </c>
      <c r="DH20" s="29" t="s">
        <v>25</v>
      </c>
      <c r="DI20" s="29" t="s">
        <v>25</v>
      </c>
      <c r="DJ20" s="47">
        <v>26252</v>
      </c>
      <c r="DK20" s="47">
        <v>30221</v>
      </c>
      <c r="DL20" s="47">
        <v>261</v>
      </c>
      <c r="DM20" s="47">
        <v>301419</v>
      </c>
      <c r="DN20" s="47">
        <v>4474</v>
      </c>
      <c r="DO20" s="47">
        <v>914409</v>
      </c>
      <c r="DP20" s="29" t="s">
        <v>25</v>
      </c>
      <c r="DQ20" s="47">
        <v>1421649</v>
      </c>
      <c r="DR20" s="47">
        <v>3495</v>
      </c>
      <c r="DS20" s="30">
        <v>52</v>
      </c>
      <c r="DT20" s="30">
        <v>70</v>
      </c>
      <c r="DU20" s="30">
        <v>70</v>
      </c>
      <c r="DV20" s="30">
        <v>66</v>
      </c>
      <c r="DW20">
        <f>VLOOKUP(EC20,branch!$I$4:$K$77,3,0)</f>
        <v>16880</v>
      </c>
      <c r="DX20" s="2">
        <f t="shared" si="21"/>
        <v>20375</v>
      </c>
      <c r="DY20" s="33" t="s">
        <v>2181</v>
      </c>
      <c r="DZ20" s="33" t="s">
        <v>93</v>
      </c>
      <c r="EA20" s="33" t="s">
        <v>2030</v>
      </c>
      <c r="EB20" s="33" t="s">
        <v>2027</v>
      </c>
      <c r="EC20" s="36">
        <v>16</v>
      </c>
      <c r="ED20" s="29" t="s">
        <v>90</v>
      </c>
      <c r="EE20" s="29" t="s">
        <v>91</v>
      </c>
      <c r="EF20" s="37">
        <v>41548</v>
      </c>
      <c r="EG20" s="37">
        <v>41912</v>
      </c>
      <c r="EH20" s="29" t="s">
        <v>90</v>
      </c>
      <c r="EI20" s="55">
        <f t="shared" si="22"/>
        <v>2.3148715543881742</v>
      </c>
      <c r="EJ20" s="54">
        <f t="shared" si="23"/>
        <v>3.604275285383466E-2</v>
      </c>
      <c r="EK20" s="55">
        <f t="shared" si="24"/>
        <v>2.6754176359473836</v>
      </c>
      <c r="EL20" s="54">
        <f t="shared" si="25"/>
        <v>0.48132789921412522</v>
      </c>
    </row>
    <row r="21" spans="1:142" ht="28.8" x14ac:dyDescent="0.3">
      <c r="A21" s="29" t="s">
        <v>94</v>
      </c>
      <c r="B21" s="29"/>
      <c r="C21" s="30">
        <v>1432</v>
      </c>
      <c r="D21" s="30">
        <v>0</v>
      </c>
      <c r="E21" s="30">
        <v>0</v>
      </c>
      <c r="F21" s="30">
        <v>1754</v>
      </c>
      <c r="H21" s="2">
        <f t="shared" si="26"/>
        <v>1754</v>
      </c>
      <c r="I21" s="1">
        <f t="shared" si="0"/>
        <v>1.2248603351955307</v>
      </c>
      <c r="J21" s="31">
        <v>26969</v>
      </c>
      <c r="K21" s="31">
        <v>4466</v>
      </c>
      <c r="L21" s="31">
        <v>31435</v>
      </c>
      <c r="M21" s="45">
        <f t="shared" si="1"/>
        <v>21.951815642458101</v>
      </c>
      <c r="N21" s="31">
        <v>3546</v>
      </c>
      <c r="O21" s="31">
        <v>1500</v>
      </c>
      <c r="P21" s="31">
        <v>300</v>
      </c>
      <c r="Q21" s="31">
        <v>5346</v>
      </c>
      <c r="R21" s="45">
        <f t="shared" si="2"/>
        <v>3.733240223463687</v>
      </c>
      <c r="S21" s="31">
        <v>8511</v>
      </c>
      <c r="T21" s="31">
        <v>45292</v>
      </c>
      <c r="U21" s="31">
        <v>0</v>
      </c>
      <c r="V21" s="31">
        <v>45292</v>
      </c>
      <c r="W21" s="45">
        <f t="shared" si="3"/>
        <v>31.628491620111731</v>
      </c>
      <c r="X21" s="4">
        <f t="shared" si="4"/>
        <v>0.69405192970060936</v>
      </c>
      <c r="Y21" s="4">
        <f t="shared" si="5"/>
        <v>0.11803408990550207</v>
      </c>
      <c r="Z21" s="4">
        <f t="shared" si="6"/>
        <v>0.18791398039388854</v>
      </c>
      <c r="AA21" s="4">
        <f t="shared" si="7"/>
        <v>0</v>
      </c>
      <c r="AB21" s="31">
        <v>0</v>
      </c>
      <c r="AC21" s="31">
        <v>4163</v>
      </c>
      <c r="AD21" s="31">
        <v>44109</v>
      </c>
      <c r="AE21" s="31">
        <v>37930</v>
      </c>
      <c r="AF21" s="31">
        <v>0</v>
      </c>
      <c r="AG21" s="31">
        <v>37930</v>
      </c>
      <c r="AH21" s="31">
        <v>0</v>
      </c>
      <c r="AI21" s="31">
        <v>37930</v>
      </c>
      <c r="AJ21" s="45">
        <f t="shared" si="8"/>
        <v>26.487430167597765</v>
      </c>
      <c r="AK21" s="31">
        <v>0</v>
      </c>
      <c r="AL21" s="31">
        <v>0</v>
      </c>
      <c r="AM21" s="31">
        <v>0</v>
      </c>
      <c r="AN21" s="31">
        <v>0</v>
      </c>
      <c r="AO21" s="31">
        <v>1183</v>
      </c>
      <c r="AP21" s="31">
        <v>6179</v>
      </c>
      <c r="AQ21" s="31">
        <v>7362</v>
      </c>
      <c r="AR21" s="31">
        <v>45292</v>
      </c>
      <c r="AS21" s="46">
        <f t="shared" si="9"/>
        <v>31.628491620111731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3" t="s">
        <v>25</v>
      </c>
      <c r="BD21" s="47">
        <v>13892</v>
      </c>
      <c r="BE21" s="47">
        <v>14265</v>
      </c>
      <c r="BF21" s="45">
        <f t="shared" si="10"/>
        <v>9.9615921787709496</v>
      </c>
      <c r="BG21" s="30">
        <v>512</v>
      </c>
      <c r="BH21" s="30">
        <v>514</v>
      </c>
      <c r="BI21" s="30">
        <v>775</v>
      </c>
      <c r="BJ21" s="30">
        <v>108</v>
      </c>
      <c r="BK21" s="30">
        <v>111</v>
      </c>
      <c r="BL21" s="30">
        <v>4</v>
      </c>
      <c r="BM21" s="30">
        <v>2144</v>
      </c>
      <c r="BN21" s="30">
        <v>0</v>
      </c>
      <c r="BO21" s="30">
        <v>51</v>
      </c>
      <c r="BP21" s="30">
        <v>1</v>
      </c>
      <c r="BQ21" s="30">
        <v>52</v>
      </c>
      <c r="BR21" s="47">
        <v>14512</v>
      </c>
      <c r="BS21" s="47">
        <v>17813</v>
      </c>
      <c r="BT21" s="1">
        <f t="shared" si="11"/>
        <v>12.439245810055866</v>
      </c>
      <c r="BU21" s="30">
        <v>0</v>
      </c>
      <c r="BV21" s="30">
        <v>0</v>
      </c>
      <c r="BW21" s="47">
        <v>742</v>
      </c>
      <c r="BX21" s="52">
        <f t="shared" si="12"/>
        <v>0.51815642458100564</v>
      </c>
      <c r="BY21" s="47">
        <v>611</v>
      </c>
      <c r="BZ21" s="47">
        <v>24</v>
      </c>
      <c r="CA21" s="47">
        <v>1658</v>
      </c>
      <c r="CB21" s="47">
        <v>903</v>
      </c>
      <c r="CC21" s="47">
        <v>3196</v>
      </c>
      <c r="CD21" s="55">
        <f t="shared" si="13"/>
        <v>2.2318435754189943</v>
      </c>
      <c r="CE21" s="3">
        <f t="shared" si="14"/>
        <v>3873.939393939394</v>
      </c>
      <c r="CF21" s="55">
        <f t="shared" si="15"/>
        <v>2.7269624573378839</v>
      </c>
      <c r="CG21" s="55">
        <f t="shared" si="16"/>
        <v>1.334446764091858</v>
      </c>
      <c r="CH21" s="55">
        <f t="shared" si="17"/>
        <v>0.12737888059282546</v>
      </c>
      <c r="CI21" s="30">
        <v>9</v>
      </c>
      <c r="CJ21" s="30">
        <v>3</v>
      </c>
      <c r="CK21" s="30">
        <v>10</v>
      </c>
      <c r="CL21" s="30">
        <v>22</v>
      </c>
      <c r="CM21" s="30">
        <v>245</v>
      </c>
      <c r="CN21" s="30">
        <v>77</v>
      </c>
      <c r="CO21" s="30">
        <v>82</v>
      </c>
      <c r="CP21" s="30">
        <v>404</v>
      </c>
      <c r="CQ21" s="1">
        <f t="shared" si="27"/>
        <v>0.28212290502793297</v>
      </c>
      <c r="CR21" s="47">
        <v>2395</v>
      </c>
      <c r="CS21" s="55">
        <f t="shared" si="18"/>
        <v>1.6724860335195531</v>
      </c>
      <c r="CT21" s="59">
        <v>814</v>
      </c>
      <c r="CU21" s="29" t="s">
        <v>25</v>
      </c>
      <c r="CV21" s="29" t="s">
        <v>25</v>
      </c>
      <c r="CW21" s="29" t="s">
        <v>25</v>
      </c>
      <c r="CX21" s="35">
        <v>0</v>
      </c>
      <c r="CY21" s="49">
        <v>0</v>
      </c>
      <c r="CZ21" s="35">
        <v>0.6</v>
      </c>
      <c r="DA21" s="35">
        <v>0.22500000000000001</v>
      </c>
      <c r="DB21" s="35">
        <v>0.82499999999999996</v>
      </c>
      <c r="DC21" s="49">
        <f t="shared" si="20"/>
        <v>1735.7575757575758</v>
      </c>
      <c r="DD21" s="30">
        <v>50</v>
      </c>
      <c r="DE21" s="31">
        <v>16000</v>
      </c>
      <c r="DF21" s="35">
        <v>24</v>
      </c>
      <c r="DG21" s="29" t="s">
        <v>25</v>
      </c>
      <c r="DH21" s="29" t="s">
        <v>25</v>
      </c>
      <c r="DI21" s="29" t="s">
        <v>25</v>
      </c>
      <c r="DJ21" s="47">
        <v>31</v>
      </c>
      <c r="DK21" s="47">
        <v>58</v>
      </c>
      <c r="DL21" s="47">
        <v>8</v>
      </c>
      <c r="DM21" s="47">
        <v>814</v>
      </c>
      <c r="DN21" s="47">
        <v>108</v>
      </c>
      <c r="DO21" s="47">
        <v>624</v>
      </c>
      <c r="DP21" s="29" t="s">
        <v>2028</v>
      </c>
      <c r="DQ21" s="47">
        <v>0</v>
      </c>
      <c r="DR21" s="47">
        <v>1172</v>
      </c>
      <c r="DS21" s="30">
        <v>52</v>
      </c>
      <c r="DT21" s="30">
        <v>24</v>
      </c>
      <c r="DU21" s="30">
        <v>24</v>
      </c>
      <c r="DV21" s="30">
        <v>24</v>
      </c>
      <c r="DX21" s="2">
        <f t="shared" si="21"/>
        <v>1172</v>
      </c>
      <c r="DY21" s="33" t="s">
        <v>2179</v>
      </c>
      <c r="DZ21" s="33" t="s">
        <v>98</v>
      </c>
      <c r="EA21" s="33" t="s">
        <v>2031</v>
      </c>
      <c r="EB21" s="33" t="s">
        <v>2027</v>
      </c>
      <c r="EC21" s="36">
        <v>17</v>
      </c>
      <c r="ED21" s="29" t="s">
        <v>95</v>
      </c>
      <c r="EE21" s="29" t="s">
        <v>96</v>
      </c>
      <c r="EF21" s="37">
        <v>41548</v>
      </c>
      <c r="EG21" s="37">
        <v>41912</v>
      </c>
      <c r="EH21" s="29" t="s">
        <v>95</v>
      </c>
      <c r="EI21" s="55">
        <f t="shared" si="22"/>
        <v>0.4266759776536313</v>
      </c>
      <c r="EJ21" s="54">
        <f t="shared" si="23"/>
        <v>1.6759776536312849E-2</v>
      </c>
      <c r="EK21" s="55">
        <f t="shared" si="24"/>
        <v>1.1578212290502794</v>
      </c>
      <c r="EL21" s="54">
        <f t="shared" si="25"/>
        <v>0.630586592178771</v>
      </c>
    </row>
    <row r="22" spans="1:142" ht="57.6" x14ac:dyDescent="0.3">
      <c r="A22" s="29" t="s">
        <v>99</v>
      </c>
      <c r="B22" s="29"/>
      <c r="C22" s="30">
        <v>22110</v>
      </c>
      <c r="D22" s="30">
        <v>0</v>
      </c>
      <c r="E22" s="30">
        <v>0</v>
      </c>
      <c r="F22" s="30">
        <v>12142</v>
      </c>
      <c r="H22" s="2">
        <f t="shared" si="26"/>
        <v>12142</v>
      </c>
      <c r="I22" s="1">
        <f t="shared" si="0"/>
        <v>0.5491632745364089</v>
      </c>
      <c r="J22" s="31">
        <v>82671</v>
      </c>
      <c r="K22" s="31">
        <v>34982</v>
      </c>
      <c r="L22" s="31">
        <v>117653</v>
      </c>
      <c r="M22" s="45">
        <f t="shared" si="1"/>
        <v>5.3212573496155589</v>
      </c>
      <c r="N22" s="31">
        <v>26077</v>
      </c>
      <c r="O22" s="31">
        <v>9500</v>
      </c>
      <c r="P22" s="31">
        <v>3929</v>
      </c>
      <c r="Q22" s="31">
        <v>39506</v>
      </c>
      <c r="R22" s="45">
        <f t="shared" si="2"/>
        <v>1.7867933061962913</v>
      </c>
      <c r="S22" s="31">
        <v>26994</v>
      </c>
      <c r="T22" s="31">
        <v>184153</v>
      </c>
      <c r="U22" s="31">
        <v>0</v>
      </c>
      <c r="V22" s="31">
        <v>184153</v>
      </c>
      <c r="W22" s="45">
        <f t="shared" si="3"/>
        <v>8.3289461781999101</v>
      </c>
      <c r="X22" s="4">
        <f t="shared" si="4"/>
        <v>0.63888722964057065</v>
      </c>
      <c r="Y22" s="4">
        <f t="shared" si="5"/>
        <v>0.21452813692961831</v>
      </c>
      <c r="Z22" s="4">
        <f t="shared" si="6"/>
        <v>0.14658463342981107</v>
      </c>
      <c r="AA22" s="4">
        <f t="shared" si="7"/>
        <v>0</v>
      </c>
      <c r="AB22" s="31">
        <v>0</v>
      </c>
      <c r="AC22" s="31">
        <v>39506</v>
      </c>
      <c r="AD22" s="31">
        <v>184153</v>
      </c>
      <c r="AE22" s="31">
        <v>154762</v>
      </c>
      <c r="AF22" s="31">
        <v>9416</v>
      </c>
      <c r="AG22" s="31">
        <v>154762</v>
      </c>
      <c r="AH22" s="31">
        <v>0</v>
      </c>
      <c r="AI22" s="31">
        <v>164178</v>
      </c>
      <c r="AJ22" s="45">
        <f t="shared" si="8"/>
        <v>7.4255088195386705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37079</v>
      </c>
      <c r="AQ22" s="31">
        <v>37079</v>
      </c>
      <c r="AR22" s="31">
        <v>201257</v>
      </c>
      <c r="AS22" s="46">
        <f t="shared" si="9"/>
        <v>9.1025327905924929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3" t="s">
        <v>25</v>
      </c>
      <c r="BD22" s="47">
        <v>40649</v>
      </c>
      <c r="BE22" s="47">
        <v>41527</v>
      </c>
      <c r="BF22" s="45">
        <f t="shared" si="10"/>
        <v>1.8781999095431932</v>
      </c>
      <c r="BG22" s="30">
        <v>1457</v>
      </c>
      <c r="BH22" s="30">
        <v>1461</v>
      </c>
      <c r="BI22" s="30">
        <v>1585</v>
      </c>
      <c r="BJ22" s="30">
        <v>386</v>
      </c>
      <c r="BK22" s="30">
        <v>387</v>
      </c>
      <c r="BL22" s="30">
        <v>27</v>
      </c>
      <c r="BM22" s="30">
        <v>11638</v>
      </c>
      <c r="BN22" s="30">
        <v>0</v>
      </c>
      <c r="BO22" s="30">
        <v>0</v>
      </c>
      <c r="BP22" s="30">
        <v>0</v>
      </c>
      <c r="BQ22" s="30">
        <v>0</v>
      </c>
      <c r="BR22" s="47">
        <v>42492</v>
      </c>
      <c r="BS22" s="47">
        <v>56625</v>
      </c>
      <c r="BT22" s="1">
        <f t="shared" si="11"/>
        <v>2.561058344640434</v>
      </c>
      <c r="BU22" s="30">
        <v>32</v>
      </c>
      <c r="BV22" s="30">
        <v>0</v>
      </c>
      <c r="BW22" s="47">
        <v>19674</v>
      </c>
      <c r="BX22" s="52">
        <f t="shared" si="12"/>
        <v>0.88982360922659431</v>
      </c>
      <c r="BY22" s="47">
        <v>8710</v>
      </c>
      <c r="BZ22" s="47">
        <v>474</v>
      </c>
      <c r="CA22" s="47">
        <v>28006</v>
      </c>
      <c r="CB22" s="47">
        <v>2058</v>
      </c>
      <c r="CC22" s="47">
        <v>39248</v>
      </c>
      <c r="CD22" s="55">
        <f t="shared" si="13"/>
        <v>1.7751243781094528</v>
      </c>
      <c r="CE22" s="3">
        <f t="shared" si="14"/>
        <v>10864.498269896194</v>
      </c>
      <c r="CF22" s="55">
        <f t="shared" si="15"/>
        <v>18.136783733826249</v>
      </c>
      <c r="CG22" s="55">
        <f t="shared" si="16"/>
        <v>0.57891321021889197</v>
      </c>
      <c r="CH22" s="55">
        <f t="shared" si="17"/>
        <v>0.64840618101545255</v>
      </c>
      <c r="CI22" s="30">
        <v>62</v>
      </c>
      <c r="CJ22" s="30">
        <v>51</v>
      </c>
      <c r="CK22" s="30">
        <v>48</v>
      </c>
      <c r="CL22" s="30">
        <v>161</v>
      </c>
      <c r="CM22" s="30">
        <v>1471</v>
      </c>
      <c r="CN22" s="30">
        <v>204</v>
      </c>
      <c r="CO22" s="30">
        <v>288</v>
      </c>
      <c r="CP22" s="30">
        <v>1963</v>
      </c>
      <c r="CQ22" s="1">
        <f t="shared" si="27"/>
        <v>8.8783355947535059E-2</v>
      </c>
      <c r="CR22" s="47">
        <v>67796</v>
      </c>
      <c r="CS22" s="55">
        <f t="shared" si="18"/>
        <v>3.0663048394391677</v>
      </c>
      <c r="CT22" s="59">
        <v>9610</v>
      </c>
      <c r="CU22" s="29" t="s">
        <v>25</v>
      </c>
      <c r="CV22" s="29" t="s">
        <v>25</v>
      </c>
      <c r="CW22" s="29" t="s">
        <v>25</v>
      </c>
      <c r="CX22" s="35">
        <v>1</v>
      </c>
      <c r="CY22" s="49">
        <f t="shared" si="19"/>
        <v>22110</v>
      </c>
      <c r="CZ22" s="35">
        <v>1</v>
      </c>
      <c r="DA22" s="35">
        <v>1.6125</v>
      </c>
      <c r="DB22" s="35">
        <v>3.6124999999999998</v>
      </c>
      <c r="DC22" s="49">
        <f t="shared" si="20"/>
        <v>6120.415224913495</v>
      </c>
      <c r="DD22" s="30">
        <v>1395</v>
      </c>
      <c r="DE22" s="31">
        <v>36751</v>
      </c>
      <c r="DF22" s="35">
        <v>40</v>
      </c>
      <c r="DG22" s="29" t="s">
        <v>25</v>
      </c>
      <c r="DH22" s="29" t="s">
        <v>26</v>
      </c>
      <c r="DI22" s="29" t="s">
        <v>26</v>
      </c>
      <c r="DJ22" s="47">
        <v>0</v>
      </c>
      <c r="DK22" s="47">
        <v>0</v>
      </c>
      <c r="DL22" s="47">
        <v>8</v>
      </c>
      <c r="DM22" s="47">
        <v>10850</v>
      </c>
      <c r="DN22" s="47">
        <v>2800</v>
      </c>
      <c r="DO22" s="47">
        <v>3380</v>
      </c>
      <c r="DP22" s="29" t="s">
        <v>25</v>
      </c>
      <c r="DQ22" s="47">
        <v>49879</v>
      </c>
      <c r="DR22" s="47">
        <v>2164</v>
      </c>
      <c r="DS22" s="30">
        <v>52</v>
      </c>
      <c r="DT22" s="30">
        <v>44</v>
      </c>
      <c r="DU22" s="30">
        <v>44</v>
      </c>
      <c r="DV22" s="30">
        <v>44</v>
      </c>
      <c r="DX22" s="2">
        <f t="shared" si="21"/>
        <v>2164</v>
      </c>
      <c r="DY22" s="33" t="s">
        <v>2182</v>
      </c>
      <c r="DZ22" s="33" t="s">
        <v>103</v>
      </c>
      <c r="EA22" s="33" t="s">
        <v>2031</v>
      </c>
      <c r="EB22" s="33" t="s">
        <v>2027</v>
      </c>
      <c r="EC22" s="36">
        <v>18</v>
      </c>
      <c r="ED22" s="29" t="s">
        <v>100</v>
      </c>
      <c r="EE22" s="29" t="s">
        <v>101</v>
      </c>
      <c r="EF22" s="37">
        <v>41640</v>
      </c>
      <c r="EG22" s="37">
        <v>42004</v>
      </c>
      <c r="EH22" s="29" t="s">
        <v>100</v>
      </c>
      <c r="EI22" s="55">
        <f t="shared" si="22"/>
        <v>0.39393939393939392</v>
      </c>
      <c r="EJ22" s="54">
        <f t="shared" si="23"/>
        <v>2.1438263229308006E-2</v>
      </c>
      <c r="EK22" s="55">
        <f t="shared" si="24"/>
        <v>1.2666666666666666</v>
      </c>
      <c r="EL22" s="54">
        <f t="shared" si="25"/>
        <v>9.3080054274084126E-2</v>
      </c>
    </row>
    <row r="23" spans="1:142" ht="28.8" x14ac:dyDescent="0.3">
      <c r="A23" s="29" t="s">
        <v>104</v>
      </c>
      <c r="B23" s="29"/>
      <c r="C23" s="30">
        <v>5632</v>
      </c>
      <c r="D23" s="30">
        <v>0</v>
      </c>
      <c r="E23" s="30">
        <v>0</v>
      </c>
      <c r="F23" s="30">
        <v>9688</v>
      </c>
      <c r="H23" s="2">
        <f t="shared" si="26"/>
        <v>9688</v>
      </c>
      <c r="I23" s="1">
        <f t="shared" si="0"/>
        <v>1.7201704545454546</v>
      </c>
      <c r="J23" s="31">
        <v>92311</v>
      </c>
      <c r="K23" s="31">
        <v>34120</v>
      </c>
      <c r="L23" s="31">
        <v>126431</v>
      </c>
      <c r="M23" s="45">
        <f t="shared" si="1"/>
        <v>22.448686079545453</v>
      </c>
      <c r="N23" s="31">
        <v>18087</v>
      </c>
      <c r="O23" s="31">
        <v>300</v>
      </c>
      <c r="P23" s="31">
        <v>2356</v>
      </c>
      <c r="Q23" s="31">
        <v>20743</v>
      </c>
      <c r="R23" s="45">
        <f t="shared" si="2"/>
        <v>3.6830610795454546</v>
      </c>
      <c r="S23" s="31">
        <v>46324</v>
      </c>
      <c r="T23" s="31">
        <v>193498</v>
      </c>
      <c r="U23" s="31">
        <v>0</v>
      </c>
      <c r="V23" s="31">
        <v>193498</v>
      </c>
      <c r="W23" s="45">
        <f t="shared" si="3"/>
        <v>34.356889204545453</v>
      </c>
      <c r="X23" s="4">
        <f t="shared" si="4"/>
        <v>0.6533969343352386</v>
      </c>
      <c r="Y23" s="4">
        <f t="shared" si="5"/>
        <v>0.10720007441937385</v>
      </c>
      <c r="Z23" s="4">
        <f t="shared" si="6"/>
        <v>0.23940299124538755</v>
      </c>
      <c r="AA23" s="4">
        <f t="shared" si="7"/>
        <v>0</v>
      </c>
      <c r="AB23" s="31">
        <v>0</v>
      </c>
      <c r="AC23" s="31">
        <v>20192</v>
      </c>
      <c r="AD23" s="31">
        <v>191451</v>
      </c>
      <c r="AE23" s="31">
        <v>187569</v>
      </c>
      <c r="AF23" s="31">
        <v>187569</v>
      </c>
      <c r="AG23" s="31">
        <v>0</v>
      </c>
      <c r="AH23" s="31">
        <v>0</v>
      </c>
      <c r="AI23" s="31">
        <v>187569</v>
      </c>
      <c r="AJ23" s="45">
        <f t="shared" si="8"/>
        <v>33.304154829545453</v>
      </c>
      <c r="AK23" s="31">
        <v>0</v>
      </c>
      <c r="AL23" s="31">
        <v>0</v>
      </c>
      <c r="AM23" s="31">
        <v>0</v>
      </c>
      <c r="AN23" s="31">
        <v>0</v>
      </c>
      <c r="AO23" s="31">
        <v>5000</v>
      </c>
      <c r="AP23" s="31">
        <v>4768</v>
      </c>
      <c r="AQ23" s="31">
        <v>9768</v>
      </c>
      <c r="AR23" s="31">
        <v>197337</v>
      </c>
      <c r="AS23" s="46">
        <f t="shared" si="9"/>
        <v>35.038529829545453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3" t="s">
        <v>25</v>
      </c>
      <c r="BD23" s="47">
        <v>24824</v>
      </c>
      <c r="BE23" s="47">
        <v>25606</v>
      </c>
      <c r="BF23" s="45">
        <f t="shared" si="10"/>
        <v>4.5465198863636367</v>
      </c>
      <c r="BG23" s="30">
        <v>1119</v>
      </c>
      <c r="BH23" s="30">
        <v>1220</v>
      </c>
      <c r="BI23" s="30">
        <v>0</v>
      </c>
      <c r="BJ23" s="30">
        <v>1798</v>
      </c>
      <c r="BK23" s="30">
        <v>1839</v>
      </c>
      <c r="BL23" s="30">
        <v>0</v>
      </c>
      <c r="BM23" s="30">
        <v>2</v>
      </c>
      <c r="BN23" s="30">
        <v>2</v>
      </c>
      <c r="BO23" s="30">
        <v>51</v>
      </c>
      <c r="BP23" s="30">
        <v>0</v>
      </c>
      <c r="BQ23" s="30">
        <v>53</v>
      </c>
      <c r="BR23" s="47">
        <v>27741</v>
      </c>
      <c r="BS23" s="47">
        <v>28669</v>
      </c>
      <c r="BT23" s="1">
        <f t="shared" si="11"/>
        <v>5.0903764204545459</v>
      </c>
      <c r="BU23" s="30">
        <v>18</v>
      </c>
      <c r="BV23" s="30">
        <v>0</v>
      </c>
      <c r="BW23" s="47">
        <v>6717</v>
      </c>
      <c r="BX23" s="52">
        <f t="shared" si="12"/>
        <v>1.1926491477272727</v>
      </c>
      <c r="BY23" s="47">
        <v>14180</v>
      </c>
      <c r="BZ23" s="47">
        <v>0</v>
      </c>
      <c r="CA23" s="47">
        <v>71398</v>
      </c>
      <c r="CB23" s="47">
        <v>0</v>
      </c>
      <c r="CC23" s="47">
        <v>85578</v>
      </c>
      <c r="CD23" s="55">
        <f t="shared" si="13"/>
        <v>15.194957386363637</v>
      </c>
      <c r="CE23" s="3">
        <f t="shared" si="14"/>
        <v>23607.724137931036</v>
      </c>
      <c r="CF23" s="55">
        <f t="shared" si="15"/>
        <v>38.187416331994648</v>
      </c>
      <c r="CG23" s="55">
        <f t="shared" si="16"/>
        <v>1.1819186255282712</v>
      </c>
      <c r="CH23" s="55">
        <f t="shared" si="17"/>
        <v>2.9850361017126512</v>
      </c>
      <c r="CI23" s="30">
        <v>30</v>
      </c>
      <c r="CJ23" s="30">
        <v>6</v>
      </c>
      <c r="CK23" s="30">
        <v>131</v>
      </c>
      <c r="CL23" s="30">
        <v>167</v>
      </c>
      <c r="CM23" s="30">
        <v>1855</v>
      </c>
      <c r="CN23" s="30">
        <v>75</v>
      </c>
      <c r="CO23" s="30">
        <v>1320</v>
      </c>
      <c r="CP23" s="30">
        <v>3250</v>
      </c>
      <c r="CQ23" s="1">
        <f t="shared" si="27"/>
        <v>0.57705965909090906</v>
      </c>
      <c r="CR23" s="47">
        <v>72406</v>
      </c>
      <c r="CS23" s="55">
        <f t="shared" si="18"/>
        <v>12.856178977272727</v>
      </c>
      <c r="CT23" s="59">
        <v>7244</v>
      </c>
      <c r="CU23" s="29" t="s">
        <v>25</v>
      </c>
      <c r="CV23" s="29" t="s">
        <v>25</v>
      </c>
      <c r="CW23" s="29" t="s">
        <v>25</v>
      </c>
      <c r="CX23" s="35">
        <v>1</v>
      </c>
      <c r="CY23" s="49">
        <f t="shared" si="19"/>
        <v>5632</v>
      </c>
      <c r="CZ23" s="35">
        <v>1</v>
      </c>
      <c r="DA23" s="35">
        <v>1.625</v>
      </c>
      <c r="DB23" s="35">
        <v>3.625</v>
      </c>
      <c r="DC23" s="49">
        <f t="shared" si="20"/>
        <v>1553.655172413793</v>
      </c>
      <c r="DD23" s="30">
        <v>5590</v>
      </c>
      <c r="DE23" s="31">
        <v>41775</v>
      </c>
      <c r="DF23" s="35">
        <v>40</v>
      </c>
      <c r="DG23" s="29" t="s">
        <v>25</v>
      </c>
      <c r="DH23" s="29" t="s">
        <v>25</v>
      </c>
      <c r="DI23" s="29" t="s">
        <v>25</v>
      </c>
      <c r="DJ23" s="47">
        <v>353</v>
      </c>
      <c r="DK23" s="47">
        <v>0</v>
      </c>
      <c r="DL23" s="47">
        <v>10</v>
      </c>
      <c r="DM23" s="47">
        <v>7573</v>
      </c>
      <c r="DN23" s="47">
        <v>1521</v>
      </c>
      <c r="DO23" s="47">
        <v>4035</v>
      </c>
      <c r="DP23" s="29" t="s">
        <v>25</v>
      </c>
      <c r="DQ23" s="47">
        <v>11405</v>
      </c>
      <c r="DR23" s="47">
        <v>2241</v>
      </c>
      <c r="DS23" s="30">
        <v>51</v>
      </c>
      <c r="DT23" s="30">
        <v>46</v>
      </c>
      <c r="DU23" s="30">
        <v>46</v>
      </c>
      <c r="DV23" s="30">
        <v>46</v>
      </c>
      <c r="DX23" s="2">
        <f t="shared" si="21"/>
        <v>2241</v>
      </c>
      <c r="DY23" s="33" t="s">
        <v>2182</v>
      </c>
      <c r="DZ23" s="33" t="s">
        <v>107</v>
      </c>
      <c r="EA23" s="33" t="s">
        <v>2030</v>
      </c>
      <c r="EB23" s="33" t="s">
        <v>2027</v>
      </c>
      <c r="EC23" s="36">
        <v>19</v>
      </c>
      <c r="ED23" s="29" t="s">
        <v>105</v>
      </c>
      <c r="EE23" s="29" t="s">
        <v>106</v>
      </c>
      <c r="EF23" s="37">
        <v>41548</v>
      </c>
      <c r="EG23" s="37">
        <v>41912</v>
      </c>
      <c r="EH23" s="29" t="s">
        <v>105</v>
      </c>
      <c r="EI23" s="55">
        <f t="shared" si="22"/>
        <v>2.5177556818181817</v>
      </c>
      <c r="EJ23" s="54">
        <f t="shared" si="23"/>
        <v>0</v>
      </c>
      <c r="EK23" s="55">
        <f t="shared" si="24"/>
        <v>12.677201704545455</v>
      </c>
      <c r="EL23" s="54">
        <f t="shared" si="25"/>
        <v>0</v>
      </c>
    </row>
    <row r="24" spans="1:142" ht="28.8" x14ac:dyDescent="0.3">
      <c r="A24" s="29" t="s">
        <v>1485</v>
      </c>
      <c r="B24" s="29"/>
      <c r="C24" s="30">
        <v>10972</v>
      </c>
      <c r="D24" s="30">
        <v>0</v>
      </c>
      <c r="E24" s="30">
        <v>0</v>
      </c>
      <c r="F24" s="30">
        <v>14000</v>
      </c>
      <c r="H24" s="2">
        <f t="shared" si="26"/>
        <v>14000</v>
      </c>
      <c r="I24" s="1">
        <f t="shared" si="0"/>
        <v>1.2759752096244987</v>
      </c>
      <c r="J24" s="31">
        <v>98929</v>
      </c>
      <c r="K24" s="31">
        <v>15477</v>
      </c>
      <c r="L24" s="31">
        <v>114406</v>
      </c>
      <c r="M24" s="45">
        <f t="shared" si="1"/>
        <v>10.427087130878601</v>
      </c>
      <c r="N24" s="31">
        <v>11389</v>
      </c>
      <c r="O24" s="31">
        <v>2215</v>
      </c>
      <c r="P24" s="31">
        <v>774</v>
      </c>
      <c r="Q24" s="31">
        <v>14378</v>
      </c>
      <c r="R24" s="45">
        <f t="shared" si="2"/>
        <v>1.3104265402843602</v>
      </c>
      <c r="S24" s="31">
        <v>49018</v>
      </c>
      <c r="T24" s="31">
        <v>177802</v>
      </c>
      <c r="U24" s="31">
        <v>0</v>
      </c>
      <c r="V24" s="31">
        <v>177802</v>
      </c>
      <c r="W24" s="45">
        <f t="shared" si="3"/>
        <v>16.205067444403937</v>
      </c>
      <c r="X24" s="4">
        <f t="shared" si="4"/>
        <v>0.64344608047153573</v>
      </c>
      <c r="Y24" s="4">
        <f t="shared" si="5"/>
        <v>8.0865232112124721E-2</v>
      </c>
      <c r="Z24" s="4">
        <f t="shared" si="6"/>
        <v>0.27568868741633951</v>
      </c>
      <c r="AA24" s="4">
        <f t="shared" si="7"/>
        <v>0</v>
      </c>
      <c r="AB24" s="31">
        <v>0</v>
      </c>
      <c r="AC24" s="31">
        <v>14378</v>
      </c>
      <c r="AD24" s="31">
        <v>177802</v>
      </c>
      <c r="AE24" s="31">
        <v>172534</v>
      </c>
      <c r="AF24" s="31">
        <v>158314</v>
      </c>
      <c r="AG24" s="31">
        <v>14220</v>
      </c>
      <c r="AH24" s="31">
        <v>0</v>
      </c>
      <c r="AI24" s="31">
        <v>172534</v>
      </c>
      <c r="AJ24" s="45">
        <f t="shared" si="8"/>
        <v>15.724936201239519</v>
      </c>
      <c r="AK24" s="31">
        <v>0</v>
      </c>
      <c r="AL24" s="31">
        <v>0</v>
      </c>
      <c r="AM24" s="31">
        <v>0</v>
      </c>
      <c r="AN24" s="31">
        <v>0</v>
      </c>
      <c r="AO24" s="31">
        <v>500</v>
      </c>
      <c r="AP24" s="31">
        <v>11386</v>
      </c>
      <c r="AQ24" s="31">
        <v>11886</v>
      </c>
      <c r="AR24" s="31">
        <v>184420</v>
      </c>
      <c r="AS24" s="46">
        <f t="shared" si="9"/>
        <v>16.808239154210717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3" t="s">
        <v>25</v>
      </c>
      <c r="BD24" s="47">
        <v>16539</v>
      </c>
      <c r="BE24" s="47">
        <v>17275</v>
      </c>
      <c r="BF24" s="45">
        <f t="shared" si="10"/>
        <v>1.5744622675902298</v>
      </c>
      <c r="BG24" s="30">
        <v>405</v>
      </c>
      <c r="BH24" s="30">
        <v>409</v>
      </c>
      <c r="BI24" s="30">
        <v>4782</v>
      </c>
      <c r="BJ24" s="30">
        <v>1013</v>
      </c>
      <c r="BK24" s="30">
        <v>1056</v>
      </c>
      <c r="BL24" s="30">
        <v>0</v>
      </c>
      <c r="BM24" s="30">
        <v>10839</v>
      </c>
      <c r="BN24" s="30">
        <v>0</v>
      </c>
      <c r="BO24" s="30">
        <v>51</v>
      </c>
      <c r="BP24" s="30">
        <v>0</v>
      </c>
      <c r="BQ24" s="30">
        <v>51</v>
      </c>
      <c r="BR24" s="47">
        <v>17957</v>
      </c>
      <c r="BS24" s="47">
        <v>34361</v>
      </c>
      <c r="BT24" s="1">
        <f t="shared" si="11"/>
        <v>3.1316988698505286</v>
      </c>
      <c r="BU24" s="30">
        <v>37</v>
      </c>
      <c r="BV24" s="30">
        <v>0</v>
      </c>
      <c r="BW24" s="47">
        <v>4034</v>
      </c>
      <c r="BX24" s="52">
        <f t="shared" si="12"/>
        <v>0.36766314254465915</v>
      </c>
      <c r="BY24" s="47">
        <v>16812</v>
      </c>
      <c r="BZ24" s="47">
        <v>475</v>
      </c>
      <c r="CA24" s="47">
        <v>10531</v>
      </c>
      <c r="CB24" s="47">
        <v>3138</v>
      </c>
      <c r="CC24" s="47">
        <v>30956</v>
      </c>
      <c r="CD24" s="55">
        <f t="shared" si="13"/>
        <v>2.8213634706525701</v>
      </c>
      <c r="CE24" s="3">
        <f t="shared" si="14"/>
        <v>12259.801980198021</v>
      </c>
      <c r="CF24" s="55">
        <f t="shared" si="15"/>
        <v>20.114359974009098</v>
      </c>
      <c r="CG24" s="55">
        <f t="shared" si="16"/>
        <v>1.0952835863142625</v>
      </c>
      <c r="CH24" s="55">
        <f t="shared" si="17"/>
        <v>0.79575681732196391</v>
      </c>
      <c r="CI24" s="30">
        <v>70</v>
      </c>
      <c r="CJ24" s="30">
        <v>36</v>
      </c>
      <c r="CK24" s="30">
        <v>298</v>
      </c>
      <c r="CL24" s="30">
        <v>404</v>
      </c>
      <c r="CM24" s="30">
        <v>1038</v>
      </c>
      <c r="CN24" s="30">
        <v>255</v>
      </c>
      <c r="CO24" s="30">
        <v>4367</v>
      </c>
      <c r="CP24" s="30">
        <v>5660</v>
      </c>
      <c r="CQ24" s="1">
        <f t="shared" si="27"/>
        <v>0.51585854903390449</v>
      </c>
      <c r="CR24" s="47">
        <v>28263</v>
      </c>
      <c r="CS24" s="55">
        <f t="shared" si="18"/>
        <v>2.5759205249726578</v>
      </c>
      <c r="CT24" s="59">
        <v>4586</v>
      </c>
      <c r="CU24" s="29" t="s">
        <v>25</v>
      </c>
      <c r="CV24" s="29" t="s">
        <v>25</v>
      </c>
      <c r="CW24" s="29" t="s">
        <v>25</v>
      </c>
      <c r="CX24" s="35">
        <v>1</v>
      </c>
      <c r="CY24" s="49">
        <f t="shared" si="19"/>
        <v>10972</v>
      </c>
      <c r="CZ24" s="35">
        <v>0</v>
      </c>
      <c r="DA24" s="35">
        <v>1.5249999999999999</v>
      </c>
      <c r="DB24" s="35">
        <v>2.5249999999999999</v>
      </c>
      <c r="DC24" s="49">
        <f t="shared" si="20"/>
        <v>4345.3465346534658</v>
      </c>
      <c r="DD24" s="30">
        <v>892</v>
      </c>
      <c r="DE24" s="31">
        <v>56222</v>
      </c>
      <c r="DF24" s="35">
        <v>40</v>
      </c>
      <c r="DG24" s="29" t="s">
        <v>25</v>
      </c>
      <c r="DH24" s="29" t="s">
        <v>25</v>
      </c>
      <c r="DI24" s="29" t="s">
        <v>25</v>
      </c>
      <c r="DJ24" s="47">
        <v>516</v>
      </c>
      <c r="DK24" s="47">
        <v>751</v>
      </c>
      <c r="DL24" s="47">
        <v>10</v>
      </c>
      <c r="DM24" s="47">
        <v>4438</v>
      </c>
      <c r="DN24" s="47">
        <v>2235</v>
      </c>
      <c r="DO24" s="47">
        <v>-1</v>
      </c>
      <c r="DP24" s="29" t="s">
        <v>2028</v>
      </c>
      <c r="DQ24" s="47">
        <v>0</v>
      </c>
      <c r="DR24" s="47">
        <v>1539</v>
      </c>
      <c r="DS24" s="30">
        <v>50</v>
      </c>
      <c r="DT24" s="30">
        <v>32</v>
      </c>
      <c r="DU24" s="30">
        <v>32</v>
      </c>
      <c r="DV24" s="30">
        <v>32</v>
      </c>
      <c r="DX24" s="2">
        <f t="shared" si="21"/>
        <v>1539</v>
      </c>
      <c r="DY24" s="33" t="s">
        <v>2181</v>
      </c>
      <c r="DZ24" s="33" t="s">
        <v>1487</v>
      </c>
      <c r="EA24" s="33" t="s">
        <v>2030</v>
      </c>
      <c r="EB24" s="33" t="s">
        <v>2027</v>
      </c>
      <c r="EC24" s="36">
        <v>474</v>
      </c>
      <c r="ED24" s="29" t="s">
        <v>1486</v>
      </c>
      <c r="EE24" s="29" t="s">
        <v>424</v>
      </c>
      <c r="EF24" s="37">
        <v>41548</v>
      </c>
      <c r="EG24" s="37">
        <v>41912</v>
      </c>
      <c r="EH24" s="29" t="s">
        <v>1486</v>
      </c>
      <c r="EI24" s="55">
        <f t="shared" si="22"/>
        <v>1.5322639445862194</v>
      </c>
      <c r="EJ24" s="54">
        <f t="shared" si="23"/>
        <v>4.3292016040831209E-2</v>
      </c>
      <c r="EK24" s="55">
        <f t="shared" si="24"/>
        <v>0.95980678089682825</v>
      </c>
      <c r="EL24" s="54">
        <f t="shared" si="25"/>
        <v>0.28600072912869123</v>
      </c>
    </row>
    <row r="25" spans="1:142" ht="28.8" x14ac:dyDescent="0.3">
      <c r="A25" s="29" t="s">
        <v>108</v>
      </c>
      <c r="B25" s="29"/>
      <c r="C25" s="30">
        <v>885400</v>
      </c>
      <c r="D25" s="30">
        <v>21</v>
      </c>
      <c r="E25" s="30">
        <v>0</v>
      </c>
      <c r="F25" s="30">
        <v>110633</v>
      </c>
      <c r="G25">
        <v>244881</v>
      </c>
      <c r="H25" s="2">
        <f t="shared" si="26"/>
        <v>355514</v>
      </c>
      <c r="I25" s="1">
        <f t="shared" si="0"/>
        <v>0.4015292523153377</v>
      </c>
      <c r="J25" s="31">
        <v>16345180</v>
      </c>
      <c r="K25" s="31">
        <v>7999504</v>
      </c>
      <c r="L25" s="31">
        <v>24344684</v>
      </c>
      <c r="M25" s="45">
        <f t="shared" si="1"/>
        <v>27.495690083578044</v>
      </c>
      <c r="N25" s="31">
        <v>1808257</v>
      </c>
      <c r="O25" s="31">
        <v>1026167</v>
      </c>
      <c r="P25" s="31">
        <v>654657</v>
      </c>
      <c r="Q25" s="31">
        <v>3489081</v>
      </c>
      <c r="R25" s="45">
        <f t="shared" si="2"/>
        <v>3.9406833069798961</v>
      </c>
      <c r="S25" s="31">
        <v>3502974</v>
      </c>
      <c r="T25" s="31">
        <v>31336739</v>
      </c>
      <c r="U25" s="31">
        <v>0</v>
      </c>
      <c r="V25" s="31">
        <v>31336739</v>
      </c>
      <c r="W25" s="45">
        <f t="shared" si="3"/>
        <v>35.392747910548906</v>
      </c>
      <c r="X25" s="4">
        <f t="shared" si="4"/>
        <v>0.77687356045566835</v>
      </c>
      <c r="Y25" s="4">
        <f t="shared" si="5"/>
        <v>0.11134154705759269</v>
      </c>
      <c r="Z25" s="4">
        <f t="shared" si="6"/>
        <v>0.11178489248673897</v>
      </c>
      <c r="AA25" s="4">
        <f t="shared" si="7"/>
        <v>0</v>
      </c>
      <c r="AB25" s="31">
        <v>22416716</v>
      </c>
      <c r="AC25" s="31">
        <v>3489081</v>
      </c>
      <c r="AD25" s="31">
        <v>31321867</v>
      </c>
      <c r="AE25" s="31">
        <v>31288162</v>
      </c>
      <c r="AF25" s="31">
        <v>31448359</v>
      </c>
      <c r="AG25" s="31">
        <v>0</v>
      </c>
      <c r="AH25" s="31">
        <v>0</v>
      </c>
      <c r="AI25" s="31">
        <v>31448359</v>
      </c>
      <c r="AJ25" s="45">
        <f t="shared" si="8"/>
        <v>35.518815224757169</v>
      </c>
      <c r="AK25" s="31">
        <v>0</v>
      </c>
      <c r="AL25" s="31">
        <v>0</v>
      </c>
      <c r="AM25" s="31">
        <v>34300</v>
      </c>
      <c r="AN25" s="31">
        <v>34300</v>
      </c>
      <c r="AO25" s="31">
        <v>0</v>
      </c>
      <c r="AP25" s="31">
        <v>985277</v>
      </c>
      <c r="AQ25" s="31">
        <v>985277</v>
      </c>
      <c r="AR25" s="31">
        <v>32467936</v>
      </c>
      <c r="AS25" s="46">
        <f t="shared" si="9"/>
        <v>36.670359159701832</v>
      </c>
      <c r="AT25" s="31">
        <v>3130000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3130000</v>
      </c>
      <c r="BC25" s="33" t="s">
        <v>25</v>
      </c>
      <c r="BD25" s="47">
        <v>592040</v>
      </c>
      <c r="BE25" s="47">
        <v>1079228</v>
      </c>
      <c r="BF25" s="45">
        <f t="shared" si="10"/>
        <v>1.2189157442963632</v>
      </c>
      <c r="BG25" s="30">
        <v>80391</v>
      </c>
      <c r="BH25" s="30">
        <v>105368</v>
      </c>
      <c r="BI25" s="30">
        <v>8959</v>
      </c>
      <c r="BJ25" s="30">
        <v>50795</v>
      </c>
      <c r="BK25" s="30">
        <v>110820</v>
      </c>
      <c r="BL25" s="30">
        <v>10493</v>
      </c>
      <c r="BM25" s="30">
        <v>455429</v>
      </c>
      <c r="BN25" s="30">
        <v>65</v>
      </c>
      <c r="BO25" s="30">
        <v>51</v>
      </c>
      <c r="BP25" s="30">
        <v>0</v>
      </c>
      <c r="BQ25" s="30">
        <v>116</v>
      </c>
      <c r="BR25" s="47">
        <v>723226</v>
      </c>
      <c r="BS25" s="47">
        <v>1770362</v>
      </c>
      <c r="BT25" s="1">
        <f t="shared" si="11"/>
        <v>1.9995053083352157</v>
      </c>
      <c r="BU25" s="30">
        <v>366</v>
      </c>
      <c r="BV25" s="30">
        <v>214</v>
      </c>
      <c r="BW25" s="47">
        <v>179985</v>
      </c>
      <c r="BX25" s="52">
        <f t="shared" si="12"/>
        <v>0.20328100293652587</v>
      </c>
      <c r="BY25" s="47">
        <v>2408793</v>
      </c>
      <c r="BZ25" s="47">
        <v>117155</v>
      </c>
      <c r="CA25" s="47">
        <v>2464385</v>
      </c>
      <c r="CB25" s="47">
        <v>391382</v>
      </c>
      <c r="CC25" s="47">
        <v>5381715</v>
      </c>
      <c r="CD25" s="55">
        <f t="shared" si="13"/>
        <v>6.0782866501016493</v>
      </c>
      <c r="CE25" s="3">
        <f t="shared" si="14"/>
        <v>15877.60731671338</v>
      </c>
      <c r="CF25" s="55">
        <f t="shared" si="15"/>
        <v>97.602695007163717</v>
      </c>
      <c r="CG25" s="55">
        <f t="shared" si="16"/>
        <v>1.6878484782528245</v>
      </c>
      <c r="CH25" s="55">
        <f t="shared" si="17"/>
        <v>2.7526449392836043</v>
      </c>
      <c r="CI25" s="30">
        <v>3042</v>
      </c>
      <c r="CJ25" s="30">
        <v>1182</v>
      </c>
      <c r="CK25" s="30">
        <v>1640</v>
      </c>
      <c r="CL25" s="30">
        <v>5864</v>
      </c>
      <c r="CM25" s="30">
        <v>114128</v>
      </c>
      <c r="CN25" s="30">
        <v>18320</v>
      </c>
      <c r="CO25" s="30">
        <v>25476</v>
      </c>
      <c r="CP25" s="30">
        <v>157924</v>
      </c>
      <c r="CQ25" s="1">
        <f t="shared" si="27"/>
        <v>0.17836458098034785</v>
      </c>
      <c r="CR25" s="47">
        <v>3188506</v>
      </c>
      <c r="CS25" s="55">
        <f t="shared" si="18"/>
        <v>3.6012039756042467</v>
      </c>
      <c r="CT25" s="59">
        <v>508397</v>
      </c>
      <c r="CU25" s="29" t="s">
        <v>25</v>
      </c>
      <c r="CV25" s="29" t="s">
        <v>25</v>
      </c>
      <c r="CW25" s="29" t="s">
        <v>25</v>
      </c>
      <c r="CX25" s="35">
        <v>88.375</v>
      </c>
      <c r="CY25" s="49">
        <f t="shared" si="19"/>
        <v>10018.670438472418</v>
      </c>
      <c r="CZ25" s="35">
        <v>0</v>
      </c>
      <c r="DA25" s="35">
        <v>250.57499999999999</v>
      </c>
      <c r="DB25" s="35">
        <v>338.95</v>
      </c>
      <c r="DC25" s="49">
        <f t="shared" si="20"/>
        <v>2612.1846880070807</v>
      </c>
      <c r="DD25" s="30">
        <v>20675</v>
      </c>
      <c r="DE25" s="31">
        <v>180288</v>
      </c>
      <c r="DF25" s="35">
        <v>40</v>
      </c>
      <c r="DG25" s="29" t="s">
        <v>25</v>
      </c>
      <c r="DH25" s="29" t="s">
        <v>25</v>
      </c>
      <c r="DI25" s="29" t="s">
        <v>25</v>
      </c>
      <c r="DJ25" s="47">
        <v>857</v>
      </c>
      <c r="DK25" s="47">
        <v>1299</v>
      </c>
      <c r="DL25" s="47">
        <v>610</v>
      </c>
      <c r="DM25" s="47">
        <v>659122</v>
      </c>
      <c r="DN25" s="47">
        <v>1151</v>
      </c>
      <c r="DO25" s="47">
        <v>329418</v>
      </c>
      <c r="DP25" s="29" t="s">
        <v>25</v>
      </c>
      <c r="DQ25" s="47">
        <v>5499070</v>
      </c>
      <c r="DR25" s="47">
        <v>2909</v>
      </c>
      <c r="DS25" s="30">
        <v>52</v>
      </c>
      <c r="DT25" s="30">
        <v>66</v>
      </c>
      <c r="DU25" s="30">
        <v>58</v>
      </c>
      <c r="DV25" s="30">
        <v>58</v>
      </c>
      <c r="DW25">
        <f>VLOOKUP(EC25,branch!$I$4:$K$77,3,0)</f>
        <v>52230</v>
      </c>
      <c r="DX25" s="2">
        <f t="shared" si="21"/>
        <v>55139</v>
      </c>
      <c r="DY25" s="33" t="s">
        <v>2186</v>
      </c>
      <c r="DZ25" s="33" t="s">
        <v>111</v>
      </c>
      <c r="EA25" s="33" t="s">
        <v>2030</v>
      </c>
      <c r="EB25" s="33" t="s">
        <v>2027</v>
      </c>
      <c r="EC25" s="36">
        <v>20</v>
      </c>
      <c r="ED25" s="29" t="s">
        <v>109</v>
      </c>
      <c r="EE25" s="29" t="s">
        <v>110</v>
      </c>
      <c r="EF25" s="37">
        <v>41548</v>
      </c>
      <c r="EG25" s="37">
        <v>41912</v>
      </c>
      <c r="EH25" s="29" t="s">
        <v>109</v>
      </c>
      <c r="EI25" s="55">
        <f t="shared" si="22"/>
        <v>2.7205703636774339</v>
      </c>
      <c r="EJ25" s="54">
        <f t="shared" si="23"/>
        <v>0.13231872599954822</v>
      </c>
      <c r="EK25" s="55">
        <f t="shared" si="24"/>
        <v>2.7833578043822</v>
      </c>
      <c r="EL25" s="54">
        <f t="shared" si="25"/>
        <v>0.4420397560424667</v>
      </c>
    </row>
    <row r="26" spans="1:142" ht="43.2" x14ac:dyDescent="0.3">
      <c r="A26" s="29" t="s">
        <v>2051</v>
      </c>
      <c r="B26" s="29"/>
      <c r="C26" s="30">
        <v>30929</v>
      </c>
      <c r="D26" s="30">
        <v>0</v>
      </c>
      <c r="E26" s="30">
        <v>0</v>
      </c>
      <c r="F26" s="30">
        <v>11000</v>
      </c>
      <c r="H26" s="2">
        <f t="shared" si="26"/>
        <v>11000</v>
      </c>
      <c r="I26" s="1">
        <f t="shared" si="0"/>
        <v>0.35565327039348182</v>
      </c>
      <c r="J26" s="31">
        <v>182162</v>
      </c>
      <c r="K26" s="31">
        <v>35187</v>
      </c>
      <c r="L26" s="31">
        <v>217349</v>
      </c>
      <c r="M26" s="45">
        <f t="shared" si="1"/>
        <v>7.0273529697048076</v>
      </c>
      <c r="N26" s="31">
        <v>46916</v>
      </c>
      <c r="O26" s="31">
        <v>7483</v>
      </c>
      <c r="P26" s="31">
        <v>12891</v>
      </c>
      <c r="Q26" s="31">
        <v>67290</v>
      </c>
      <c r="R26" s="45">
        <f t="shared" si="2"/>
        <v>2.1756280513433994</v>
      </c>
      <c r="S26" s="31">
        <v>154706</v>
      </c>
      <c r="T26" s="31">
        <v>439345</v>
      </c>
      <c r="U26" s="31">
        <v>0</v>
      </c>
      <c r="V26" s="31">
        <v>439345</v>
      </c>
      <c r="W26" s="45">
        <f t="shared" si="3"/>
        <v>14.204953280093116</v>
      </c>
      <c r="X26" s="4">
        <f t="shared" si="4"/>
        <v>0.4947114454471998</v>
      </c>
      <c r="Y26" s="4">
        <f t="shared" si="5"/>
        <v>0.15315981745553039</v>
      </c>
      <c r="Z26" s="4">
        <f t="shared" si="6"/>
        <v>0.35212873709726977</v>
      </c>
      <c r="AA26" s="4">
        <f t="shared" si="7"/>
        <v>0</v>
      </c>
      <c r="AB26" s="31">
        <v>10713</v>
      </c>
      <c r="AC26" s="31">
        <v>67290</v>
      </c>
      <c r="AD26" s="31">
        <v>439345</v>
      </c>
      <c r="AE26" s="31">
        <v>439345</v>
      </c>
      <c r="AF26" s="31">
        <v>736644</v>
      </c>
      <c r="AG26" s="31">
        <v>0</v>
      </c>
      <c r="AH26" s="31">
        <v>0</v>
      </c>
      <c r="AI26" s="31">
        <v>736644</v>
      </c>
      <c r="AJ26" s="45">
        <f t="shared" si="8"/>
        <v>23.81725888324873</v>
      </c>
      <c r="AK26" s="31">
        <v>112</v>
      </c>
      <c r="AL26" s="31">
        <v>0</v>
      </c>
      <c r="AM26" s="31">
        <v>0</v>
      </c>
      <c r="AN26" s="31">
        <v>0</v>
      </c>
      <c r="AO26" s="31">
        <v>0</v>
      </c>
      <c r="AP26" s="31">
        <v>67281</v>
      </c>
      <c r="AQ26" s="31">
        <v>67281</v>
      </c>
      <c r="AR26" s="31">
        <v>804037</v>
      </c>
      <c r="AS26" s="46">
        <f t="shared" si="9"/>
        <v>25.996217142487634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3" t="s">
        <v>25</v>
      </c>
      <c r="BD26" s="47">
        <v>28565</v>
      </c>
      <c r="BE26" s="47">
        <v>30976</v>
      </c>
      <c r="BF26" s="45">
        <f t="shared" si="10"/>
        <v>1.001519609428045</v>
      </c>
      <c r="BG26" s="30">
        <v>2290</v>
      </c>
      <c r="BH26" s="30">
        <v>2321</v>
      </c>
      <c r="BI26" s="30">
        <v>2857</v>
      </c>
      <c r="BJ26" s="30">
        <v>3604</v>
      </c>
      <c r="BK26" s="30">
        <v>3727</v>
      </c>
      <c r="BL26" s="30">
        <v>76</v>
      </c>
      <c r="BM26" s="30">
        <v>13011</v>
      </c>
      <c r="BN26" s="30">
        <v>3</v>
      </c>
      <c r="BO26" s="30">
        <v>51</v>
      </c>
      <c r="BP26" s="30">
        <v>0</v>
      </c>
      <c r="BQ26" s="30">
        <v>54</v>
      </c>
      <c r="BR26" s="47">
        <v>34459</v>
      </c>
      <c r="BS26" s="47">
        <v>52971</v>
      </c>
      <c r="BT26" s="1">
        <f t="shared" si="11"/>
        <v>1.7126644896375569</v>
      </c>
      <c r="BU26" s="30">
        <v>44</v>
      </c>
      <c r="BV26" s="30">
        <v>0</v>
      </c>
      <c r="BW26" s="47">
        <v>10043</v>
      </c>
      <c r="BX26" s="52">
        <f t="shared" si="12"/>
        <v>0.32471143586924894</v>
      </c>
      <c r="BY26" s="47">
        <v>94704</v>
      </c>
      <c r="BZ26" s="47">
        <v>467</v>
      </c>
      <c r="CA26" s="47">
        <v>142057</v>
      </c>
      <c r="CB26" s="47">
        <v>9160</v>
      </c>
      <c r="CC26" s="47">
        <v>246388</v>
      </c>
      <c r="CD26" s="55">
        <f t="shared" si="13"/>
        <v>7.9662452714281091</v>
      </c>
      <c r="CE26" s="3">
        <f t="shared" si="14"/>
        <v>41938.382978723406</v>
      </c>
      <c r="CF26" s="55">
        <f t="shared" si="15"/>
        <v>96.057699805068225</v>
      </c>
      <c r="CG26" s="55">
        <f t="shared" si="16"/>
        <v>2.1921810772817056</v>
      </c>
      <c r="CH26" s="55">
        <f t="shared" si="17"/>
        <v>4.4696343282173263</v>
      </c>
      <c r="CI26" s="30">
        <v>373</v>
      </c>
      <c r="CJ26" s="30">
        <v>33</v>
      </c>
      <c r="CK26" s="30">
        <v>265</v>
      </c>
      <c r="CL26" s="30">
        <v>671</v>
      </c>
      <c r="CM26" s="30">
        <v>10964</v>
      </c>
      <c r="CN26" s="30">
        <v>354</v>
      </c>
      <c r="CO26" s="30">
        <v>2133</v>
      </c>
      <c r="CP26" s="30">
        <v>13451</v>
      </c>
      <c r="CQ26" s="1">
        <f t="shared" si="27"/>
        <v>0.43489928546024764</v>
      </c>
      <c r="CR26" s="47">
        <v>112394</v>
      </c>
      <c r="CS26" s="55">
        <f t="shared" si="18"/>
        <v>3.6339357884186363</v>
      </c>
      <c r="CT26" s="59">
        <v>20140</v>
      </c>
      <c r="CU26" s="29" t="s">
        <v>25</v>
      </c>
      <c r="CV26" s="29" t="s">
        <v>25</v>
      </c>
      <c r="CW26" s="29" t="s">
        <v>25</v>
      </c>
      <c r="CX26" s="35">
        <v>1</v>
      </c>
      <c r="CY26" s="49">
        <f t="shared" si="19"/>
        <v>30929</v>
      </c>
      <c r="CZ26" s="35">
        <v>0</v>
      </c>
      <c r="DA26" s="35">
        <v>4.875</v>
      </c>
      <c r="DB26" s="35">
        <v>5.875</v>
      </c>
      <c r="DC26" s="49">
        <f t="shared" si="20"/>
        <v>5264.510638297872</v>
      </c>
      <c r="DD26" s="30">
        <v>13656</v>
      </c>
      <c r="DE26" s="31">
        <v>52520</v>
      </c>
      <c r="DF26" s="35">
        <v>40</v>
      </c>
      <c r="DG26" s="29" t="s">
        <v>25</v>
      </c>
      <c r="DH26" s="29" t="s">
        <v>25</v>
      </c>
      <c r="DI26" s="29" t="s">
        <v>25</v>
      </c>
      <c r="DJ26" s="47">
        <v>1387</v>
      </c>
      <c r="DK26" s="47">
        <v>62</v>
      </c>
      <c r="DL26" s="47">
        <v>23</v>
      </c>
      <c r="DM26" s="47">
        <v>8469</v>
      </c>
      <c r="DN26" s="47">
        <v>2034</v>
      </c>
      <c r="DO26" s="47">
        <v>0</v>
      </c>
      <c r="DP26" s="29" t="s">
        <v>25</v>
      </c>
      <c r="DQ26" s="47">
        <v>72128</v>
      </c>
      <c r="DR26" s="47">
        <v>2565</v>
      </c>
      <c r="DS26" s="30">
        <v>52</v>
      </c>
      <c r="DT26" s="30">
        <v>51</v>
      </c>
      <c r="DU26" s="30">
        <v>51</v>
      </c>
      <c r="DV26" s="30">
        <v>51</v>
      </c>
      <c r="DX26" s="2">
        <f t="shared" si="21"/>
        <v>2565</v>
      </c>
      <c r="DY26" s="33" t="s">
        <v>2186</v>
      </c>
      <c r="DZ26" s="33" t="s">
        <v>1410</v>
      </c>
      <c r="EA26" s="33" t="s">
        <v>2033</v>
      </c>
      <c r="EB26" s="33" t="s">
        <v>2027</v>
      </c>
      <c r="EC26" s="36">
        <v>440</v>
      </c>
      <c r="ED26" s="29" t="s">
        <v>1409</v>
      </c>
      <c r="EE26" s="29" t="s">
        <v>110</v>
      </c>
      <c r="EF26" s="37">
        <v>41456</v>
      </c>
      <c r="EG26" s="37">
        <v>41820</v>
      </c>
      <c r="EH26" s="29" t="s">
        <v>1409</v>
      </c>
      <c r="EI26" s="55">
        <f t="shared" si="22"/>
        <v>3.0619806653949366</v>
      </c>
      <c r="EJ26" s="54">
        <f t="shared" si="23"/>
        <v>1.5099097933977821E-2</v>
      </c>
      <c r="EK26" s="55">
        <f t="shared" si="24"/>
        <v>4.5930033302078952</v>
      </c>
      <c r="EL26" s="54">
        <f t="shared" si="25"/>
        <v>0.29616217789129945</v>
      </c>
    </row>
    <row r="27" spans="1:142" ht="43.2" x14ac:dyDescent="0.3">
      <c r="A27" s="29" t="s">
        <v>2052</v>
      </c>
      <c r="B27" s="29"/>
      <c r="C27" s="30">
        <v>13264</v>
      </c>
      <c r="D27" s="30">
        <v>0</v>
      </c>
      <c r="E27" s="30">
        <v>0</v>
      </c>
      <c r="F27" s="30">
        <v>16000</v>
      </c>
      <c r="H27" s="2">
        <f t="shared" si="26"/>
        <v>16000</v>
      </c>
      <c r="I27" s="1">
        <f t="shared" si="0"/>
        <v>1.2062726176115801</v>
      </c>
      <c r="J27" s="31">
        <v>318589</v>
      </c>
      <c r="K27" s="31">
        <v>90915</v>
      </c>
      <c r="L27" s="31">
        <v>409504</v>
      </c>
      <c r="M27" s="45">
        <f t="shared" si="1"/>
        <v>30.873341375150783</v>
      </c>
      <c r="N27" s="31">
        <v>59337</v>
      </c>
      <c r="O27" s="31">
        <v>5446</v>
      </c>
      <c r="P27" s="31">
        <v>10003</v>
      </c>
      <c r="Q27" s="31">
        <v>74786</v>
      </c>
      <c r="R27" s="45">
        <f t="shared" si="2"/>
        <v>5.6382689987937278</v>
      </c>
      <c r="S27" s="31">
        <v>155627</v>
      </c>
      <c r="T27" s="31">
        <v>639917</v>
      </c>
      <c r="U27" s="31">
        <v>0</v>
      </c>
      <c r="V27" s="31">
        <v>639917</v>
      </c>
      <c r="W27" s="45">
        <f t="shared" si="3"/>
        <v>48.244647165259352</v>
      </c>
      <c r="X27" s="4">
        <f t="shared" si="4"/>
        <v>0.63993299130981052</v>
      </c>
      <c r="Y27" s="4">
        <f t="shared" si="5"/>
        <v>0.11686828135523826</v>
      </c>
      <c r="Z27" s="4">
        <f t="shared" si="6"/>
        <v>0.24319872733495126</v>
      </c>
      <c r="AA27" s="4">
        <f t="shared" si="7"/>
        <v>0</v>
      </c>
      <c r="AB27" s="31">
        <v>5375</v>
      </c>
      <c r="AC27" s="31">
        <v>74786</v>
      </c>
      <c r="AD27" s="31">
        <v>639917</v>
      </c>
      <c r="AE27" s="31">
        <v>639917</v>
      </c>
      <c r="AF27" s="31">
        <v>942221</v>
      </c>
      <c r="AG27" s="31">
        <v>0</v>
      </c>
      <c r="AH27" s="31">
        <v>0</v>
      </c>
      <c r="AI27" s="31">
        <v>942221</v>
      </c>
      <c r="AJ27" s="45">
        <f t="shared" si="8"/>
        <v>71.035962002412546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54250</v>
      </c>
      <c r="AQ27" s="31">
        <v>54250</v>
      </c>
      <c r="AR27" s="31">
        <v>996471</v>
      </c>
      <c r="AS27" s="46">
        <f t="shared" si="9"/>
        <v>75.125980096501806</v>
      </c>
      <c r="AT27" s="31">
        <v>5375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5375</v>
      </c>
      <c r="BC27" s="33" t="s">
        <v>25</v>
      </c>
      <c r="BD27" s="47">
        <v>39073</v>
      </c>
      <c r="BE27" s="47">
        <v>42745</v>
      </c>
      <c r="BF27" s="45">
        <f t="shared" si="10"/>
        <v>3.2226326899879374</v>
      </c>
      <c r="BG27" s="30">
        <v>2519</v>
      </c>
      <c r="BH27" s="30">
        <v>2597</v>
      </c>
      <c r="BI27" s="30">
        <v>2929</v>
      </c>
      <c r="BJ27" s="30">
        <v>4804</v>
      </c>
      <c r="BK27" s="30">
        <v>4953</v>
      </c>
      <c r="BL27" s="30">
        <v>92</v>
      </c>
      <c r="BM27" s="30">
        <v>13147</v>
      </c>
      <c r="BN27" s="30">
        <v>2</v>
      </c>
      <c r="BO27" s="30">
        <v>51</v>
      </c>
      <c r="BP27" s="30">
        <v>0</v>
      </c>
      <c r="BQ27" s="30">
        <v>53</v>
      </c>
      <c r="BR27" s="47">
        <v>46396</v>
      </c>
      <c r="BS27" s="47">
        <v>66465</v>
      </c>
      <c r="BT27" s="1">
        <f t="shared" si="11"/>
        <v>5.0109318455971046</v>
      </c>
      <c r="BU27" s="30">
        <v>77</v>
      </c>
      <c r="BV27" s="30">
        <v>0</v>
      </c>
      <c r="BW27" s="47">
        <v>2347</v>
      </c>
      <c r="BX27" s="52">
        <f t="shared" si="12"/>
        <v>0.17694511459589868</v>
      </c>
      <c r="BY27" s="47">
        <v>103369</v>
      </c>
      <c r="BZ27" s="47">
        <v>0</v>
      </c>
      <c r="CA27" s="47">
        <v>59110</v>
      </c>
      <c r="CB27" s="47">
        <v>3480</v>
      </c>
      <c r="CC27" s="47">
        <v>165959</v>
      </c>
      <c r="CD27" s="55">
        <f t="shared" si="13"/>
        <v>12.511987334137515</v>
      </c>
      <c r="CE27" s="3">
        <f t="shared" si="14"/>
        <v>19875.329341317367</v>
      </c>
      <c r="CF27" s="55">
        <f t="shared" si="15"/>
        <v>54.699736321687539</v>
      </c>
      <c r="CG27" s="55">
        <f t="shared" si="16"/>
        <v>1.5490931832395247</v>
      </c>
      <c r="CH27" s="55">
        <f t="shared" si="17"/>
        <v>2.4445798540585271</v>
      </c>
      <c r="CI27" s="30">
        <v>465</v>
      </c>
      <c r="CJ27" s="30">
        <v>3</v>
      </c>
      <c r="CK27" s="30">
        <v>186</v>
      </c>
      <c r="CL27" s="30">
        <v>654</v>
      </c>
      <c r="CM27" s="30">
        <v>13535</v>
      </c>
      <c r="CN27" s="30">
        <v>76</v>
      </c>
      <c r="CO27" s="30">
        <v>1077</v>
      </c>
      <c r="CP27" s="30">
        <v>14688</v>
      </c>
      <c r="CQ27" s="1">
        <f t="shared" si="27"/>
        <v>1.1073582629674306</v>
      </c>
      <c r="CR27" s="47">
        <v>107133</v>
      </c>
      <c r="CS27" s="55">
        <f t="shared" si="18"/>
        <v>8.0769752714113388</v>
      </c>
      <c r="CT27" s="59">
        <v>9227</v>
      </c>
      <c r="CU27" s="29" t="s">
        <v>25</v>
      </c>
      <c r="CV27" s="29" t="s">
        <v>25</v>
      </c>
      <c r="CW27" s="29" t="s">
        <v>25</v>
      </c>
      <c r="CX27" s="35">
        <v>1.875</v>
      </c>
      <c r="CY27" s="49">
        <f t="shared" si="19"/>
        <v>7074.1333333333332</v>
      </c>
      <c r="CZ27" s="35">
        <v>2</v>
      </c>
      <c r="DA27" s="35">
        <v>4.4749999999999996</v>
      </c>
      <c r="DB27" s="35">
        <v>8.35</v>
      </c>
      <c r="DC27" s="49">
        <f t="shared" si="20"/>
        <v>1588.5029940119762</v>
      </c>
      <c r="DD27" s="30">
        <v>3035</v>
      </c>
      <c r="DE27" s="31">
        <v>66287</v>
      </c>
      <c r="DF27" s="35">
        <v>35</v>
      </c>
      <c r="DG27" s="29" t="s">
        <v>25</v>
      </c>
      <c r="DH27" s="29" t="s">
        <v>25</v>
      </c>
      <c r="DI27" s="29" t="s">
        <v>25</v>
      </c>
      <c r="DJ27" s="47">
        <v>12</v>
      </c>
      <c r="DK27" s="47">
        <v>2</v>
      </c>
      <c r="DL27" s="47">
        <v>21</v>
      </c>
      <c r="DM27" s="47">
        <v>13058</v>
      </c>
      <c r="DN27" s="47">
        <v>810</v>
      </c>
      <c r="DO27" s="47">
        <v>14235</v>
      </c>
      <c r="DP27" s="29" t="s">
        <v>25</v>
      </c>
      <c r="DQ27" s="47">
        <v>51388</v>
      </c>
      <c r="DR27" s="47">
        <v>3034</v>
      </c>
      <c r="DS27" s="30">
        <v>52</v>
      </c>
      <c r="DT27" s="30">
        <v>61</v>
      </c>
      <c r="DU27" s="30">
        <v>61</v>
      </c>
      <c r="DV27" s="30">
        <v>61</v>
      </c>
      <c r="DX27" s="2">
        <f t="shared" si="21"/>
        <v>3034</v>
      </c>
      <c r="DY27" s="33" t="s">
        <v>2186</v>
      </c>
      <c r="DZ27" s="33" t="s">
        <v>1705</v>
      </c>
      <c r="EA27" s="33" t="s">
        <v>2033</v>
      </c>
      <c r="EB27" s="33" t="s">
        <v>2027</v>
      </c>
      <c r="EC27" s="36">
        <v>583</v>
      </c>
      <c r="ED27" s="29" t="s">
        <v>1704</v>
      </c>
      <c r="EE27" s="29" t="s">
        <v>110</v>
      </c>
      <c r="EF27" s="37">
        <v>41640</v>
      </c>
      <c r="EG27" s="37">
        <v>42004</v>
      </c>
      <c r="EH27" s="29" t="s">
        <v>1704</v>
      </c>
      <c r="EI27" s="55">
        <f t="shared" si="22"/>
        <v>7.7931996381182147</v>
      </c>
      <c r="EJ27" s="54">
        <f t="shared" si="23"/>
        <v>0</v>
      </c>
      <c r="EK27" s="55">
        <f t="shared" si="24"/>
        <v>4.4564234016887818</v>
      </c>
      <c r="EL27" s="54">
        <f t="shared" si="25"/>
        <v>0.26236429433051872</v>
      </c>
    </row>
    <row r="28" spans="1:142" ht="43.2" x14ac:dyDescent="0.3">
      <c r="A28" s="29" t="s">
        <v>2053</v>
      </c>
      <c r="B28" s="29"/>
      <c r="C28" s="30">
        <v>27985</v>
      </c>
      <c r="D28" s="30">
        <v>1</v>
      </c>
      <c r="E28" s="30">
        <v>0</v>
      </c>
      <c r="F28" s="30">
        <v>15821</v>
      </c>
      <c r="G28">
        <v>14229</v>
      </c>
      <c r="H28" s="2">
        <f t="shared" si="26"/>
        <v>30050</v>
      </c>
      <c r="I28" s="1">
        <f t="shared" si="0"/>
        <v>1.0737895301054137</v>
      </c>
      <c r="J28" s="31">
        <v>877137</v>
      </c>
      <c r="K28" s="31">
        <v>198338</v>
      </c>
      <c r="L28" s="31">
        <v>1075475</v>
      </c>
      <c r="M28" s="45">
        <f t="shared" si="1"/>
        <v>38.430409147757729</v>
      </c>
      <c r="N28" s="31">
        <v>120704</v>
      </c>
      <c r="O28" s="31">
        <v>49872</v>
      </c>
      <c r="P28" s="31">
        <v>65944</v>
      </c>
      <c r="Q28" s="31">
        <v>236520</v>
      </c>
      <c r="R28" s="45">
        <f t="shared" si="2"/>
        <v>8.4516705377881003</v>
      </c>
      <c r="S28" s="31">
        <v>417023</v>
      </c>
      <c r="T28" s="31">
        <v>1729018</v>
      </c>
      <c r="U28" s="31">
        <v>0</v>
      </c>
      <c r="V28" s="31">
        <v>1729018</v>
      </c>
      <c r="W28" s="45">
        <f t="shared" si="3"/>
        <v>61.783741289976774</v>
      </c>
      <c r="X28" s="4">
        <f t="shared" si="4"/>
        <v>0.62201492407829184</v>
      </c>
      <c r="Y28" s="4">
        <f t="shared" si="5"/>
        <v>0.13679441162555855</v>
      </c>
      <c r="Z28" s="4">
        <f t="shared" si="6"/>
        <v>0.2411906642961496</v>
      </c>
      <c r="AA28" s="4">
        <f t="shared" si="7"/>
        <v>0</v>
      </c>
      <c r="AB28" s="31">
        <v>50332</v>
      </c>
      <c r="AC28" s="31">
        <v>236520</v>
      </c>
      <c r="AD28" s="31">
        <v>1666654</v>
      </c>
      <c r="AE28" s="31">
        <v>1666654</v>
      </c>
      <c r="AF28" s="31">
        <v>2262773</v>
      </c>
      <c r="AG28" s="31">
        <v>0</v>
      </c>
      <c r="AH28" s="31">
        <v>0</v>
      </c>
      <c r="AI28" s="31">
        <v>2262773</v>
      </c>
      <c r="AJ28" s="45">
        <f t="shared" si="8"/>
        <v>80.85663748436663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151226</v>
      </c>
      <c r="AQ28" s="31">
        <v>151226</v>
      </c>
      <c r="AR28" s="31">
        <v>2413999</v>
      </c>
      <c r="AS28" s="46">
        <f t="shared" si="9"/>
        <v>86.260460961229228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3" t="s">
        <v>25</v>
      </c>
      <c r="BD28" s="47">
        <v>59619</v>
      </c>
      <c r="BE28" s="47">
        <v>70598</v>
      </c>
      <c r="BF28" s="45">
        <f t="shared" si="10"/>
        <v>2.5227085938895839</v>
      </c>
      <c r="BG28" s="30">
        <v>4221</v>
      </c>
      <c r="BH28" s="30">
        <v>4779</v>
      </c>
      <c r="BI28" s="30">
        <v>991</v>
      </c>
      <c r="BJ28" s="30">
        <v>9083</v>
      </c>
      <c r="BK28" s="30">
        <v>10663</v>
      </c>
      <c r="BL28" s="30">
        <v>96</v>
      </c>
      <c r="BM28" s="30">
        <v>9075</v>
      </c>
      <c r="BN28" s="30">
        <v>14</v>
      </c>
      <c r="BO28" s="30">
        <v>51</v>
      </c>
      <c r="BP28" s="30">
        <v>0</v>
      </c>
      <c r="BQ28" s="30">
        <v>65</v>
      </c>
      <c r="BR28" s="47">
        <v>72923</v>
      </c>
      <c r="BS28" s="47">
        <v>96216</v>
      </c>
      <c r="BT28" s="1">
        <f t="shared" si="11"/>
        <v>3.4381275683401822</v>
      </c>
      <c r="BU28" s="30">
        <v>133</v>
      </c>
      <c r="BV28" s="30">
        <v>67</v>
      </c>
      <c r="BW28" s="47">
        <v>12133</v>
      </c>
      <c r="BX28" s="52">
        <f t="shared" si="12"/>
        <v>0.43355368947650524</v>
      </c>
      <c r="BY28" s="47">
        <v>264560</v>
      </c>
      <c r="BZ28" s="47">
        <v>5367</v>
      </c>
      <c r="CA28" s="47">
        <v>284864</v>
      </c>
      <c r="CB28" s="47">
        <v>26799</v>
      </c>
      <c r="CC28" s="47">
        <v>581590</v>
      </c>
      <c r="CD28" s="55">
        <f t="shared" si="13"/>
        <v>20.782204752546008</v>
      </c>
      <c r="CE28" s="3">
        <f t="shared" si="14"/>
        <v>28232.524271844657</v>
      </c>
      <c r="CF28" s="55">
        <f t="shared" si="15"/>
        <v>102.60938602681722</v>
      </c>
      <c r="CG28" s="55">
        <f t="shared" si="16"/>
        <v>2.1362586180931284</v>
      </c>
      <c r="CH28" s="55">
        <f t="shared" si="17"/>
        <v>5.7103184501538209</v>
      </c>
      <c r="CI28" s="30">
        <v>700</v>
      </c>
      <c r="CJ28" s="30">
        <v>30</v>
      </c>
      <c r="CK28" s="30">
        <v>459</v>
      </c>
      <c r="CL28" s="30">
        <v>1189</v>
      </c>
      <c r="CM28" s="30">
        <v>22439</v>
      </c>
      <c r="CN28" s="30">
        <v>437</v>
      </c>
      <c r="CO28" s="30">
        <v>6274</v>
      </c>
      <c r="CP28" s="30">
        <v>29150</v>
      </c>
      <c r="CQ28" s="1">
        <f t="shared" si="27"/>
        <v>1.041629444345185</v>
      </c>
      <c r="CR28" s="47">
        <v>272247</v>
      </c>
      <c r="CS28" s="55">
        <f t="shared" si="18"/>
        <v>9.7283187421833119</v>
      </c>
      <c r="CT28" s="59">
        <v>26245</v>
      </c>
      <c r="CU28" s="29" t="s">
        <v>25</v>
      </c>
      <c r="CV28" s="29" t="s">
        <v>25</v>
      </c>
      <c r="CW28" s="29" t="s">
        <v>25</v>
      </c>
      <c r="CX28" s="35">
        <v>12.875</v>
      </c>
      <c r="CY28" s="49">
        <f t="shared" si="19"/>
        <v>2173.5922330097087</v>
      </c>
      <c r="CZ28" s="35">
        <v>5</v>
      </c>
      <c r="DA28" s="35">
        <v>2.7250000000000001</v>
      </c>
      <c r="DB28" s="35">
        <v>20.6</v>
      </c>
      <c r="DC28" s="49">
        <f t="shared" si="20"/>
        <v>1358.4951456310678</v>
      </c>
      <c r="DD28" s="30">
        <v>14930</v>
      </c>
      <c r="DE28" s="31">
        <v>80250</v>
      </c>
      <c r="DF28" s="35">
        <v>40</v>
      </c>
      <c r="DG28" s="29" t="s">
        <v>25</v>
      </c>
      <c r="DH28" s="29" t="s">
        <v>25</v>
      </c>
      <c r="DI28" s="29" t="s">
        <v>25</v>
      </c>
      <c r="DJ28" s="47">
        <v>669</v>
      </c>
      <c r="DK28" s="47">
        <v>260</v>
      </c>
      <c r="DL28" s="47">
        <v>27</v>
      </c>
      <c r="DM28" s="47">
        <v>19383</v>
      </c>
      <c r="DN28" s="47">
        <v>518</v>
      </c>
      <c r="DO28" s="47">
        <v>120701</v>
      </c>
      <c r="DP28" s="29" t="s">
        <v>25</v>
      </c>
      <c r="DQ28" s="47">
        <v>159922</v>
      </c>
      <c r="DR28" s="47">
        <v>2834</v>
      </c>
      <c r="DS28" s="30">
        <v>52</v>
      </c>
      <c r="DT28" s="30">
        <v>57</v>
      </c>
      <c r="DU28" s="30">
        <v>57</v>
      </c>
      <c r="DV28" s="30">
        <v>57</v>
      </c>
      <c r="DW28">
        <f>VLOOKUP(EC28,branch!$I$4:$K$77,3,0)</f>
        <v>2834</v>
      </c>
      <c r="DX28" s="2">
        <f t="shared" si="21"/>
        <v>5668</v>
      </c>
      <c r="DY28" s="33" t="s">
        <v>2186</v>
      </c>
      <c r="DZ28" s="33" t="s">
        <v>1439</v>
      </c>
      <c r="EA28" s="33" t="s">
        <v>2033</v>
      </c>
      <c r="EB28" s="33" t="s">
        <v>2027</v>
      </c>
      <c r="EC28" s="36">
        <v>452</v>
      </c>
      <c r="ED28" s="29" t="s">
        <v>1438</v>
      </c>
      <c r="EE28" s="29" t="s">
        <v>110</v>
      </c>
      <c r="EF28" s="37">
        <v>41640</v>
      </c>
      <c r="EG28" s="37">
        <v>42004</v>
      </c>
      <c r="EH28" s="29" t="s">
        <v>1438</v>
      </c>
      <c r="EI28" s="55">
        <f t="shared" si="22"/>
        <v>9.4536358763623376</v>
      </c>
      <c r="EJ28" s="54">
        <f t="shared" si="23"/>
        <v>0.19178131141683044</v>
      </c>
      <c r="EK28" s="55">
        <f t="shared" si="24"/>
        <v>10.179167411113097</v>
      </c>
      <c r="EL28" s="54">
        <f t="shared" si="25"/>
        <v>0.95762015365374309</v>
      </c>
    </row>
    <row r="29" spans="1:142" ht="28.8" x14ac:dyDescent="0.3">
      <c r="A29" s="29" t="s">
        <v>112</v>
      </c>
      <c r="B29" s="29"/>
      <c r="C29" s="30">
        <v>15813</v>
      </c>
      <c r="D29" s="30">
        <v>0</v>
      </c>
      <c r="E29" s="30">
        <v>0</v>
      </c>
      <c r="F29" s="30">
        <v>21600</v>
      </c>
      <c r="H29" s="2">
        <f t="shared" si="26"/>
        <v>21600</v>
      </c>
      <c r="I29" s="1">
        <f t="shared" si="0"/>
        <v>1.3659647125782584</v>
      </c>
      <c r="J29" s="31">
        <v>223780</v>
      </c>
      <c r="K29" s="31">
        <v>72037</v>
      </c>
      <c r="L29" s="31">
        <v>295817</v>
      </c>
      <c r="M29" s="45">
        <f t="shared" si="1"/>
        <v>18.707202934294568</v>
      </c>
      <c r="N29" s="31">
        <v>22143</v>
      </c>
      <c r="O29" s="31">
        <v>0</v>
      </c>
      <c r="P29" s="31">
        <v>6621</v>
      </c>
      <c r="Q29" s="31">
        <v>28764</v>
      </c>
      <c r="R29" s="45">
        <f t="shared" si="2"/>
        <v>1.8190096755833807</v>
      </c>
      <c r="S29" s="31">
        <v>173527</v>
      </c>
      <c r="T29" s="31">
        <v>498108</v>
      </c>
      <c r="U29" s="31">
        <v>0</v>
      </c>
      <c r="V29" s="31">
        <v>498108</v>
      </c>
      <c r="W29" s="45">
        <f t="shared" si="3"/>
        <v>31.499905141339404</v>
      </c>
      <c r="X29" s="4">
        <f t="shared" si="4"/>
        <v>0.59388124663727548</v>
      </c>
      <c r="Y29" s="4">
        <f t="shared" si="5"/>
        <v>5.7746512804452046E-2</v>
      </c>
      <c r="Z29" s="4">
        <f t="shared" si="6"/>
        <v>0.34837224055827248</v>
      </c>
      <c r="AA29" s="4">
        <f t="shared" si="7"/>
        <v>0</v>
      </c>
      <c r="AB29" s="31">
        <v>0</v>
      </c>
      <c r="AC29" s="31">
        <v>24354</v>
      </c>
      <c r="AD29" s="31">
        <v>493698</v>
      </c>
      <c r="AE29" s="31">
        <v>493698</v>
      </c>
      <c r="AF29" s="31">
        <v>493698</v>
      </c>
      <c r="AG29" s="31">
        <v>4410</v>
      </c>
      <c r="AH29" s="31">
        <v>0</v>
      </c>
      <c r="AI29" s="31">
        <v>498108</v>
      </c>
      <c r="AJ29" s="45">
        <f t="shared" si="8"/>
        <v>31.499905141339404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498108</v>
      </c>
      <c r="AS29" s="46">
        <f t="shared" si="9"/>
        <v>31.499905141339404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3" t="s">
        <v>25</v>
      </c>
      <c r="BD29" s="47">
        <v>43846</v>
      </c>
      <c r="BE29" s="47">
        <v>47886</v>
      </c>
      <c r="BF29" s="45">
        <f t="shared" si="10"/>
        <v>3.0282678808575221</v>
      </c>
      <c r="BG29" s="30">
        <v>1901</v>
      </c>
      <c r="BH29" s="30">
        <v>1964</v>
      </c>
      <c r="BI29" s="30">
        <v>4758</v>
      </c>
      <c r="BJ29" s="30">
        <v>5285</v>
      </c>
      <c r="BK29" s="30">
        <v>7902</v>
      </c>
      <c r="BL29" s="30">
        <v>0</v>
      </c>
      <c r="BM29" s="30">
        <v>9182</v>
      </c>
      <c r="BN29" s="30">
        <v>3</v>
      </c>
      <c r="BO29" s="30">
        <v>51</v>
      </c>
      <c r="BP29" s="30">
        <v>0</v>
      </c>
      <c r="BQ29" s="30">
        <v>54</v>
      </c>
      <c r="BR29" s="47">
        <v>51032</v>
      </c>
      <c r="BS29" s="47">
        <v>71695</v>
      </c>
      <c r="BT29" s="1">
        <f t="shared" si="11"/>
        <v>4.5339277809397327</v>
      </c>
      <c r="BU29" s="30">
        <v>83</v>
      </c>
      <c r="BV29" s="30">
        <v>0</v>
      </c>
      <c r="BW29" s="47">
        <v>1177</v>
      </c>
      <c r="BX29" s="52">
        <f t="shared" si="12"/>
        <v>7.4432429014102325E-2</v>
      </c>
      <c r="BY29" s="47">
        <v>82675</v>
      </c>
      <c r="BZ29" s="47">
        <v>0</v>
      </c>
      <c r="CA29" s="47">
        <v>134141</v>
      </c>
      <c r="CB29" s="47">
        <v>9477</v>
      </c>
      <c r="CC29" s="47">
        <v>226293</v>
      </c>
      <c r="CD29" s="55">
        <f t="shared" si="13"/>
        <v>14.310567254790362</v>
      </c>
      <c r="CE29" s="3">
        <f t="shared" si="14"/>
        <v>30172.400000000001</v>
      </c>
      <c r="CF29" s="55">
        <f t="shared" si="15"/>
        <v>80.047046338875134</v>
      </c>
      <c r="CG29" s="55">
        <f t="shared" si="16"/>
        <v>2.3738605012221092</v>
      </c>
      <c r="CH29" s="55">
        <f t="shared" si="17"/>
        <v>3.0241439430922656</v>
      </c>
      <c r="CI29" s="30">
        <v>231</v>
      </c>
      <c r="CJ29" s="30">
        <v>25</v>
      </c>
      <c r="CK29" s="30">
        <v>56</v>
      </c>
      <c r="CL29" s="30">
        <v>312</v>
      </c>
      <c r="CM29" s="30">
        <v>10618</v>
      </c>
      <c r="CN29" s="30">
        <v>323</v>
      </c>
      <c r="CO29" s="30">
        <v>1540</v>
      </c>
      <c r="CP29" s="30">
        <v>12481</v>
      </c>
      <c r="CQ29" s="1">
        <f t="shared" si="27"/>
        <v>0.78928729526339092</v>
      </c>
      <c r="CR29" s="47">
        <v>95327</v>
      </c>
      <c r="CS29" s="55">
        <f t="shared" si="18"/>
        <v>6.0283943590716502</v>
      </c>
      <c r="CT29" s="59">
        <v>19519</v>
      </c>
      <c r="CU29" s="29" t="s">
        <v>25</v>
      </c>
      <c r="CV29" s="29" t="s">
        <v>25</v>
      </c>
      <c r="CW29" s="29" t="s">
        <v>25</v>
      </c>
      <c r="CX29" s="35">
        <v>3</v>
      </c>
      <c r="CY29" s="49">
        <f t="shared" si="19"/>
        <v>5271</v>
      </c>
      <c r="CZ29" s="35">
        <v>0</v>
      </c>
      <c r="DA29" s="35">
        <v>4.5</v>
      </c>
      <c r="DB29" s="35">
        <v>7.5</v>
      </c>
      <c r="DC29" s="49">
        <f t="shared" si="20"/>
        <v>2108.4</v>
      </c>
      <c r="DD29" s="30">
        <v>683</v>
      </c>
      <c r="DE29" s="31">
        <v>48194</v>
      </c>
      <c r="DF29" s="35">
        <v>40</v>
      </c>
      <c r="DG29" s="29" t="s">
        <v>25</v>
      </c>
      <c r="DH29" s="29" t="s">
        <v>25</v>
      </c>
      <c r="DI29" s="29" t="s">
        <v>25</v>
      </c>
      <c r="DJ29" s="47">
        <v>9199</v>
      </c>
      <c r="DK29" s="47">
        <v>5929</v>
      </c>
      <c r="DL29" s="47">
        <v>44</v>
      </c>
      <c r="DM29" s="47">
        <v>23860</v>
      </c>
      <c r="DN29" s="47">
        <v>3820</v>
      </c>
      <c r="DO29" s="47">
        <v>5960</v>
      </c>
      <c r="DP29" s="29" t="s">
        <v>25</v>
      </c>
      <c r="DQ29" s="47">
        <v>65191</v>
      </c>
      <c r="DR29" s="47">
        <v>2827</v>
      </c>
      <c r="DS29" s="30">
        <v>52</v>
      </c>
      <c r="DT29" s="30">
        <v>57</v>
      </c>
      <c r="DU29" s="30">
        <v>57</v>
      </c>
      <c r="DV29" s="30">
        <v>57</v>
      </c>
      <c r="DX29" s="2">
        <f t="shared" si="21"/>
        <v>2827</v>
      </c>
      <c r="DY29" s="33" t="s">
        <v>2181</v>
      </c>
      <c r="DZ29" s="33" t="s">
        <v>114</v>
      </c>
      <c r="EA29" s="33" t="s">
        <v>2030</v>
      </c>
      <c r="EB29" s="33" t="s">
        <v>2027</v>
      </c>
      <c r="EC29" s="36">
        <v>21</v>
      </c>
      <c r="ED29" s="29" t="s">
        <v>113</v>
      </c>
      <c r="EE29" s="29" t="s">
        <v>91</v>
      </c>
      <c r="EF29" s="37">
        <v>41548</v>
      </c>
      <c r="EG29" s="37">
        <v>41912</v>
      </c>
      <c r="EH29" s="29" t="s">
        <v>113</v>
      </c>
      <c r="EI29" s="55">
        <f t="shared" si="22"/>
        <v>5.2282931765003475</v>
      </c>
      <c r="EJ29" s="54">
        <f t="shared" si="23"/>
        <v>0</v>
      </c>
      <c r="EK29" s="55">
        <f t="shared" si="24"/>
        <v>8.4829570606463029</v>
      </c>
      <c r="EL29" s="54">
        <f t="shared" si="25"/>
        <v>0.59931701764371093</v>
      </c>
    </row>
    <row r="30" spans="1:142" ht="28.8" x14ac:dyDescent="0.3">
      <c r="A30" s="29" t="s">
        <v>115</v>
      </c>
      <c r="B30" s="29"/>
      <c r="C30" s="30">
        <v>3262</v>
      </c>
      <c r="D30" s="30">
        <v>0</v>
      </c>
      <c r="E30" s="30">
        <v>0</v>
      </c>
      <c r="F30" s="30">
        <v>2690</v>
      </c>
      <c r="H30" s="2">
        <f t="shared" si="26"/>
        <v>2690</v>
      </c>
      <c r="I30" s="1">
        <f t="shared" si="0"/>
        <v>0.82464745554874308</v>
      </c>
      <c r="J30" s="31">
        <v>12108</v>
      </c>
      <c r="K30" s="31">
        <v>1842</v>
      </c>
      <c r="L30" s="31">
        <v>13950</v>
      </c>
      <c r="M30" s="45">
        <f t="shared" si="1"/>
        <v>4.2765174739423664</v>
      </c>
      <c r="N30" s="31">
        <v>720</v>
      </c>
      <c r="O30" s="31">
        <v>0</v>
      </c>
      <c r="P30" s="31">
        <v>0</v>
      </c>
      <c r="Q30" s="31">
        <v>720</v>
      </c>
      <c r="R30" s="45">
        <f t="shared" si="2"/>
        <v>0.22072348252605764</v>
      </c>
      <c r="S30" s="31">
        <v>932</v>
      </c>
      <c r="T30" s="31">
        <v>15602</v>
      </c>
      <c r="U30" s="31">
        <v>0</v>
      </c>
      <c r="V30" s="31">
        <v>15602</v>
      </c>
      <c r="W30" s="45">
        <f t="shared" si="3"/>
        <v>4.7829552421827097</v>
      </c>
      <c r="X30" s="4">
        <f t="shared" si="4"/>
        <v>0.89411613895654407</v>
      </c>
      <c r="Y30" s="4">
        <f t="shared" si="5"/>
        <v>4.6147929752595823E-2</v>
      </c>
      <c r="Z30" s="4">
        <f t="shared" si="6"/>
        <v>5.9735931290860148E-2</v>
      </c>
      <c r="AA30" s="4">
        <f t="shared" si="7"/>
        <v>0</v>
      </c>
      <c r="AB30" s="31">
        <v>0</v>
      </c>
      <c r="AC30" s="31">
        <v>720</v>
      </c>
      <c r="AD30" s="31">
        <v>15602</v>
      </c>
      <c r="AE30" s="31">
        <v>15104</v>
      </c>
      <c r="AF30" s="31">
        <v>448</v>
      </c>
      <c r="AG30" s="31">
        <v>14681</v>
      </c>
      <c r="AH30" s="31">
        <v>0</v>
      </c>
      <c r="AI30" s="31">
        <v>15129</v>
      </c>
      <c r="AJ30" s="45">
        <f t="shared" si="8"/>
        <v>4.6379521765787857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487</v>
      </c>
      <c r="AQ30" s="31">
        <v>487</v>
      </c>
      <c r="AR30" s="31">
        <v>15616</v>
      </c>
      <c r="AS30" s="46">
        <f t="shared" si="9"/>
        <v>4.7872470876762723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3" t="s">
        <v>26</v>
      </c>
      <c r="BD30" s="47">
        <v>16045</v>
      </c>
      <c r="BE30" s="47">
        <v>16105</v>
      </c>
      <c r="BF30" s="45">
        <f t="shared" si="10"/>
        <v>4.937155119558553</v>
      </c>
      <c r="BG30" s="30">
        <v>298</v>
      </c>
      <c r="BH30" s="30">
        <v>303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51</v>
      </c>
      <c r="BP30" s="30">
        <v>0</v>
      </c>
      <c r="BQ30" s="30">
        <v>51</v>
      </c>
      <c r="BR30" s="47">
        <v>16343</v>
      </c>
      <c r="BS30" s="47">
        <v>16408</v>
      </c>
      <c r="BT30" s="1">
        <f t="shared" si="11"/>
        <v>5.030042918454936</v>
      </c>
      <c r="BU30" s="30">
        <v>13</v>
      </c>
      <c r="BV30" s="30">
        <v>0</v>
      </c>
      <c r="BW30" s="47">
        <v>17</v>
      </c>
      <c r="BX30" s="52">
        <f t="shared" si="12"/>
        <v>5.2115266707541382E-3</v>
      </c>
      <c r="BY30" s="47">
        <v>1160</v>
      </c>
      <c r="BZ30" s="47">
        <v>0</v>
      </c>
      <c r="CA30" s="47">
        <v>700</v>
      </c>
      <c r="CB30" s="47">
        <v>0</v>
      </c>
      <c r="CC30" s="47">
        <v>1860</v>
      </c>
      <c r="CD30" s="55">
        <f t="shared" si="13"/>
        <v>0.57020232985898223</v>
      </c>
      <c r="CE30" s="3">
        <f t="shared" si="14"/>
        <v>3720</v>
      </c>
      <c r="CF30" s="55">
        <f t="shared" si="15"/>
        <v>1.9294605809128631</v>
      </c>
      <c r="CG30" s="55">
        <f t="shared" si="16"/>
        <v>1.3342898134863701</v>
      </c>
      <c r="CH30" s="55">
        <f t="shared" si="17"/>
        <v>0.11335933690882496</v>
      </c>
      <c r="CI30" s="30">
        <v>0</v>
      </c>
      <c r="CJ30" s="30">
        <v>0</v>
      </c>
      <c r="CK30" s="30">
        <v>0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1">
        <f t="shared" si="27"/>
        <v>0</v>
      </c>
      <c r="CR30" s="47">
        <v>1394</v>
      </c>
      <c r="CS30" s="55">
        <f t="shared" si="18"/>
        <v>0.42734518700183938</v>
      </c>
      <c r="CT30" s="59">
        <v>196</v>
      </c>
      <c r="CU30" s="29" t="s">
        <v>26</v>
      </c>
      <c r="CV30" s="29" t="s">
        <v>25</v>
      </c>
      <c r="CW30" s="29" t="s">
        <v>25</v>
      </c>
      <c r="CX30" s="35">
        <v>0</v>
      </c>
      <c r="CY30" s="49">
        <v>0</v>
      </c>
      <c r="CZ30" s="35">
        <v>0.5</v>
      </c>
      <c r="DA30" s="35">
        <v>0</v>
      </c>
      <c r="DB30" s="35">
        <v>0.5</v>
      </c>
      <c r="DC30" s="49">
        <f t="shared" si="20"/>
        <v>6524</v>
      </c>
      <c r="DD30" s="30">
        <v>0</v>
      </c>
      <c r="DE30" s="31">
        <v>11818</v>
      </c>
      <c r="DF30" s="35">
        <v>20</v>
      </c>
      <c r="DG30" s="29" t="s">
        <v>25</v>
      </c>
      <c r="DH30" s="29" t="s">
        <v>26</v>
      </c>
      <c r="DI30" s="29" t="s">
        <v>26</v>
      </c>
      <c r="DJ30" s="47">
        <v>0</v>
      </c>
      <c r="DK30" s="47">
        <v>0</v>
      </c>
      <c r="DL30" s="47">
        <v>2</v>
      </c>
      <c r="DM30" s="47">
        <v>342</v>
      </c>
      <c r="DN30" s="47">
        <v>1</v>
      </c>
      <c r="DO30" s="47">
        <v>0</v>
      </c>
      <c r="DP30" s="29" t="s">
        <v>83</v>
      </c>
      <c r="DQ30" s="47">
        <v>0</v>
      </c>
      <c r="DR30" s="47">
        <v>964</v>
      </c>
      <c r="DS30" s="30">
        <v>52</v>
      </c>
      <c r="DT30" s="30">
        <v>20</v>
      </c>
      <c r="DU30" s="30">
        <v>20</v>
      </c>
      <c r="DV30" s="30">
        <v>20</v>
      </c>
      <c r="DX30" s="2">
        <f t="shared" si="21"/>
        <v>964</v>
      </c>
      <c r="DY30" s="33" t="s">
        <v>2179</v>
      </c>
      <c r="DZ30" s="33" t="s">
        <v>119</v>
      </c>
      <c r="EA30" s="33" t="s">
        <v>2031</v>
      </c>
      <c r="EB30" s="33" t="s">
        <v>2026</v>
      </c>
      <c r="EC30" s="36">
        <v>22</v>
      </c>
      <c r="ED30" s="29" t="s">
        <v>116</v>
      </c>
      <c r="EE30" s="29" t="s">
        <v>117</v>
      </c>
      <c r="EF30" s="37">
        <v>41548</v>
      </c>
      <c r="EG30" s="37">
        <v>41912</v>
      </c>
      <c r="EH30" s="29" t="s">
        <v>116</v>
      </c>
      <c r="EI30" s="55">
        <f t="shared" si="22"/>
        <v>0.35561005518087063</v>
      </c>
      <c r="EJ30" s="54">
        <f t="shared" si="23"/>
        <v>0</v>
      </c>
      <c r="EK30" s="55">
        <f t="shared" si="24"/>
        <v>0.21459227467811159</v>
      </c>
      <c r="EL30" s="54">
        <f t="shared" si="25"/>
        <v>0</v>
      </c>
    </row>
    <row r="31" spans="1:142" ht="43.2" x14ac:dyDescent="0.3">
      <c r="A31" s="29" t="s">
        <v>1375</v>
      </c>
      <c r="B31" s="29"/>
      <c r="C31" s="30">
        <v>25024</v>
      </c>
      <c r="D31" s="30">
        <v>0</v>
      </c>
      <c r="E31" s="30">
        <v>0</v>
      </c>
      <c r="F31" s="30">
        <v>12500</v>
      </c>
      <c r="H31" s="2">
        <f t="shared" si="26"/>
        <v>12500</v>
      </c>
      <c r="I31" s="1">
        <f t="shared" si="0"/>
        <v>0.49952046035805625</v>
      </c>
      <c r="J31" s="31">
        <v>157885</v>
      </c>
      <c r="K31" s="31">
        <v>47561</v>
      </c>
      <c r="L31" s="31">
        <v>205446</v>
      </c>
      <c r="M31" s="45">
        <f t="shared" si="1"/>
        <v>8.209958439897699</v>
      </c>
      <c r="N31" s="31">
        <v>8967</v>
      </c>
      <c r="O31" s="31">
        <v>3174</v>
      </c>
      <c r="P31" s="31">
        <v>3532</v>
      </c>
      <c r="Q31" s="31">
        <v>15673</v>
      </c>
      <c r="R31" s="45">
        <f t="shared" si="2"/>
        <v>0.62631873401534521</v>
      </c>
      <c r="S31" s="31">
        <v>63709</v>
      </c>
      <c r="T31" s="31">
        <v>284828</v>
      </c>
      <c r="U31" s="31">
        <v>0</v>
      </c>
      <c r="V31" s="31">
        <v>284828</v>
      </c>
      <c r="W31" s="45">
        <f t="shared" si="3"/>
        <v>11.382193094629155</v>
      </c>
      <c r="X31" s="4">
        <f t="shared" si="4"/>
        <v>0.72129846784726226</v>
      </c>
      <c r="Y31" s="4">
        <f t="shared" si="5"/>
        <v>5.5026191245242745E-2</v>
      </c>
      <c r="Z31" s="4">
        <f t="shared" si="6"/>
        <v>0.22367534090749505</v>
      </c>
      <c r="AA31" s="4">
        <f t="shared" si="7"/>
        <v>0</v>
      </c>
      <c r="AB31" s="31">
        <v>0</v>
      </c>
      <c r="AC31" s="31">
        <v>15673</v>
      </c>
      <c r="AD31" s="31">
        <v>281065</v>
      </c>
      <c r="AE31" s="31">
        <v>281065</v>
      </c>
      <c r="AF31" s="31">
        <v>281065</v>
      </c>
      <c r="AG31" s="31">
        <v>0</v>
      </c>
      <c r="AH31" s="31">
        <v>0</v>
      </c>
      <c r="AI31" s="31">
        <v>281065</v>
      </c>
      <c r="AJ31" s="45">
        <f t="shared" si="8"/>
        <v>11.231817455242966</v>
      </c>
      <c r="AK31" s="31">
        <v>1250</v>
      </c>
      <c r="AL31" s="31">
        <v>0</v>
      </c>
      <c r="AM31" s="31">
        <v>0</v>
      </c>
      <c r="AN31" s="31">
        <v>0</v>
      </c>
      <c r="AO31" s="31">
        <v>0</v>
      </c>
      <c r="AP31" s="31">
        <v>12829</v>
      </c>
      <c r="AQ31" s="31">
        <v>12829</v>
      </c>
      <c r="AR31" s="31">
        <v>295144</v>
      </c>
      <c r="AS31" s="46">
        <f t="shared" si="9"/>
        <v>11.794437340153452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3" t="s">
        <v>25</v>
      </c>
      <c r="BD31" s="47">
        <v>25031</v>
      </c>
      <c r="BE31" s="47">
        <v>25535</v>
      </c>
      <c r="BF31" s="45">
        <f t="shared" si="10"/>
        <v>1.0204203964194374</v>
      </c>
      <c r="BG31" s="30">
        <v>1087</v>
      </c>
      <c r="BH31" s="30">
        <v>1101</v>
      </c>
      <c r="BI31" s="30">
        <v>1440</v>
      </c>
      <c r="BJ31" s="30">
        <v>2879</v>
      </c>
      <c r="BK31" s="30">
        <v>3035</v>
      </c>
      <c r="BL31" s="30">
        <v>24</v>
      </c>
      <c r="BM31" s="30">
        <v>9034</v>
      </c>
      <c r="BN31" s="30">
        <v>0</v>
      </c>
      <c r="BO31" s="30">
        <v>51</v>
      </c>
      <c r="BP31" s="30">
        <v>2</v>
      </c>
      <c r="BQ31" s="30">
        <v>53</v>
      </c>
      <c r="BR31" s="47">
        <v>28997</v>
      </c>
      <c r="BS31" s="47">
        <v>40169</v>
      </c>
      <c r="BT31" s="1">
        <f t="shared" si="11"/>
        <v>1.605218989769821</v>
      </c>
      <c r="BU31" s="30">
        <v>25</v>
      </c>
      <c r="BV31" s="30">
        <v>0</v>
      </c>
      <c r="BW31" s="47">
        <v>14908</v>
      </c>
      <c r="BX31" s="52">
        <f t="shared" si="12"/>
        <v>0.59574808184143224</v>
      </c>
      <c r="BY31" s="47">
        <v>22606</v>
      </c>
      <c r="BZ31" s="47">
        <v>94</v>
      </c>
      <c r="CA31" s="47">
        <v>24110</v>
      </c>
      <c r="CB31" s="47">
        <v>427</v>
      </c>
      <c r="CC31" s="47">
        <v>47237</v>
      </c>
      <c r="CD31" s="55">
        <f t="shared" si="13"/>
        <v>1.8876678388746804</v>
      </c>
      <c r="CE31" s="3">
        <f t="shared" si="14"/>
        <v>9127.9227053140094</v>
      </c>
      <c r="CF31" s="55">
        <f t="shared" si="15"/>
        <v>18.82702271821443</v>
      </c>
      <c r="CG31" s="55">
        <f t="shared" si="16"/>
        <v>0.59013055156474481</v>
      </c>
      <c r="CH31" s="55">
        <f t="shared" si="17"/>
        <v>1.1629863825337947</v>
      </c>
      <c r="CI31" s="30">
        <v>222</v>
      </c>
      <c r="CJ31" s="30">
        <v>29</v>
      </c>
      <c r="CK31" s="30">
        <v>101</v>
      </c>
      <c r="CL31" s="30">
        <v>352</v>
      </c>
      <c r="CM31" s="30">
        <v>15156</v>
      </c>
      <c r="CN31" s="30">
        <v>352</v>
      </c>
      <c r="CO31" s="30">
        <v>5097</v>
      </c>
      <c r="CP31" s="30">
        <v>20605</v>
      </c>
      <c r="CQ31" s="1">
        <f t="shared" si="27"/>
        <v>0.82340952685421998</v>
      </c>
      <c r="CR31" s="47">
        <v>80045</v>
      </c>
      <c r="CS31" s="55">
        <f t="shared" si="18"/>
        <v>3.1987292199488491</v>
      </c>
      <c r="CT31" s="59">
        <v>20466</v>
      </c>
      <c r="CU31" s="29" t="s">
        <v>25</v>
      </c>
      <c r="CV31" s="29" t="s">
        <v>25</v>
      </c>
      <c r="CW31" s="29" t="s">
        <v>25</v>
      </c>
      <c r="CX31" s="35">
        <v>1</v>
      </c>
      <c r="CY31" s="49">
        <f t="shared" si="19"/>
        <v>25024</v>
      </c>
      <c r="CZ31" s="35">
        <v>2</v>
      </c>
      <c r="DA31" s="35">
        <v>2.1749999999999998</v>
      </c>
      <c r="DB31" s="35">
        <v>5.1749999999999998</v>
      </c>
      <c r="DC31" s="49">
        <f t="shared" si="20"/>
        <v>4835.5555555555557</v>
      </c>
      <c r="DD31" s="30">
        <v>451</v>
      </c>
      <c r="DE31" s="31">
        <v>61928</v>
      </c>
      <c r="DF31" s="35">
        <v>40</v>
      </c>
      <c r="DG31" s="29" t="s">
        <v>25</v>
      </c>
      <c r="DH31" s="29" t="s">
        <v>25</v>
      </c>
      <c r="DI31" s="29" t="s">
        <v>25</v>
      </c>
      <c r="DJ31" s="47">
        <v>55</v>
      </c>
      <c r="DK31" s="47">
        <v>36</v>
      </c>
      <c r="DL31" s="47">
        <v>26</v>
      </c>
      <c r="DM31" s="47">
        <v>25612</v>
      </c>
      <c r="DN31" s="47">
        <v>4174</v>
      </c>
      <c r="DO31" s="47">
        <v>520</v>
      </c>
      <c r="DP31" s="29" t="s">
        <v>25</v>
      </c>
      <c r="DQ31" s="47">
        <v>5493</v>
      </c>
      <c r="DR31" s="47">
        <v>2509</v>
      </c>
      <c r="DS31" s="30">
        <v>52</v>
      </c>
      <c r="DT31" s="30">
        <v>49</v>
      </c>
      <c r="DU31" s="30">
        <v>49</v>
      </c>
      <c r="DV31" s="30">
        <v>49</v>
      </c>
      <c r="DX31" s="2">
        <f t="shared" si="21"/>
        <v>2509</v>
      </c>
      <c r="DY31" s="33" t="s">
        <v>2182</v>
      </c>
      <c r="DZ31" s="33" t="s">
        <v>1376</v>
      </c>
      <c r="EA31" s="33" t="s">
        <v>2030</v>
      </c>
      <c r="EB31" s="33" t="s">
        <v>2027</v>
      </c>
      <c r="EC31" s="36">
        <v>422</v>
      </c>
      <c r="ED31" s="29" t="s">
        <v>1374</v>
      </c>
      <c r="EE31" s="29" t="s">
        <v>269</v>
      </c>
      <c r="EF31" s="37">
        <v>41548</v>
      </c>
      <c r="EG31" s="37">
        <v>41912</v>
      </c>
      <c r="EH31" s="29" t="s">
        <v>1374</v>
      </c>
      <c r="EI31" s="55">
        <f t="shared" si="22"/>
        <v>0.90337276214833762</v>
      </c>
      <c r="EJ31" s="54">
        <f t="shared" si="23"/>
        <v>3.7563938618925831E-3</v>
      </c>
      <c r="EK31" s="55">
        <f t="shared" si="24"/>
        <v>0.96347506393861893</v>
      </c>
      <c r="EL31" s="54">
        <f t="shared" si="25"/>
        <v>1.7063618925831203E-2</v>
      </c>
    </row>
    <row r="32" spans="1:142" ht="28.8" x14ac:dyDescent="0.3">
      <c r="A32" s="29" t="s">
        <v>120</v>
      </c>
      <c r="B32" s="29"/>
      <c r="C32" s="30">
        <v>5365</v>
      </c>
      <c r="D32" s="30">
        <v>0</v>
      </c>
      <c r="E32" s="30">
        <v>0</v>
      </c>
      <c r="F32" s="30">
        <v>9000</v>
      </c>
      <c r="H32" s="2">
        <f t="shared" si="26"/>
        <v>9000</v>
      </c>
      <c r="I32" s="1">
        <f t="shared" si="0"/>
        <v>1.6775396085740912</v>
      </c>
      <c r="J32" s="31">
        <v>29303</v>
      </c>
      <c r="K32" s="31">
        <v>0</v>
      </c>
      <c r="L32" s="31">
        <v>29303</v>
      </c>
      <c r="M32" s="45">
        <f t="shared" si="1"/>
        <v>5.4618825722273998</v>
      </c>
      <c r="N32" s="31">
        <v>4487</v>
      </c>
      <c r="O32" s="31">
        <v>0</v>
      </c>
      <c r="P32" s="31">
        <v>1000</v>
      </c>
      <c r="Q32" s="31">
        <v>5487</v>
      </c>
      <c r="R32" s="45">
        <f t="shared" si="2"/>
        <v>1.022739981360671</v>
      </c>
      <c r="S32" s="31">
        <v>38281</v>
      </c>
      <c r="T32" s="31">
        <v>73071</v>
      </c>
      <c r="U32" s="31">
        <v>982</v>
      </c>
      <c r="V32" s="31">
        <v>74053</v>
      </c>
      <c r="W32" s="45">
        <f t="shared" si="3"/>
        <v>13.802982292637465</v>
      </c>
      <c r="X32" s="4">
        <f t="shared" si="4"/>
        <v>0.395703077525556</v>
      </c>
      <c r="Y32" s="4">
        <f t="shared" si="5"/>
        <v>7.4095580192564778E-2</v>
      </c>
      <c r="Z32" s="4">
        <f t="shared" si="6"/>
        <v>0.51694056959204893</v>
      </c>
      <c r="AA32" s="4">
        <f t="shared" si="7"/>
        <v>1.3260772689830256E-2</v>
      </c>
      <c r="AB32" s="31">
        <v>0</v>
      </c>
      <c r="AC32" s="31">
        <v>5487</v>
      </c>
      <c r="AD32" s="31">
        <v>69750</v>
      </c>
      <c r="AE32" s="31">
        <v>13000</v>
      </c>
      <c r="AF32" s="31">
        <v>10000</v>
      </c>
      <c r="AG32" s="31">
        <v>5000</v>
      </c>
      <c r="AH32" s="31">
        <v>0</v>
      </c>
      <c r="AI32" s="31">
        <v>15000</v>
      </c>
      <c r="AJ32" s="45">
        <f t="shared" si="8"/>
        <v>2.7958993476234855</v>
      </c>
      <c r="AK32" s="31">
        <v>0</v>
      </c>
      <c r="AL32" s="31">
        <v>0</v>
      </c>
      <c r="AM32" s="31">
        <v>0</v>
      </c>
      <c r="AN32" s="31">
        <v>0</v>
      </c>
      <c r="AO32" s="31">
        <v>4303</v>
      </c>
      <c r="AP32" s="31">
        <v>26800</v>
      </c>
      <c r="AQ32" s="31">
        <v>31103</v>
      </c>
      <c r="AR32" s="31">
        <v>46103</v>
      </c>
      <c r="AS32" s="46">
        <f t="shared" si="9"/>
        <v>8.5932898415657029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3" t="s">
        <v>25</v>
      </c>
      <c r="BD32" s="47">
        <v>14427</v>
      </c>
      <c r="BE32" s="47">
        <v>14602</v>
      </c>
      <c r="BF32" s="45">
        <f t="shared" si="10"/>
        <v>2.7217148182665425</v>
      </c>
      <c r="BG32" s="30">
        <v>490</v>
      </c>
      <c r="BH32" s="30">
        <v>500</v>
      </c>
      <c r="BI32" s="30">
        <v>0</v>
      </c>
      <c r="BJ32" s="30">
        <v>721</v>
      </c>
      <c r="BK32" s="30">
        <v>735</v>
      </c>
      <c r="BL32" s="30">
        <v>0</v>
      </c>
      <c r="BM32" s="30">
        <v>100</v>
      </c>
      <c r="BN32" s="30">
        <v>0</v>
      </c>
      <c r="BO32" s="30">
        <v>51</v>
      </c>
      <c r="BP32" s="30">
        <v>0</v>
      </c>
      <c r="BQ32" s="30">
        <v>51</v>
      </c>
      <c r="BR32" s="47">
        <v>15638</v>
      </c>
      <c r="BS32" s="47">
        <v>15937</v>
      </c>
      <c r="BT32" s="1">
        <f t="shared" si="11"/>
        <v>2.9705498602050326</v>
      </c>
      <c r="BU32" s="30">
        <v>0</v>
      </c>
      <c r="BV32" s="30">
        <v>0</v>
      </c>
      <c r="BW32" s="47">
        <v>2000</v>
      </c>
      <c r="BX32" s="52">
        <f t="shared" si="12"/>
        <v>0.37278657968313139</v>
      </c>
      <c r="BY32" s="47">
        <v>2189</v>
      </c>
      <c r="BZ32" s="47">
        <v>0</v>
      </c>
      <c r="CA32" s="47">
        <v>6717</v>
      </c>
      <c r="CB32" s="47">
        <v>0</v>
      </c>
      <c r="CC32" s="47">
        <v>8906</v>
      </c>
      <c r="CD32" s="55">
        <f t="shared" si="13"/>
        <v>1.6600186393289842</v>
      </c>
      <c r="CE32" s="3">
        <f t="shared" si="14"/>
        <v>6850.7692307692305</v>
      </c>
      <c r="CF32" s="55">
        <f t="shared" si="15"/>
        <v>4.6385416666666668</v>
      </c>
      <c r="CG32" s="55">
        <f t="shared" si="16"/>
        <v>1.3256921702887765</v>
      </c>
      <c r="CH32" s="55">
        <f t="shared" si="17"/>
        <v>0.55882537491372275</v>
      </c>
      <c r="CI32" s="30">
        <v>4</v>
      </c>
      <c r="CJ32" s="30">
        <v>1</v>
      </c>
      <c r="CK32" s="30">
        <v>1</v>
      </c>
      <c r="CL32" s="30">
        <v>6</v>
      </c>
      <c r="CM32" s="30">
        <v>300</v>
      </c>
      <c r="CN32" s="30">
        <v>10</v>
      </c>
      <c r="CO32" s="30">
        <v>50</v>
      </c>
      <c r="CP32" s="30">
        <v>360</v>
      </c>
      <c r="CQ32" s="1">
        <f t="shared" si="27"/>
        <v>6.7101584342963649E-2</v>
      </c>
      <c r="CR32" s="47">
        <v>6718</v>
      </c>
      <c r="CS32" s="55">
        <f t="shared" si="18"/>
        <v>1.2521901211556383</v>
      </c>
      <c r="CT32" s="59">
        <v>4332</v>
      </c>
      <c r="CU32" s="29" t="s">
        <v>25</v>
      </c>
      <c r="CV32" s="29" t="s">
        <v>25</v>
      </c>
      <c r="CW32" s="29" t="s">
        <v>25</v>
      </c>
      <c r="CX32" s="35">
        <v>0</v>
      </c>
      <c r="CY32" s="49">
        <v>0</v>
      </c>
      <c r="CZ32" s="35">
        <v>0.8</v>
      </c>
      <c r="DA32" s="35">
        <v>0.5</v>
      </c>
      <c r="DB32" s="35">
        <v>1.3</v>
      </c>
      <c r="DC32" s="49">
        <f t="shared" si="20"/>
        <v>4126.9230769230771</v>
      </c>
      <c r="DD32" s="30">
        <v>32</v>
      </c>
      <c r="DE32" s="31">
        <v>17102</v>
      </c>
      <c r="DF32" s="35">
        <v>32</v>
      </c>
      <c r="DG32" s="29" t="s">
        <v>25</v>
      </c>
      <c r="DH32" s="29" t="s">
        <v>25</v>
      </c>
      <c r="DI32" s="29" t="s">
        <v>25</v>
      </c>
      <c r="DJ32" s="47">
        <v>0</v>
      </c>
      <c r="DK32" s="47">
        <v>0</v>
      </c>
      <c r="DL32" s="47">
        <v>8</v>
      </c>
      <c r="DM32" s="47">
        <v>2146</v>
      </c>
      <c r="DN32" s="47">
        <v>3</v>
      </c>
      <c r="DO32" s="47">
        <v>250</v>
      </c>
      <c r="DP32" s="29" t="s">
        <v>25</v>
      </c>
      <c r="DQ32" s="47">
        <v>3300</v>
      </c>
      <c r="DR32" s="47">
        <v>1920</v>
      </c>
      <c r="DS32" s="30">
        <v>50</v>
      </c>
      <c r="DT32" s="30">
        <v>32</v>
      </c>
      <c r="DU32" s="30">
        <v>32</v>
      </c>
      <c r="DV32" s="30">
        <v>32</v>
      </c>
      <c r="DX32" s="2">
        <f t="shared" si="21"/>
        <v>1920</v>
      </c>
      <c r="DY32" s="33" t="s">
        <v>2179</v>
      </c>
      <c r="DZ32" s="33" t="s">
        <v>124</v>
      </c>
      <c r="EA32" s="33" t="s">
        <v>2032</v>
      </c>
      <c r="EB32" s="33" t="s">
        <v>2027</v>
      </c>
      <c r="EC32" s="36">
        <v>23</v>
      </c>
      <c r="ED32" s="29" t="s">
        <v>121</v>
      </c>
      <c r="EE32" s="29" t="s">
        <v>122</v>
      </c>
      <c r="EF32" s="37">
        <v>41640</v>
      </c>
      <c r="EG32" s="37">
        <v>42004</v>
      </c>
      <c r="EH32" s="29" t="s">
        <v>121</v>
      </c>
      <c r="EI32" s="55">
        <f t="shared" si="22"/>
        <v>0.4080149114631873</v>
      </c>
      <c r="EJ32" s="54">
        <f t="shared" si="23"/>
        <v>0</v>
      </c>
      <c r="EK32" s="55">
        <f t="shared" si="24"/>
        <v>1.2520037278657967</v>
      </c>
      <c r="EL32" s="54">
        <f t="shared" si="25"/>
        <v>0</v>
      </c>
    </row>
    <row r="33" spans="1:142" ht="28.8" x14ac:dyDescent="0.3">
      <c r="A33" s="29" t="s">
        <v>125</v>
      </c>
      <c r="B33" s="29"/>
      <c r="C33" s="30">
        <v>8328</v>
      </c>
      <c r="D33" s="30">
        <v>0</v>
      </c>
      <c r="E33" s="30">
        <v>0</v>
      </c>
      <c r="F33" s="30">
        <v>7750</v>
      </c>
      <c r="H33" s="2">
        <f t="shared" si="26"/>
        <v>7750</v>
      </c>
      <c r="I33" s="1">
        <f t="shared" si="0"/>
        <v>0.93059558117195007</v>
      </c>
      <c r="J33" s="31">
        <v>65311</v>
      </c>
      <c r="K33" s="31">
        <v>6584</v>
      </c>
      <c r="L33" s="31">
        <v>71895</v>
      </c>
      <c r="M33" s="45">
        <f t="shared" si="1"/>
        <v>8.6329250720461097</v>
      </c>
      <c r="N33" s="31">
        <v>9789</v>
      </c>
      <c r="O33" s="31">
        <v>3000</v>
      </c>
      <c r="P33" s="31">
        <v>0</v>
      </c>
      <c r="Q33" s="31">
        <v>12789</v>
      </c>
      <c r="R33" s="45">
        <f t="shared" si="2"/>
        <v>1.5356628242074928</v>
      </c>
      <c r="S33" s="31">
        <v>34782</v>
      </c>
      <c r="T33" s="31">
        <v>119466</v>
      </c>
      <c r="U33" s="31">
        <v>0</v>
      </c>
      <c r="V33" s="31">
        <v>119466</v>
      </c>
      <c r="W33" s="45">
        <f t="shared" si="3"/>
        <v>14.345100864553315</v>
      </c>
      <c r="X33" s="4">
        <f t="shared" si="4"/>
        <v>0.60180302345437198</v>
      </c>
      <c r="Y33" s="4">
        <f t="shared" si="5"/>
        <v>0.10705137863492542</v>
      </c>
      <c r="Z33" s="4">
        <f t="shared" si="6"/>
        <v>0.2911455979107026</v>
      </c>
      <c r="AA33" s="4">
        <f t="shared" si="7"/>
        <v>0</v>
      </c>
      <c r="AB33" s="31">
        <v>0</v>
      </c>
      <c r="AC33" s="31">
        <v>10934</v>
      </c>
      <c r="AD33" s="31">
        <v>117552</v>
      </c>
      <c r="AE33" s="31">
        <v>103064</v>
      </c>
      <c r="AF33" s="31">
        <v>0</v>
      </c>
      <c r="AG33" s="31">
        <v>103064</v>
      </c>
      <c r="AH33" s="31">
        <v>0</v>
      </c>
      <c r="AI33" s="31">
        <v>103064</v>
      </c>
      <c r="AJ33" s="45">
        <f t="shared" si="8"/>
        <v>12.375600384245917</v>
      </c>
      <c r="AK33" s="31">
        <v>0</v>
      </c>
      <c r="AL33" s="31">
        <v>0</v>
      </c>
      <c r="AM33" s="31">
        <v>0</v>
      </c>
      <c r="AN33" s="31">
        <v>0</v>
      </c>
      <c r="AO33" s="31">
        <v>10000</v>
      </c>
      <c r="AP33" s="31">
        <v>28752</v>
      </c>
      <c r="AQ33" s="31">
        <v>38752</v>
      </c>
      <c r="AR33" s="31">
        <v>141816</v>
      </c>
      <c r="AS33" s="46">
        <f t="shared" si="9"/>
        <v>17.028818443804035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3" t="s">
        <v>25</v>
      </c>
      <c r="BD33" s="47">
        <v>30069</v>
      </c>
      <c r="BE33" s="47">
        <v>30149</v>
      </c>
      <c r="BF33" s="45">
        <f t="shared" si="10"/>
        <v>3.6201969260326607</v>
      </c>
      <c r="BG33" s="30">
        <v>1045</v>
      </c>
      <c r="BH33" s="30">
        <v>1051</v>
      </c>
      <c r="BI33" s="30">
        <v>0</v>
      </c>
      <c r="BJ33" s="30">
        <v>2874</v>
      </c>
      <c r="BK33" s="30">
        <v>2881</v>
      </c>
      <c r="BL33" s="30">
        <v>0</v>
      </c>
      <c r="BM33" s="30">
        <v>35</v>
      </c>
      <c r="BN33" s="30">
        <v>0</v>
      </c>
      <c r="BO33" s="30">
        <v>0</v>
      </c>
      <c r="BP33" s="30">
        <v>0</v>
      </c>
      <c r="BQ33" s="30">
        <v>0</v>
      </c>
      <c r="BR33" s="47">
        <v>33988</v>
      </c>
      <c r="BS33" s="47">
        <v>34116</v>
      </c>
      <c r="BT33" s="1">
        <f t="shared" si="11"/>
        <v>4.0965417867435159</v>
      </c>
      <c r="BU33" s="30">
        <v>43</v>
      </c>
      <c r="BV33" s="30">
        <v>1</v>
      </c>
      <c r="BW33" s="47">
        <v>1560</v>
      </c>
      <c r="BX33" s="52">
        <f t="shared" si="12"/>
        <v>0.18731988472622479</v>
      </c>
      <c r="BY33" s="47">
        <v>3592</v>
      </c>
      <c r="BZ33" s="47">
        <v>0</v>
      </c>
      <c r="CA33" s="47">
        <v>28047</v>
      </c>
      <c r="CB33" s="47">
        <v>737</v>
      </c>
      <c r="CC33" s="47">
        <v>32376</v>
      </c>
      <c r="CD33" s="55">
        <f t="shared" si="13"/>
        <v>3.8876080691642652</v>
      </c>
      <c r="CE33" s="3">
        <f t="shared" si="14"/>
        <v>13777.021276595744</v>
      </c>
      <c r="CF33" s="55">
        <f t="shared" si="15"/>
        <v>14.15034965034965</v>
      </c>
      <c r="CG33" s="55">
        <f t="shared" si="16"/>
        <v>0.7667677150435771</v>
      </c>
      <c r="CH33" s="55">
        <f t="shared" si="17"/>
        <v>0.9273947707820378</v>
      </c>
      <c r="CI33" s="30">
        <v>58</v>
      </c>
      <c r="CJ33" s="30">
        <v>0</v>
      </c>
      <c r="CK33" s="30">
        <v>31</v>
      </c>
      <c r="CL33" s="30">
        <v>89</v>
      </c>
      <c r="CM33" s="30">
        <v>446</v>
      </c>
      <c r="CN33" s="30">
        <v>0</v>
      </c>
      <c r="CO33" s="30">
        <v>819</v>
      </c>
      <c r="CP33" s="30">
        <v>1265</v>
      </c>
      <c r="CQ33" s="1">
        <f t="shared" si="27"/>
        <v>0.15189721421709895</v>
      </c>
      <c r="CR33" s="47">
        <v>42224</v>
      </c>
      <c r="CS33" s="55">
        <f t="shared" si="18"/>
        <v>5.0701248799231511</v>
      </c>
      <c r="CT33" s="59">
        <v>7465</v>
      </c>
      <c r="CU33" s="29" t="s">
        <v>25</v>
      </c>
      <c r="CV33" s="29" t="s">
        <v>25</v>
      </c>
      <c r="CW33" s="29" t="s">
        <v>25</v>
      </c>
      <c r="CX33" s="35">
        <v>1</v>
      </c>
      <c r="CY33" s="49">
        <f t="shared" si="19"/>
        <v>8328</v>
      </c>
      <c r="CZ33" s="35">
        <v>1.1000000000000001</v>
      </c>
      <c r="DA33" s="35">
        <v>0.25</v>
      </c>
      <c r="DB33" s="35">
        <v>2.35</v>
      </c>
      <c r="DC33" s="49">
        <f t="shared" si="20"/>
        <v>3543.8297872340422</v>
      </c>
      <c r="DD33" s="30">
        <v>1076</v>
      </c>
      <c r="DE33" s="31">
        <v>37000</v>
      </c>
      <c r="DF33" s="35">
        <v>40</v>
      </c>
      <c r="DG33" s="29" t="s">
        <v>25</v>
      </c>
      <c r="DH33" s="29" t="s">
        <v>25</v>
      </c>
      <c r="DI33" s="29" t="s">
        <v>25</v>
      </c>
      <c r="DJ33" s="47">
        <v>10</v>
      </c>
      <c r="DK33" s="47">
        <v>0</v>
      </c>
      <c r="DL33" s="47">
        <v>13</v>
      </c>
      <c r="DM33" s="47">
        <v>14186</v>
      </c>
      <c r="DN33" s="47">
        <v>780</v>
      </c>
      <c r="DO33" s="47">
        <v>3428</v>
      </c>
      <c r="DP33" s="29" t="s">
        <v>25</v>
      </c>
      <c r="DQ33" s="47">
        <v>4991</v>
      </c>
      <c r="DR33" s="47">
        <v>2288</v>
      </c>
      <c r="DS33" s="30">
        <v>52</v>
      </c>
      <c r="DT33" s="30">
        <v>44</v>
      </c>
      <c r="DU33" s="30">
        <v>44</v>
      </c>
      <c r="DV33" s="30">
        <v>44</v>
      </c>
      <c r="DX33" s="2">
        <f t="shared" si="21"/>
        <v>2288</v>
      </c>
      <c r="DY33" s="33" t="s">
        <v>2187</v>
      </c>
      <c r="DZ33" s="33" t="s">
        <v>127</v>
      </c>
      <c r="EA33" s="33" t="s">
        <v>2032</v>
      </c>
      <c r="EB33" s="33" t="s">
        <v>2027</v>
      </c>
      <c r="EC33" s="36">
        <v>24</v>
      </c>
      <c r="ED33" s="29" t="s">
        <v>126</v>
      </c>
      <c r="EE33" s="29" t="s">
        <v>125</v>
      </c>
      <c r="EF33" s="37">
        <v>41548</v>
      </c>
      <c r="EG33" s="37">
        <v>41912</v>
      </c>
      <c r="EH33" s="29" t="s">
        <v>126</v>
      </c>
      <c r="EI33" s="55">
        <f t="shared" si="22"/>
        <v>0.43131604226705089</v>
      </c>
      <c r="EJ33" s="54">
        <f t="shared" si="23"/>
        <v>0</v>
      </c>
      <c r="EK33" s="55">
        <f t="shared" si="24"/>
        <v>3.3677953890489913</v>
      </c>
      <c r="EL33" s="54">
        <f t="shared" si="25"/>
        <v>8.8496637848222856E-2</v>
      </c>
    </row>
    <row r="34" spans="1:142" ht="28.8" x14ac:dyDescent="0.3">
      <c r="A34" s="29" t="s">
        <v>129</v>
      </c>
      <c r="B34" s="29"/>
      <c r="C34" s="30">
        <v>30229</v>
      </c>
      <c r="D34" s="30">
        <v>0</v>
      </c>
      <c r="E34" s="30">
        <v>0</v>
      </c>
      <c r="F34" s="30">
        <v>19000</v>
      </c>
      <c r="H34" s="2">
        <f t="shared" si="26"/>
        <v>19000</v>
      </c>
      <c r="I34" s="1">
        <f t="shared" si="0"/>
        <v>0.62853551225644244</v>
      </c>
      <c r="J34" s="31">
        <v>363474</v>
      </c>
      <c r="K34" s="31">
        <v>118470</v>
      </c>
      <c r="L34" s="31">
        <v>481944</v>
      </c>
      <c r="M34" s="45">
        <f t="shared" si="1"/>
        <v>15.943100995732575</v>
      </c>
      <c r="N34" s="31">
        <v>34286</v>
      </c>
      <c r="O34" s="31">
        <v>3300</v>
      </c>
      <c r="P34" s="31">
        <v>8286</v>
      </c>
      <c r="Q34" s="31">
        <v>45872</v>
      </c>
      <c r="R34" s="45">
        <f t="shared" si="2"/>
        <v>1.5174832114856596</v>
      </c>
      <c r="S34" s="31">
        <v>125641</v>
      </c>
      <c r="T34" s="31">
        <v>653457</v>
      </c>
      <c r="U34" s="31">
        <v>0</v>
      </c>
      <c r="V34" s="31">
        <v>653457</v>
      </c>
      <c r="W34" s="45">
        <f t="shared" si="3"/>
        <v>21.616891064871481</v>
      </c>
      <c r="X34" s="4">
        <f t="shared" si="4"/>
        <v>0.73752978390314894</v>
      </c>
      <c r="Y34" s="4">
        <f t="shared" si="5"/>
        <v>7.0198957238196233E-2</v>
      </c>
      <c r="Z34" s="4">
        <f t="shared" si="6"/>
        <v>0.19227125885865481</v>
      </c>
      <c r="AA34" s="4">
        <f t="shared" si="7"/>
        <v>0</v>
      </c>
      <c r="AB34" s="31">
        <v>0</v>
      </c>
      <c r="AC34" s="31">
        <v>40602</v>
      </c>
      <c r="AD34" s="31">
        <v>636207</v>
      </c>
      <c r="AE34" s="31">
        <v>618072</v>
      </c>
      <c r="AF34" s="31">
        <v>616164</v>
      </c>
      <c r="AG34" s="31">
        <v>8500</v>
      </c>
      <c r="AH34" s="31">
        <v>0</v>
      </c>
      <c r="AI34" s="31">
        <v>624664</v>
      </c>
      <c r="AJ34" s="45">
        <f t="shared" si="8"/>
        <v>20.664395117271493</v>
      </c>
      <c r="AK34" s="31">
        <v>0</v>
      </c>
      <c r="AL34" s="31">
        <v>0</v>
      </c>
      <c r="AM34" s="31">
        <v>0</v>
      </c>
      <c r="AN34" s="31">
        <v>0</v>
      </c>
      <c r="AO34" s="31">
        <v>17250</v>
      </c>
      <c r="AP34" s="31">
        <v>17127</v>
      </c>
      <c r="AQ34" s="31">
        <v>34377</v>
      </c>
      <c r="AR34" s="31">
        <v>659041</v>
      </c>
      <c r="AS34" s="46">
        <f t="shared" si="9"/>
        <v>21.801614343842004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3" t="s">
        <v>25</v>
      </c>
      <c r="BD34" s="47">
        <v>41425</v>
      </c>
      <c r="BE34" s="47">
        <v>45417</v>
      </c>
      <c r="BF34" s="45">
        <f t="shared" si="10"/>
        <v>1.5024314400079395</v>
      </c>
      <c r="BG34" s="30">
        <v>2738</v>
      </c>
      <c r="BH34" s="30">
        <v>2816</v>
      </c>
      <c r="BI34" s="30">
        <v>4700</v>
      </c>
      <c r="BJ34" s="30">
        <v>3031</v>
      </c>
      <c r="BK34" s="30">
        <v>3217</v>
      </c>
      <c r="BL34" s="30">
        <v>0</v>
      </c>
      <c r="BM34" s="30">
        <v>7323</v>
      </c>
      <c r="BN34" s="30">
        <v>0</v>
      </c>
      <c r="BO34" s="30">
        <v>51</v>
      </c>
      <c r="BP34" s="30">
        <v>0</v>
      </c>
      <c r="BQ34" s="30">
        <v>51</v>
      </c>
      <c r="BR34" s="47">
        <v>47194</v>
      </c>
      <c r="BS34" s="47">
        <v>63473</v>
      </c>
      <c r="BT34" s="1">
        <f t="shared" si="11"/>
        <v>2.099738661550167</v>
      </c>
      <c r="BU34" s="30">
        <v>87</v>
      </c>
      <c r="BV34" s="30">
        <v>0</v>
      </c>
      <c r="BW34" s="47">
        <v>21508</v>
      </c>
      <c r="BX34" s="52">
        <f t="shared" si="12"/>
        <v>0.71150219987429286</v>
      </c>
      <c r="BY34" s="47">
        <v>55031</v>
      </c>
      <c r="BZ34" s="47">
        <v>498</v>
      </c>
      <c r="CA34" s="47">
        <v>107837</v>
      </c>
      <c r="CB34" s="47">
        <v>7000</v>
      </c>
      <c r="CC34" s="47">
        <v>170366</v>
      </c>
      <c r="CD34" s="55">
        <f t="shared" si="13"/>
        <v>5.6358463726884782</v>
      </c>
      <c r="CE34" s="3">
        <f t="shared" si="14"/>
        <v>17384.285714285714</v>
      </c>
      <c r="CF34" s="55">
        <f t="shared" si="15"/>
        <v>74.201219512195124</v>
      </c>
      <c r="CG34" s="55">
        <f t="shared" si="16"/>
        <v>1.6256607950533408</v>
      </c>
      <c r="CH34" s="55">
        <f t="shared" si="17"/>
        <v>2.5659414239125296</v>
      </c>
      <c r="CI34" s="30">
        <v>227</v>
      </c>
      <c r="CJ34" s="30">
        <v>51</v>
      </c>
      <c r="CK34" s="30">
        <v>15</v>
      </c>
      <c r="CL34" s="30">
        <v>293</v>
      </c>
      <c r="CM34" s="30">
        <v>8047</v>
      </c>
      <c r="CN34" s="30">
        <v>703</v>
      </c>
      <c r="CO34" s="30">
        <v>280</v>
      </c>
      <c r="CP34" s="30">
        <v>9030</v>
      </c>
      <c r="CQ34" s="1">
        <f t="shared" si="27"/>
        <v>0.29871977240398295</v>
      </c>
      <c r="CR34" s="47">
        <v>104798</v>
      </c>
      <c r="CS34" s="55">
        <f t="shared" si="18"/>
        <v>3.4668034007079296</v>
      </c>
      <c r="CT34" s="59">
        <v>12249</v>
      </c>
      <c r="CU34" s="29" t="s">
        <v>25</v>
      </c>
      <c r="CV34" s="29" t="s">
        <v>25</v>
      </c>
      <c r="CW34" s="29" t="s">
        <v>25</v>
      </c>
      <c r="CX34" s="35">
        <v>2</v>
      </c>
      <c r="CY34" s="49">
        <f t="shared" si="19"/>
        <v>15114.5</v>
      </c>
      <c r="CZ34" s="35">
        <v>1</v>
      </c>
      <c r="DA34" s="35">
        <v>6.8</v>
      </c>
      <c r="DB34" s="35">
        <v>9.8000000000000007</v>
      </c>
      <c r="DC34" s="49">
        <f t="shared" si="20"/>
        <v>3084.5918367346935</v>
      </c>
      <c r="DD34" s="30">
        <v>3351</v>
      </c>
      <c r="DE34" s="31">
        <v>77875</v>
      </c>
      <c r="DF34" s="35">
        <v>40</v>
      </c>
      <c r="DG34" s="29" t="s">
        <v>25</v>
      </c>
      <c r="DH34" s="29" t="s">
        <v>25</v>
      </c>
      <c r="DI34" s="29" t="s">
        <v>25</v>
      </c>
      <c r="DJ34" s="47">
        <v>186</v>
      </c>
      <c r="DK34" s="47">
        <v>27</v>
      </c>
      <c r="DL34" s="47">
        <v>31</v>
      </c>
      <c r="DM34" s="47">
        <v>39191</v>
      </c>
      <c r="DN34" s="47">
        <v>3600</v>
      </c>
      <c r="DO34" s="47">
        <v>13563</v>
      </c>
      <c r="DP34" s="29" t="s">
        <v>25</v>
      </c>
      <c r="DQ34" s="47">
        <v>28438</v>
      </c>
      <c r="DR34" s="47">
        <v>2296</v>
      </c>
      <c r="DS34" s="30">
        <v>52</v>
      </c>
      <c r="DT34" s="30">
        <v>46</v>
      </c>
      <c r="DU34" s="30">
        <v>46</v>
      </c>
      <c r="DV34" s="30">
        <v>46</v>
      </c>
      <c r="DX34" s="2">
        <f t="shared" si="21"/>
        <v>2296</v>
      </c>
      <c r="DY34" s="33" t="s">
        <v>2186</v>
      </c>
      <c r="DZ34" s="33" t="s">
        <v>132</v>
      </c>
      <c r="EA34" s="33" t="s">
        <v>2030</v>
      </c>
      <c r="EB34" s="33" t="s">
        <v>2027</v>
      </c>
      <c r="EC34" s="36">
        <v>27</v>
      </c>
      <c r="ED34" s="29" t="s">
        <v>130</v>
      </c>
      <c r="EE34" s="29" t="s">
        <v>129</v>
      </c>
      <c r="EF34" s="37">
        <v>41548</v>
      </c>
      <c r="EG34" s="37">
        <v>41912</v>
      </c>
      <c r="EH34" s="29" t="s">
        <v>130</v>
      </c>
      <c r="EI34" s="55">
        <f t="shared" si="22"/>
        <v>1.8204704092096993</v>
      </c>
      <c r="EJ34" s="54">
        <f t="shared" si="23"/>
        <v>1.6474246584405702E-2</v>
      </c>
      <c r="EK34" s="55">
        <f t="shared" si="24"/>
        <v>3.5673360018525258</v>
      </c>
      <c r="EL34" s="54">
        <f t="shared" si="25"/>
        <v>0.23156571504184723</v>
      </c>
    </row>
    <row r="35" spans="1:142" ht="28.8" x14ac:dyDescent="0.3">
      <c r="A35" s="29" t="s">
        <v>135</v>
      </c>
      <c r="B35" s="29"/>
      <c r="C35" s="30">
        <v>26321</v>
      </c>
      <c r="D35" s="30">
        <v>1</v>
      </c>
      <c r="E35" s="30">
        <v>0</v>
      </c>
      <c r="F35" s="30">
        <v>10000</v>
      </c>
      <c r="G35">
        <v>500</v>
      </c>
      <c r="H35" s="2">
        <f t="shared" si="26"/>
        <v>10500</v>
      </c>
      <c r="I35" s="1">
        <f t="shared" si="0"/>
        <v>0.39892101363929944</v>
      </c>
      <c r="J35" s="31">
        <v>172581</v>
      </c>
      <c r="K35" s="31">
        <v>61492</v>
      </c>
      <c r="L35" s="31">
        <v>234073</v>
      </c>
      <c r="M35" s="45">
        <f t="shared" si="1"/>
        <v>8.893013183389689</v>
      </c>
      <c r="N35" s="31">
        <v>37571</v>
      </c>
      <c r="O35" s="31">
        <v>9131</v>
      </c>
      <c r="P35" s="31">
        <v>6826</v>
      </c>
      <c r="Q35" s="31">
        <v>53528</v>
      </c>
      <c r="R35" s="45">
        <f t="shared" si="2"/>
        <v>2.0336613350556592</v>
      </c>
      <c r="S35" s="31">
        <v>138873</v>
      </c>
      <c r="T35" s="31">
        <v>426474</v>
      </c>
      <c r="U35" s="31">
        <v>0</v>
      </c>
      <c r="V35" s="31">
        <v>426474</v>
      </c>
      <c r="W35" s="45">
        <f t="shared" si="3"/>
        <v>16.202803844838723</v>
      </c>
      <c r="X35" s="4">
        <f t="shared" si="4"/>
        <v>0.54885643673471307</v>
      </c>
      <c r="Y35" s="4">
        <f t="shared" si="5"/>
        <v>0.1255129269310673</v>
      </c>
      <c r="Z35" s="4">
        <f t="shared" si="6"/>
        <v>0.32563063633421968</v>
      </c>
      <c r="AA35" s="4">
        <f t="shared" si="7"/>
        <v>0</v>
      </c>
      <c r="AB35" s="31">
        <v>0</v>
      </c>
      <c r="AC35" s="31">
        <v>53528</v>
      </c>
      <c r="AD35" s="31">
        <v>426473</v>
      </c>
      <c r="AE35" s="31">
        <v>331480</v>
      </c>
      <c r="AF35" s="31">
        <v>131480</v>
      </c>
      <c r="AG35" s="31">
        <v>200000</v>
      </c>
      <c r="AH35" s="31">
        <v>0</v>
      </c>
      <c r="AI35" s="31">
        <v>331480</v>
      </c>
      <c r="AJ35" s="45">
        <f t="shared" si="8"/>
        <v>12.593746438205235</v>
      </c>
      <c r="AK35" s="31">
        <v>0</v>
      </c>
      <c r="AL35" s="31">
        <v>0</v>
      </c>
      <c r="AM35" s="31">
        <v>0</v>
      </c>
      <c r="AN35" s="31">
        <v>0</v>
      </c>
      <c r="AO35" s="31">
        <v>4095</v>
      </c>
      <c r="AP35" s="31">
        <v>89218</v>
      </c>
      <c r="AQ35" s="31">
        <v>93313</v>
      </c>
      <c r="AR35" s="31">
        <v>424793</v>
      </c>
      <c r="AS35" s="46">
        <f t="shared" si="9"/>
        <v>16.138938490178944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3" t="s">
        <v>25</v>
      </c>
      <c r="BD35" s="47">
        <v>42468</v>
      </c>
      <c r="BE35" s="47">
        <v>56054</v>
      </c>
      <c r="BF35" s="45">
        <f t="shared" si="10"/>
        <v>2.1296303331940276</v>
      </c>
      <c r="BG35" s="30">
        <v>1024</v>
      </c>
      <c r="BH35" s="30">
        <v>1074</v>
      </c>
      <c r="BI35" s="30">
        <v>0</v>
      </c>
      <c r="BJ35" s="30">
        <v>3350</v>
      </c>
      <c r="BK35" s="30">
        <v>4218</v>
      </c>
      <c r="BL35" s="30">
        <v>0</v>
      </c>
      <c r="BM35" s="30">
        <v>1254</v>
      </c>
      <c r="BN35" s="30">
        <v>2</v>
      </c>
      <c r="BO35" s="30">
        <v>51</v>
      </c>
      <c r="BP35" s="30">
        <v>1</v>
      </c>
      <c r="BQ35" s="30">
        <v>54</v>
      </c>
      <c r="BR35" s="47">
        <v>46842</v>
      </c>
      <c r="BS35" s="47">
        <v>62602</v>
      </c>
      <c r="BT35" s="1">
        <f t="shared" si="11"/>
        <v>2.3784050757949924</v>
      </c>
      <c r="BU35" s="30">
        <v>60</v>
      </c>
      <c r="BV35" s="30">
        <v>0</v>
      </c>
      <c r="BW35" s="47">
        <v>2828</v>
      </c>
      <c r="BX35" s="52">
        <f t="shared" si="12"/>
        <v>0.10744272634018465</v>
      </c>
      <c r="BY35" s="47">
        <v>32629</v>
      </c>
      <c r="BZ35" s="47">
        <v>577</v>
      </c>
      <c r="CA35" s="47">
        <v>36552</v>
      </c>
      <c r="CB35" s="47">
        <v>3034</v>
      </c>
      <c r="CC35" s="47">
        <v>72792</v>
      </c>
      <c r="CD35" s="55">
        <f t="shared" si="13"/>
        <v>2.7655484214125603</v>
      </c>
      <c r="CE35" s="3">
        <f t="shared" si="14"/>
        <v>12132</v>
      </c>
      <c r="CF35" s="55">
        <f t="shared" si="15"/>
        <v>25.748850371418463</v>
      </c>
      <c r="CG35" s="55">
        <f t="shared" si="16"/>
        <v>1.0186683086568333</v>
      </c>
      <c r="CH35" s="55">
        <f t="shared" si="17"/>
        <v>1.1050924890578575</v>
      </c>
      <c r="CI35" s="30">
        <v>101</v>
      </c>
      <c r="CJ35" s="30">
        <v>48</v>
      </c>
      <c r="CK35" s="30">
        <v>17</v>
      </c>
      <c r="CL35" s="30">
        <v>166</v>
      </c>
      <c r="CM35" s="30">
        <v>1316</v>
      </c>
      <c r="CN35" s="30">
        <v>208</v>
      </c>
      <c r="CO35" s="30">
        <v>78</v>
      </c>
      <c r="CP35" s="30">
        <v>1602</v>
      </c>
      <c r="CQ35" s="1">
        <f t="shared" si="27"/>
        <v>6.0863948938110257E-2</v>
      </c>
      <c r="CR35" s="47">
        <v>71458</v>
      </c>
      <c r="CS35" s="55">
        <f t="shared" si="18"/>
        <v>2.7148664564416247</v>
      </c>
      <c r="CT35" s="59">
        <v>11845</v>
      </c>
      <c r="CU35" s="29" t="s">
        <v>25</v>
      </c>
      <c r="CV35" s="29" t="s">
        <v>25</v>
      </c>
      <c r="CW35" s="29" t="s">
        <v>25</v>
      </c>
      <c r="CX35" s="35">
        <v>0</v>
      </c>
      <c r="CY35" s="49">
        <v>0</v>
      </c>
      <c r="CZ35" s="35">
        <v>1</v>
      </c>
      <c r="DA35" s="35">
        <v>5</v>
      </c>
      <c r="DB35" s="35">
        <v>6</v>
      </c>
      <c r="DC35" s="49">
        <f t="shared" si="20"/>
        <v>4386.833333333333</v>
      </c>
      <c r="DD35" s="30">
        <v>1147</v>
      </c>
      <c r="DE35" s="31">
        <v>48000</v>
      </c>
      <c r="DF35" s="35">
        <v>40</v>
      </c>
      <c r="DG35" s="29" t="s">
        <v>25</v>
      </c>
      <c r="DH35" s="29" t="s">
        <v>25</v>
      </c>
      <c r="DI35" s="29" t="s">
        <v>25</v>
      </c>
      <c r="DJ35" s="47">
        <v>27</v>
      </c>
      <c r="DK35" s="47">
        <v>33</v>
      </c>
      <c r="DL35" s="47">
        <v>13</v>
      </c>
      <c r="DM35" s="47">
        <v>6193</v>
      </c>
      <c r="DN35" s="47">
        <v>53</v>
      </c>
      <c r="DO35" s="47">
        <v>1768</v>
      </c>
      <c r="DP35" s="29" t="s">
        <v>25</v>
      </c>
      <c r="DQ35" s="47">
        <v>9320</v>
      </c>
      <c r="DR35" s="47">
        <v>1931</v>
      </c>
      <c r="DS35" s="30">
        <v>50</v>
      </c>
      <c r="DT35" s="30">
        <v>42</v>
      </c>
      <c r="DU35" s="30">
        <v>40</v>
      </c>
      <c r="DV35" s="30">
        <v>40</v>
      </c>
      <c r="DW35">
        <f>VLOOKUP(EC35,branch!$I$4:$K$77,3,0)</f>
        <v>896</v>
      </c>
      <c r="DX35" s="2">
        <f t="shared" si="21"/>
        <v>2827</v>
      </c>
      <c r="DY35" s="33" t="s">
        <v>2185</v>
      </c>
      <c r="DZ35" s="33" t="s">
        <v>137</v>
      </c>
      <c r="EA35" s="33" t="s">
        <v>2030</v>
      </c>
      <c r="EB35" s="33" t="s">
        <v>2027</v>
      </c>
      <c r="EC35" s="36">
        <v>28</v>
      </c>
      <c r="ED35" s="29" t="s">
        <v>133</v>
      </c>
      <c r="EE35" s="29" t="s">
        <v>134</v>
      </c>
      <c r="EF35" s="37">
        <v>41548</v>
      </c>
      <c r="EG35" s="37">
        <v>41912</v>
      </c>
      <c r="EH35" s="29" t="s">
        <v>133</v>
      </c>
      <c r="EI35" s="55">
        <f t="shared" si="22"/>
        <v>1.2396565480034953</v>
      </c>
      <c r="EJ35" s="54">
        <f t="shared" si="23"/>
        <v>2.1921659511416738E-2</v>
      </c>
      <c r="EK35" s="55">
        <f t="shared" si="24"/>
        <v>1.3887010371946356</v>
      </c>
      <c r="EL35" s="54">
        <f t="shared" si="25"/>
        <v>0.1152691767030128</v>
      </c>
    </row>
    <row r="36" spans="1:142" ht="28.8" x14ac:dyDescent="0.3">
      <c r="A36" s="29" t="s">
        <v>138</v>
      </c>
      <c r="B36" s="29"/>
      <c r="C36" s="30">
        <v>75418</v>
      </c>
      <c r="D36" s="30">
        <v>0</v>
      </c>
      <c r="E36" s="30">
        <v>0</v>
      </c>
      <c r="F36" s="30">
        <v>50050</v>
      </c>
      <c r="H36" s="2">
        <f t="shared" si="26"/>
        <v>50050</v>
      </c>
      <c r="I36" s="1">
        <f t="shared" si="0"/>
        <v>0.6636346760720252</v>
      </c>
      <c r="J36" s="31">
        <v>1370288</v>
      </c>
      <c r="K36" s="31">
        <v>557178</v>
      </c>
      <c r="L36" s="31">
        <v>1927466</v>
      </c>
      <c r="M36" s="45">
        <f t="shared" si="1"/>
        <v>25.557108382614231</v>
      </c>
      <c r="N36" s="31">
        <v>183586</v>
      </c>
      <c r="O36" s="31">
        <v>82076</v>
      </c>
      <c r="P36" s="31">
        <v>24496</v>
      </c>
      <c r="Q36" s="31">
        <v>290158</v>
      </c>
      <c r="R36" s="45">
        <f t="shared" si="2"/>
        <v>3.8473308759182157</v>
      </c>
      <c r="S36" s="31">
        <v>380568</v>
      </c>
      <c r="T36" s="31">
        <v>2598192</v>
      </c>
      <c r="U36" s="31">
        <v>0</v>
      </c>
      <c r="V36" s="31">
        <v>2598192</v>
      </c>
      <c r="W36" s="45">
        <f t="shared" si="3"/>
        <v>34.450555570288259</v>
      </c>
      <c r="X36" s="4">
        <f t="shared" si="4"/>
        <v>0.74184894726794637</v>
      </c>
      <c r="Y36" s="4">
        <f t="shared" si="5"/>
        <v>0.11167688915984654</v>
      </c>
      <c r="Z36" s="4">
        <f t="shared" si="6"/>
        <v>0.14647416357220713</v>
      </c>
      <c r="AA36" s="4">
        <f t="shared" si="7"/>
        <v>0</v>
      </c>
      <c r="AB36" s="31">
        <v>0</v>
      </c>
      <c r="AC36" s="31">
        <v>290158</v>
      </c>
      <c r="AD36" s="31">
        <v>2583306</v>
      </c>
      <c r="AE36" s="31">
        <v>2533679</v>
      </c>
      <c r="AF36" s="31">
        <v>2533679</v>
      </c>
      <c r="AG36" s="31">
        <v>0</v>
      </c>
      <c r="AH36" s="31">
        <v>0</v>
      </c>
      <c r="AI36" s="31">
        <v>2533679</v>
      </c>
      <c r="AJ36" s="45">
        <f t="shared" si="8"/>
        <v>33.595149699010847</v>
      </c>
      <c r="AK36" s="31">
        <v>0</v>
      </c>
      <c r="AL36" s="31">
        <v>0</v>
      </c>
      <c r="AM36" s="31">
        <v>0</v>
      </c>
      <c r="AN36" s="31">
        <v>0</v>
      </c>
      <c r="AO36" s="31">
        <v>15500</v>
      </c>
      <c r="AP36" s="31">
        <v>30957</v>
      </c>
      <c r="AQ36" s="31">
        <v>46457</v>
      </c>
      <c r="AR36" s="31">
        <v>2580136</v>
      </c>
      <c r="AS36" s="46">
        <f t="shared" si="9"/>
        <v>34.21114322840701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3" t="s">
        <v>25</v>
      </c>
      <c r="BD36" s="47">
        <v>95081</v>
      </c>
      <c r="BE36" s="47">
        <v>115698</v>
      </c>
      <c r="BF36" s="45">
        <f t="shared" si="10"/>
        <v>1.5340900050385851</v>
      </c>
      <c r="BG36" s="30">
        <v>4314</v>
      </c>
      <c r="BH36" s="30">
        <v>4596</v>
      </c>
      <c r="BI36" s="30">
        <v>11011</v>
      </c>
      <c r="BJ36" s="30">
        <v>4675</v>
      </c>
      <c r="BK36" s="30">
        <v>7064</v>
      </c>
      <c r="BL36" s="30">
        <v>446</v>
      </c>
      <c r="BM36" s="30">
        <v>29263</v>
      </c>
      <c r="BN36" s="30">
        <v>2</v>
      </c>
      <c r="BO36" s="30">
        <v>51</v>
      </c>
      <c r="BP36" s="30">
        <v>2</v>
      </c>
      <c r="BQ36" s="30">
        <v>55</v>
      </c>
      <c r="BR36" s="47">
        <v>104070</v>
      </c>
      <c r="BS36" s="47">
        <v>168080</v>
      </c>
      <c r="BT36" s="1">
        <f t="shared" si="11"/>
        <v>2.2286456814023179</v>
      </c>
      <c r="BU36" s="30">
        <v>131</v>
      </c>
      <c r="BV36" s="30">
        <v>59</v>
      </c>
      <c r="BW36" s="47">
        <v>88152</v>
      </c>
      <c r="BX36" s="52">
        <f t="shared" si="12"/>
        <v>1.168845633668355</v>
      </c>
      <c r="BY36" s="47">
        <v>149646</v>
      </c>
      <c r="BZ36" s="47">
        <v>0</v>
      </c>
      <c r="CA36" s="47">
        <v>354755</v>
      </c>
      <c r="CB36" s="47">
        <v>54740</v>
      </c>
      <c r="CC36" s="47">
        <v>559141</v>
      </c>
      <c r="CD36" s="55">
        <f t="shared" si="13"/>
        <v>7.4138932350367286</v>
      </c>
      <c r="CE36" s="3">
        <f t="shared" si="14"/>
        <v>16879.728301886793</v>
      </c>
      <c r="CF36" s="55">
        <f t="shared" si="15"/>
        <v>175.55447409733125</v>
      </c>
      <c r="CG36" s="55">
        <f t="shared" si="16"/>
        <v>1.7326262034687168</v>
      </c>
      <c r="CH36" s="55">
        <f t="shared" si="17"/>
        <v>3.0009578772013326</v>
      </c>
      <c r="CI36" s="30">
        <v>250</v>
      </c>
      <c r="CJ36" s="30">
        <v>123</v>
      </c>
      <c r="CK36" s="30">
        <v>44</v>
      </c>
      <c r="CL36" s="30">
        <v>417</v>
      </c>
      <c r="CM36" s="30">
        <v>11049</v>
      </c>
      <c r="CN36" s="30">
        <v>1904</v>
      </c>
      <c r="CO36" s="30">
        <v>687</v>
      </c>
      <c r="CP36" s="30">
        <v>13640</v>
      </c>
      <c r="CQ36" s="1">
        <f t="shared" si="27"/>
        <v>0.18085868095149699</v>
      </c>
      <c r="CR36" s="47">
        <v>322713</v>
      </c>
      <c r="CS36" s="55">
        <f t="shared" si="18"/>
        <v>4.278991752631998</v>
      </c>
      <c r="CT36" s="59">
        <v>52295</v>
      </c>
      <c r="CU36" s="29" t="s">
        <v>25</v>
      </c>
      <c r="CV36" s="29" t="s">
        <v>25</v>
      </c>
      <c r="CW36" s="29" t="s">
        <v>25</v>
      </c>
      <c r="CX36" s="35">
        <v>7</v>
      </c>
      <c r="CY36" s="49">
        <f t="shared" si="19"/>
        <v>10774</v>
      </c>
      <c r="CZ36" s="35">
        <v>1</v>
      </c>
      <c r="DA36" s="35">
        <v>25.125</v>
      </c>
      <c r="DB36" s="35">
        <v>33.125</v>
      </c>
      <c r="DC36" s="49">
        <f t="shared" si="20"/>
        <v>2276.7698113207548</v>
      </c>
      <c r="DD36" s="30">
        <v>585</v>
      </c>
      <c r="DE36" s="31">
        <v>111344</v>
      </c>
      <c r="DF36" s="35">
        <v>40</v>
      </c>
      <c r="DG36" s="29" t="s">
        <v>25</v>
      </c>
      <c r="DH36" s="29" t="s">
        <v>25</v>
      </c>
      <c r="DI36" s="29" t="s">
        <v>25</v>
      </c>
      <c r="DJ36" s="47">
        <v>779</v>
      </c>
      <c r="DK36" s="47">
        <v>1203</v>
      </c>
      <c r="DL36" s="47">
        <v>80</v>
      </c>
      <c r="DM36" s="47">
        <v>110606</v>
      </c>
      <c r="DN36" s="47">
        <v>43816</v>
      </c>
      <c r="DO36" s="47">
        <v>-1</v>
      </c>
      <c r="DP36" s="29" t="s">
        <v>25</v>
      </c>
      <c r="DQ36" s="47">
        <v>150669</v>
      </c>
      <c r="DR36" s="47">
        <v>3185</v>
      </c>
      <c r="DS36" s="30">
        <v>52</v>
      </c>
      <c r="DT36" s="30">
        <v>64</v>
      </c>
      <c r="DU36" s="30">
        <v>64</v>
      </c>
      <c r="DV36" s="30">
        <v>64</v>
      </c>
      <c r="DX36" s="2">
        <f t="shared" si="21"/>
        <v>3185</v>
      </c>
      <c r="DY36" s="33" t="s">
        <v>2185</v>
      </c>
      <c r="DZ36" s="33" t="s">
        <v>141</v>
      </c>
      <c r="EA36" s="33" t="s">
        <v>2030</v>
      </c>
      <c r="EB36" s="33" t="s">
        <v>2027</v>
      </c>
      <c r="EC36" s="36">
        <v>29</v>
      </c>
      <c r="ED36" s="29" t="s">
        <v>139</v>
      </c>
      <c r="EE36" s="29" t="s">
        <v>140</v>
      </c>
      <c r="EF36" s="37">
        <v>41548</v>
      </c>
      <c r="EG36" s="37">
        <v>41912</v>
      </c>
      <c r="EH36" s="29" t="s">
        <v>139</v>
      </c>
      <c r="EI36" s="55">
        <f t="shared" si="22"/>
        <v>1.9842212734360498</v>
      </c>
      <c r="EJ36" s="54">
        <f t="shared" si="23"/>
        <v>0</v>
      </c>
      <c r="EK36" s="55">
        <f t="shared" si="24"/>
        <v>4.7038505396589674</v>
      </c>
      <c r="EL36" s="54">
        <f t="shared" si="25"/>
        <v>0.72582142194171151</v>
      </c>
    </row>
    <row r="37" spans="1:142" ht="28.8" x14ac:dyDescent="0.3">
      <c r="A37" s="29" t="s">
        <v>142</v>
      </c>
      <c r="B37" s="29"/>
      <c r="C37" s="30">
        <v>117796</v>
      </c>
      <c r="D37" s="30">
        <v>5</v>
      </c>
      <c r="E37" s="30">
        <v>0</v>
      </c>
      <c r="F37" s="30">
        <v>18032</v>
      </c>
      <c r="G37">
        <v>64908</v>
      </c>
      <c r="H37" s="2">
        <f t="shared" si="26"/>
        <v>82940</v>
      </c>
      <c r="I37" s="1">
        <f t="shared" si="0"/>
        <v>0.70409861115827366</v>
      </c>
      <c r="J37" s="31">
        <v>1268768</v>
      </c>
      <c r="K37" s="31">
        <v>637342</v>
      </c>
      <c r="L37" s="31">
        <v>1906110</v>
      </c>
      <c r="M37" s="45">
        <f t="shared" si="1"/>
        <v>16.181449285204931</v>
      </c>
      <c r="N37" s="31">
        <v>70740</v>
      </c>
      <c r="O37" s="31">
        <v>76655</v>
      </c>
      <c r="P37" s="31">
        <v>40165</v>
      </c>
      <c r="Q37" s="31">
        <v>187560</v>
      </c>
      <c r="R37" s="45">
        <f t="shared" si="2"/>
        <v>1.5922442188189752</v>
      </c>
      <c r="S37" s="31">
        <v>583782</v>
      </c>
      <c r="T37" s="31">
        <v>2677452</v>
      </c>
      <c r="U37" s="31">
        <v>0</v>
      </c>
      <c r="V37" s="31">
        <v>2677452</v>
      </c>
      <c r="W37" s="45">
        <f t="shared" si="3"/>
        <v>22.729566368976876</v>
      </c>
      <c r="X37" s="4">
        <f t="shared" si="4"/>
        <v>0.71191192223053856</v>
      </c>
      <c r="Y37" s="4">
        <f t="shared" si="5"/>
        <v>7.005167599643243E-2</v>
      </c>
      <c r="Z37" s="4">
        <f t="shared" si="6"/>
        <v>0.21803640177302899</v>
      </c>
      <c r="AA37" s="4">
        <f t="shared" si="7"/>
        <v>0</v>
      </c>
      <c r="AB37" s="31">
        <v>63000</v>
      </c>
      <c r="AC37" s="31">
        <v>187560</v>
      </c>
      <c r="AD37" s="31">
        <v>2677452</v>
      </c>
      <c r="AE37" s="31">
        <v>2605345</v>
      </c>
      <c r="AF37" s="31">
        <v>2605345</v>
      </c>
      <c r="AG37" s="31">
        <v>0</v>
      </c>
      <c r="AH37" s="31">
        <v>0</v>
      </c>
      <c r="AI37" s="31">
        <v>2605345</v>
      </c>
      <c r="AJ37" s="45">
        <f t="shared" si="8"/>
        <v>22.117431831301573</v>
      </c>
      <c r="AK37" s="31">
        <v>0</v>
      </c>
      <c r="AL37" s="31">
        <v>0</v>
      </c>
      <c r="AM37" s="31">
        <v>0</v>
      </c>
      <c r="AN37" s="31">
        <v>0</v>
      </c>
      <c r="AO37" s="31">
        <v>216780</v>
      </c>
      <c r="AP37" s="31">
        <v>116138</v>
      </c>
      <c r="AQ37" s="31">
        <v>332918</v>
      </c>
      <c r="AR37" s="31">
        <v>2938263</v>
      </c>
      <c r="AS37" s="46">
        <f t="shared" si="9"/>
        <v>24.943656830452646</v>
      </c>
      <c r="AT37" s="31">
        <v>63000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63000</v>
      </c>
      <c r="BC37" s="33" t="s">
        <v>25</v>
      </c>
      <c r="BD37" s="47">
        <v>0</v>
      </c>
      <c r="BE37" s="47">
        <v>295961</v>
      </c>
      <c r="BF37" s="45">
        <f t="shared" si="10"/>
        <v>2.512487690583721</v>
      </c>
      <c r="BG37" s="30">
        <v>0</v>
      </c>
      <c r="BH37" s="30">
        <v>9496</v>
      </c>
      <c r="BI37" s="30">
        <v>1185</v>
      </c>
      <c r="BJ37" s="30">
        <v>0</v>
      </c>
      <c r="BK37" s="30">
        <v>14795</v>
      </c>
      <c r="BL37" s="30">
        <v>0</v>
      </c>
      <c r="BM37" s="30">
        <v>3503</v>
      </c>
      <c r="BN37" s="30">
        <v>4</v>
      </c>
      <c r="BO37" s="30">
        <v>51</v>
      </c>
      <c r="BP37" s="30">
        <v>0</v>
      </c>
      <c r="BQ37" s="30">
        <v>55</v>
      </c>
      <c r="BR37" s="47">
        <v>0</v>
      </c>
      <c r="BS37" s="47">
        <v>324944</v>
      </c>
      <c r="BT37" s="1">
        <f t="shared" si="11"/>
        <v>2.7585316988692314</v>
      </c>
      <c r="BU37" s="30">
        <v>134</v>
      </c>
      <c r="BV37" s="30">
        <v>0</v>
      </c>
      <c r="BW37" s="47">
        <v>18069</v>
      </c>
      <c r="BX37" s="52">
        <f t="shared" si="12"/>
        <v>0.15339230534143775</v>
      </c>
      <c r="BY37" s="47">
        <v>133109</v>
      </c>
      <c r="BZ37" s="47">
        <v>1382</v>
      </c>
      <c r="CA37" s="47">
        <v>408440</v>
      </c>
      <c r="CB37" s="47">
        <v>7534</v>
      </c>
      <c r="CC37" s="47">
        <v>550465</v>
      </c>
      <c r="CD37" s="55">
        <f t="shared" si="13"/>
        <v>4.6730364358721861</v>
      </c>
      <c r="CE37" s="3">
        <f t="shared" si="14"/>
        <v>12616.66284666514</v>
      </c>
      <c r="CF37" s="55">
        <f t="shared" si="15"/>
        <v>30.723056315231343</v>
      </c>
      <c r="CG37" s="55">
        <f t="shared" si="16"/>
        <v>1.566879107804152</v>
      </c>
      <c r="CH37" s="55">
        <f t="shared" si="17"/>
        <v>1.6665917819685854</v>
      </c>
      <c r="CI37" s="30">
        <v>468</v>
      </c>
      <c r="CJ37" s="30">
        <v>0</v>
      </c>
      <c r="CK37" s="30">
        <v>245</v>
      </c>
      <c r="CL37" s="30">
        <v>713</v>
      </c>
      <c r="CM37" s="30">
        <v>10994</v>
      </c>
      <c r="CN37" s="30">
        <v>0</v>
      </c>
      <c r="CO37" s="30">
        <v>2996</v>
      </c>
      <c r="CP37" s="30">
        <v>13990</v>
      </c>
      <c r="CQ37" s="1">
        <f t="shared" si="27"/>
        <v>0.11876464396074569</v>
      </c>
      <c r="CR37" s="47">
        <v>351313</v>
      </c>
      <c r="CS37" s="55">
        <f t="shared" si="18"/>
        <v>2.9823848008421336</v>
      </c>
      <c r="CT37" s="59">
        <v>78476</v>
      </c>
      <c r="CU37" s="29" t="s">
        <v>25</v>
      </c>
      <c r="CV37" s="29" t="s">
        <v>25</v>
      </c>
      <c r="CW37" s="29" t="s">
        <v>25</v>
      </c>
      <c r="CX37" s="35">
        <v>10</v>
      </c>
      <c r="CY37" s="49">
        <f t="shared" si="19"/>
        <v>11779.6</v>
      </c>
      <c r="CZ37" s="35">
        <v>3</v>
      </c>
      <c r="DA37" s="35">
        <v>30.63</v>
      </c>
      <c r="DB37" s="35">
        <v>43.629999999999995</v>
      </c>
      <c r="DC37" s="49">
        <f t="shared" si="20"/>
        <v>2699.8853999541602</v>
      </c>
      <c r="DD37" s="30">
        <v>2456</v>
      </c>
      <c r="DE37" s="31">
        <v>79318</v>
      </c>
      <c r="DF37" s="35">
        <v>40</v>
      </c>
      <c r="DG37" s="29" t="s">
        <v>25</v>
      </c>
      <c r="DH37" s="29" t="s">
        <v>25</v>
      </c>
      <c r="DI37" s="29" t="s">
        <v>25</v>
      </c>
      <c r="DJ37" s="47">
        <v>1607</v>
      </c>
      <c r="DK37" s="47">
        <v>1708</v>
      </c>
      <c r="DL37" s="47">
        <v>54</v>
      </c>
      <c r="DM37" s="47">
        <v>109482</v>
      </c>
      <c r="DN37" s="47">
        <v>11197</v>
      </c>
      <c r="DO37" s="47">
        <v>0</v>
      </c>
      <c r="DP37" s="29" t="s">
        <v>2028</v>
      </c>
      <c r="DQ37" s="47">
        <v>0</v>
      </c>
      <c r="DR37" s="47">
        <v>2780</v>
      </c>
      <c r="DS37" s="30">
        <v>52</v>
      </c>
      <c r="DT37" s="30">
        <v>69</v>
      </c>
      <c r="DU37" s="30">
        <v>52</v>
      </c>
      <c r="DV37" s="30">
        <v>52</v>
      </c>
      <c r="DW37">
        <f>VLOOKUP(EC37,branch!$I$4:$K$77,3,0)</f>
        <v>15137</v>
      </c>
      <c r="DX37" s="2">
        <f t="shared" si="21"/>
        <v>17917</v>
      </c>
      <c r="DY37" s="33" t="s">
        <v>2185</v>
      </c>
      <c r="DZ37" s="33" t="s">
        <v>146</v>
      </c>
      <c r="EA37" s="33" t="s">
        <v>2030</v>
      </c>
      <c r="EB37" s="33" t="s">
        <v>2027</v>
      </c>
      <c r="EC37" s="36">
        <v>30</v>
      </c>
      <c r="ED37" s="29" t="s">
        <v>143</v>
      </c>
      <c r="EE37" s="29" t="s">
        <v>144</v>
      </c>
      <c r="EF37" s="37">
        <v>41548</v>
      </c>
      <c r="EG37" s="37">
        <v>41912</v>
      </c>
      <c r="EH37" s="29" t="s">
        <v>143</v>
      </c>
      <c r="EI37" s="55">
        <f t="shared" si="22"/>
        <v>1.129995925158749</v>
      </c>
      <c r="EJ37" s="54">
        <f t="shared" si="23"/>
        <v>1.1732147101769161E-2</v>
      </c>
      <c r="EK37" s="55">
        <f t="shared" si="24"/>
        <v>3.4673503344765528</v>
      </c>
      <c r="EL37" s="54">
        <f t="shared" si="25"/>
        <v>6.3958029135114947E-2</v>
      </c>
    </row>
    <row r="38" spans="1:142" ht="28.8" x14ac:dyDescent="0.3">
      <c r="A38" s="29" t="s">
        <v>147</v>
      </c>
      <c r="B38" s="29"/>
      <c r="C38" s="30">
        <v>48592</v>
      </c>
      <c r="D38" s="30">
        <v>0</v>
      </c>
      <c r="E38" s="30">
        <v>0</v>
      </c>
      <c r="F38" s="30">
        <v>40516</v>
      </c>
      <c r="H38" s="2">
        <f t="shared" si="26"/>
        <v>40516</v>
      </c>
      <c r="I38" s="1">
        <f t="shared" si="0"/>
        <v>0.83379980243661511</v>
      </c>
      <c r="J38" s="31">
        <v>771580</v>
      </c>
      <c r="K38" s="31">
        <v>169142</v>
      </c>
      <c r="L38" s="31">
        <v>940722</v>
      </c>
      <c r="M38" s="45">
        <f t="shared" si="1"/>
        <v>19.359606519591701</v>
      </c>
      <c r="N38" s="31">
        <v>111051</v>
      </c>
      <c r="O38" s="31">
        <v>22757</v>
      </c>
      <c r="P38" s="31">
        <v>40881</v>
      </c>
      <c r="Q38" s="31">
        <v>174689</v>
      </c>
      <c r="R38" s="45">
        <f t="shared" si="2"/>
        <v>3.5950156404346396</v>
      </c>
      <c r="S38" s="31">
        <v>226399</v>
      </c>
      <c r="T38" s="31">
        <v>1341810</v>
      </c>
      <c r="U38" s="31">
        <v>0</v>
      </c>
      <c r="V38" s="31">
        <v>1341810</v>
      </c>
      <c r="W38" s="45">
        <f t="shared" si="3"/>
        <v>27.613804741521239</v>
      </c>
      <c r="X38" s="4">
        <f t="shared" si="4"/>
        <v>0.70108435620542398</v>
      </c>
      <c r="Y38" s="4">
        <f t="shared" si="5"/>
        <v>0.1301890729686021</v>
      </c>
      <c r="Z38" s="4">
        <f t="shared" si="6"/>
        <v>0.16872657082597387</v>
      </c>
      <c r="AA38" s="4">
        <f t="shared" si="7"/>
        <v>0</v>
      </c>
      <c r="AB38" s="31">
        <v>0</v>
      </c>
      <c r="AC38" s="31">
        <v>174689</v>
      </c>
      <c r="AD38" s="31">
        <v>1341810</v>
      </c>
      <c r="AE38" s="31">
        <v>1309275</v>
      </c>
      <c r="AF38" s="31">
        <v>1317112</v>
      </c>
      <c r="AG38" s="31">
        <v>0</v>
      </c>
      <c r="AH38" s="31">
        <v>0</v>
      </c>
      <c r="AI38" s="31">
        <v>1317112</v>
      </c>
      <c r="AJ38" s="45">
        <f t="shared" si="8"/>
        <v>27.105531774777742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27841</v>
      </c>
      <c r="AQ38" s="31">
        <v>27841</v>
      </c>
      <c r="AR38" s="31">
        <v>1344953</v>
      </c>
      <c r="AS38" s="46">
        <f t="shared" si="9"/>
        <v>27.678486170563055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3" t="s">
        <v>25</v>
      </c>
      <c r="BD38" s="47">
        <v>63401</v>
      </c>
      <c r="BE38" s="47">
        <v>82396</v>
      </c>
      <c r="BF38" s="45">
        <f t="shared" si="10"/>
        <v>1.6956700691471847</v>
      </c>
      <c r="BG38" s="30">
        <v>5212</v>
      </c>
      <c r="BH38" s="30">
        <v>5584</v>
      </c>
      <c r="BI38" s="30">
        <v>3910</v>
      </c>
      <c r="BJ38" s="30">
        <v>5620</v>
      </c>
      <c r="BK38" s="30">
        <v>11311</v>
      </c>
      <c r="BL38" s="30">
        <v>0</v>
      </c>
      <c r="BM38" s="30">
        <v>6943</v>
      </c>
      <c r="BN38" s="30">
        <v>7</v>
      </c>
      <c r="BO38" s="30">
        <v>51</v>
      </c>
      <c r="BP38" s="30">
        <v>0</v>
      </c>
      <c r="BQ38" s="30">
        <v>58</v>
      </c>
      <c r="BR38" s="47">
        <v>74233</v>
      </c>
      <c r="BS38" s="47">
        <v>110151</v>
      </c>
      <c r="BT38" s="1">
        <f t="shared" si="11"/>
        <v>2.2668546262759302</v>
      </c>
      <c r="BU38" s="30">
        <v>55</v>
      </c>
      <c r="BV38" s="30">
        <v>35</v>
      </c>
      <c r="BW38" s="47">
        <v>68124</v>
      </c>
      <c r="BX38" s="52">
        <f t="shared" si="12"/>
        <v>1.4019591702337832</v>
      </c>
      <c r="BY38" s="47">
        <v>245875</v>
      </c>
      <c r="BZ38" s="47">
        <v>0</v>
      </c>
      <c r="CA38" s="47">
        <v>300902</v>
      </c>
      <c r="CB38" s="47">
        <v>21382</v>
      </c>
      <c r="CC38" s="47">
        <v>568159</v>
      </c>
      <c r="CD38" s="55">
        <f t="shared" si="13"/>
        <v>11.692439084622983</v>
      </c>
      <c r="CE38" s="3">
        <f t="shared" si="14"/>
        <v>29591.614583333336</v>
      </c>
      <c r="CF38" s="55">
        <f t="shared" si="15"/>
        <v>191.2993265993266</v>
      </c>
      <c r="CG38" s="55">
        <f t="shared" si="16"/>
        <v>2.3248236410953074</v>
      </c>
      <c r="CH38" s="55">
        <f t="shared" si="17"/>
        <v>4.96388593839366</v>
      </c>
      <c r="CI38" s="30">
        <v>556</v>
      </c>
      <c r="CJ38" s="30">
        <v>106</v>
      </c>
      <c r="CK38" s="30">
        <v>390</v>
      </c>
      <c r="CL38" s="30">
        <v>1052</v>
      </c>
      <c r="CM38" s="30">
        <v>20368</v>
      </c>
      <c r="CN38" s="30">
        <v>970</v>
      </c>
      <c r="CO38" s="30">
        <v>5486</v>
      </c>
      <c r="CP38" s="30">
        <v>26824</v>
      </c>
      <c r="CQ38" s="1">
        <f t="shared" si="27"/>
        <v>0.55202502469542314</v>
      </c>
      <c r="CR38" s="47">
        <v>244388</v>
      </c>
      <c r="CS38" s="55">
        <f t="shared" si="18"/>
        <v>5.0293875535067505</v>
      </c>
      <c r="CT38" s="59">
        <v>46096</v>
      </c>
      <c r="CU38" s="29" t="s">
        <v>25</v>
      </c>
      <c r="CV38" s="29" t="s">
        <v>25</v>
      </c>
      <c r="CW38" s="29" t="s">
        <v>25</v>
      </c>
      <c r="CX38" s="35">
        <v>5.45</v>
      </c>
      <c r="CY38" s="49">
        <f t="shared" si="19"/>
        <v>8915.9633027522941</v>
      </c>
      <c r="CZ38" s="35">
        <v>0</v>
      </c>
      <c r="DA38" s="35">
        <v>13.75</v>
      </c>
      <c r="DB38" s="35">
        <v>19.2</v>
      </c>
      <c r="DC38" s="49">
        <f t="shared" si="20"/>
        <v>2530.8333333333335</v>
      </c>
      <c r="DD38" s="30">
        <v>8219</v>
      </c>
      <c r="DE38" s="31">
        <v>94463</v>
      </c>
      <c r="DF38" s="35">
        <v>40</v>
      </c>
      <c r="DG38" s="29" t="s">
        <v>25</v>
      </c>
      <c r="DH38" s="29" t="s">
        <v>25</v>
      </c>
      <c r="DI38" s="29" t="s">
        <v>25</v>
      </c>
      <c r="DJ38" s="47">
        <v>91</v>
      </c>
      <c r="DK38" s="47">
        <v>295</v>
      </c>
      <c r="DL38" s="47">
        <v>62</v>
      </c>
      <c r="DM38" s="47">
        <v>51778</v>
      </c>
      <c r="DN38" s="47">
        <v>12531</v>
      </c>
      <c r="DO38" s="47">
        <v>0</v>
      </c>
      <c r="DP38" s="29" t="s">
        <v>25</v>
      </c>
      <c r="DQ38" s="47">
        <v>353832</v>
      </c>
      <c r="DR38" s="47">
        <v>2970</v>
      </c>
      <c r="DS38" s="30">
        <v>52</v>
      </c>
      <c r="DT38" s="30">
        <v>59</v>
      </c>
      <c r="DU38" s="30">
        <v>59</v>
      </c>
      <c r="DV38" s="30">
        <v>59</v>
      </c>
      <c r="DX38" s="2">
        <f t="shared" si="21"/>
        <v>2970</v>
      </c>
      <c r="DY38" s="33" t="s">
        <v>2181</v>
      </c>
      <c r="DZ38" s="33" t="s">
        <v>149</v>
      </c>
      <c r="EA38" s="33" t="s">
        <v>2030</v>
      </c>
      <c r="EB38" s="33" t="s">
        <v>2027</v>
      </c>
      <c r="EC38" s="36">
        <v>31</v>
      </c>
      <c r="ED38" s="29" t="s">
        <v>148</v>
      </c>
      <c r="EE38" s="29" t="s">
        <v>91</v>
      </c>
      <c r="EF38" s="37">
        <v>41548</v>
      </c>
      <c r="EG38" s="37">
        <v>41912</v>
      </c>
      <c r="EH38" s="29" t="s">
        <v>148</v>
      </c>
      <c r="EI38" s="55">
        <f t="shared" si="22"/>
        <v>5.0599892986499837</v>
      </c>
      <c r="EJ38" s="54">
        <f t="shared" si="23"/>
        <v>0</v>
      </c>
      <c r="EK38" s="55">
        <f t="shared" si="24"/>
        <v>6.1924185051037206</v>
      </c>
      <c r="EL38" s="54">
        <f t="shared" si="25"/>
        <v>0.4400312808692789</v>
      </c>
    </row>
    <row r="39" spans="1:142" ht="28.8" x14ac:dyDescent="0.3">
      <c r="A39" s="29" t="s">
        <v>1791</v>
      </c>
      <c r="B39" s="29"/>
      <c r="C39" s="30">
        <v>14298</v>
      </c>
      <c r="D39" s="30">
        <v>0</v>
      </c>
      <c r="E39" s="30">
        <v>0</v>
      </c>
      <c r="F39" s="30">
        <v>2700</v>
      </c>
      <c r="H39" s="2">
        <f t="shared" si="26"/>
        <v>2700</v>
      </c>
      <c r="I39" s="1">
        <f t="shared" si="0"/>
        <v>0.1888375996642887</v>
      </c>
      <c r="J39" s="31">
        <v>0</v>
      </c>
      <c r="K39" s="31">
        <v>0</v>
      </c>
      <c r="L39" s="31">
        <v>0</v>
      </c>
      <c r="M39" s="45">
        <f t="shared" si="1"/>
        <v>0</v>
      </c>
      <c r="N39" s="31">
        <v>0</v>
      </c>
      <c r="O39" s="31">
        <v>0</v>
      </c>
      <c r="P39" s="31">
        <v>0</v>
      </c>
      <c r="Q39" s="31">
        <v>0</v>
      </c>
      <c r="R39" s="45">
        <f t="shared" si="2"/>
        <v>0</v>
      </c>
      <c r="S39" s="31">
        <v>15497</v>
      </c>
      <c r="T39" s="31">
        <v>15497</v>
      </c>
      <c r="U39" s="31">
        <v>0</v>
      </c>
      <c r="V39" s="31">
        <v>15497</v>
      </c>
      <c r="W39" s="45">
        <f t="shared" si="3"/>
        <v>1.0838578822212896</v>
      </c>
      <c r="X39" s="4">
        <f t="shared" si="4"/>
        <v>0</v>
      </c>
      <c r="Y39" s="4">
        <f t="shared" si="5"/>
        <v>0</v>
      </c>
      <c r="Z39" s="4">
        <f t="shared" si="6"/>
        <v>1</v>
      </c>
      <c r="AA39" s="4">
        <f t="shared" si="7"/>
        <v>0</v>
      </c>
      <c r="AB39" s="31">
        <v>0</v>
      </c>
      <c r="AC39" s="31">
        <v>0</v>
      </c>
      <c r="AD39" s="31">
        <v>15497</v>
      </c>
      <c r="AE39" s="31">
        <v>4303</v>
      </c>
      <c r="AF39" s="31">
        <v>0</v>
      </c>
      <c r="AG39" s="31">
        <v>4303</v>
      </c>
      <c r="AH39" s="31">
        <v>0</v>
      </c>
      <c r="AI39" s="31">
        <v>4303</v>
      </c>
      <c r="AJ39" s="45">
        <f t="shared" si="8"/>
        <v>0.30095118198349419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8281</v>
      </c>
      <c r="AQ39" s="31">
        <v>8281</v>
      </c>
      <c r="AR39" s="31">
        <v>12584</v>
      </c>
      <c r="AS39" s="46">
        <f t="shared" si="9"/>
        <v>0.88012309413904044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3" t="s">
        <v>25</v>
      </c>
      <c r="BD39" s="47">
        <v>12969</v>
      </c>
      <c r="BE39" s="47">
        <v>12982</v>
      </c>
      <c r="BF39" s="45">
        <f t="shared" si="10"/>
        <v>0.90795915512659109</v>
      </c>
      <c r="BG39" s="30">
        <v>239</v>
      </c>
      <c r="BH39" s="30">
        <v>239</v>
      </c>
      <c r="BI39" s="30">
        <v>0</v>
      </c>
      <c r="BJ39" s="30">
        <v>1175</v>
      </c>
      <c r="BK39" s="30">
        <v>1212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47">
        <v>14383</v>
      </c>
      <c r="BS39" s="47">
        <v>14433</v>
      </c>
      <c r="BT39" s="1">
        <f t="shared" si="11"/>
        <v>1.0094418799832143</v>
      </c>
      <c r="BU39" s="30">
        <v>0</v>
      </c>
      <c r="BV39" s="30">
        <v>0</v>
      </c>
      <c r="BW39" s="47">
        <v>112</v>
      </c>
      <c r="BX39" s="52">
        <f t="shared" si="12"/>
        <v>7.833263393481605E-3</v>
      </c>
      <c r="BY39" s="47">
        <v>487</v>
      </c>
      <c r="BZ39" s="47">
        <v>0</v>
      </c>
      <c r="CA39" s="47">
        <v>1307</v>
      </c>
      <c r="CB39" s="47">
        <v>0</v>
      </c>
      <c r="CC39" s="47">
        <v>1794</v>
      </c>
      <c r="CD39" s="55">
        <f t="shared" si="13"/>
        <v>0.12547209399916073</v>
      </c>
      <c r="CE39" s="3">
        <v>0</v>
      </c>
      <c r="CF39" s="55">
        <f t="shared" si="15"/>
        <v>1.8687499999999999</v>
      </c>
      <c r="CG39" s="55">
        <f t="shared" si="16"/>
        <v>2.5850144092219018</v>
      </c>
      <c r="CH39" s="55">
        <f t="shared" si="17"/>
        <v>0.12429848264394097</v>
      </c>
      <c r="CI39" s="30">
        <v>47</v>
      </c>
      <c r="CJ39" s="30">
        <v>2</v>
      </c>
      <c r="CK39" s="30">
        <v>2</v>
      </c>
      <c r="CL39" s="30">
        <v>51</v>
      </c>
      <c r="CM39" s="30">
        <v>168</v>
      </c>
      <c r="CN39" s="30">
        <v>9</v>
      </c>
      <c r="CO39" s="30">
        <v>8</v>
      </c>
      <c r="CP39" s="30">
        <v>185</v>
      </c>
      <c r="CQ39" s="1">
        <f t="shared" si="27"/>
        <v>1.2938872569590152E-2</v>
      </c>
      <c r="CR39" s="47">
        <v>694</v>
      </c>
      <c r="CS39" s="55">
        <f t="shared" si="18"/>
        <v>4.8538257098894949E-2</v>
      </c>
      <c r="CT39" s="59">
        <v>681</v>
      </c>
      <c r="CU39" s="29" t="s">
        <v>25</v>
      </c>
      <c r="CV39" s="29" t="s">
        <v>25</v>
      </c>
      <c r="CW39" s="29" t="s">
        <v>25</v>
      </c>
      <c r="CX39" s="35">
        <v>0</v>
      </c>
      <c r="CY39" s="49">
        <v>0</v>
      </c>
      <c r="CZ39" s="35">
        <v>0</v>
      </c>
      <c r="DA39" s="35">
        <v>0</v>
      </c>
      <c r="DB39" s="35">
        <v>0</v>
      </c>
      <c r="DC39" s="49">
        <v>0</v>
      </c>
      <c r="DD39" s="30">
        <v>1566</v>
      </c>
      <c r="DE39" s="31">
        <v>0</v>
      </c>
      <c r="DF39" s="35">
        <v>0</v>
      </c>
      <c r="DG39" s="29" t="s">
        <v>25</v>
      </c>
      <c r="DH39" s="29" t="s">
        <v>25</v>
      </c>
      <c r="DI39" s="29" t="s">
        <v>25</v>
      </c>
      <c r="DJ39" s="47">
        <v>4</v>
      </c>
      <c r="DK39" s="47">
        <v>11</v>
      </c>
      <c r="DL39" s="47">
        <v>8</v>
      </c>
      <c r="DM39" s="47">
        <v>1863</v>
      </c>
      <c r="DN39" s="47">
        <v>13</v>
      </c>
      <c r="DO39" s="47">
        <v>106</v>
      </c>
      <c r="DP39" s="29" t="s">
        <v>2028</v>
      </c>
      <c r="DQ39" s="47">
        <v>0</v>
      </c>
      <c r="DR39" s="47">
        <v>960</v>
      </c>
      <c r="DS39" s="30">
        <v>48</v>
      </c>
      <c r="DT39" s="30">
        <v>20</v>
      </c>
      <c r="DU39" s="30">
        <v>20</v>
      </c>
      <c r="DV39" s="30">
        <v>20</v>
      </c>
      <c r="DX39" s="2">
        <f t="shared" si="21"/>
        <v>960</v>
      </c>
      <c r="DY39" s="33" t="s">
        <v>2186</v>
      </c>
      <c r="DZ39" s="33" t="s">
        <v>1793</v>
      </c>
      <c r="EA39" s="33" t="s">
        <v>2030</v>
      </c>
      <c r="EB39" s="33" t="s">
        <v>2026</v>
      </c>
      <c r="EC39" s="36">
        <v>633</v>
      </c>
      <c r="ED39" s="29" t="s">
        <v>1792</v>
      </c>
      <c r="EE39" s="29" t="s">
        <v>966</v>
      </c>
      <c r="EF39" s="37">
        <v>41548</v>
      </c>
      <c r="EG39" s="37">
        <v>41912</v>
      </c>
      <c r="EH39" s="29" t="s">
        <v>1792</v>
      </c>
      <c r="EI39" s="55">
        <f t="shared" si="22"/>
        <v>3.406070779129948E-2</v>
      </c>
      <c r="EJ39" s="54">
        <f t="shared" si="23"/>
        <v>0</v>
      </c>
      <c r="EK39" s="55">
        <f t="shared" si="24"/>
        <v>9.1411386207861239E-2</v>
      </c>
      <c r="EL39" s="54">
        <f t="shared" si="25"/>
        <v>0</v>
      </c>
    </row>
    <row r="40" spans="1:142" ht="28.8" x14ac:dyDescent="0.3">
      <c r="A40" s="29" t="s">
        <v>1772</v>
      </c>
      <c r="B40" s="29"/>
      <c r="C40" s="30">
        <v>5287</v>
      </c>
      <c r="D40" s="30">
        <v>0</v>
      </c>
      <c r="E40" s="30">
        <v>0</v>
      </c>
      <c r="F40" s="30">
        <v>4200</v>
      </c>
      <c r="H40" s="2">
        <f t="shared" si="26"/>
        <v>4200</v>
      </c>
      <c r="I40" s="1">
        <f t="shared" si="0"/>
        <v>0.79440136183090604</v>
      </c>
      <c r="J40" s="31">
        <v>295000</v>
      </c>
      <c r="K40" s="31">
        <v>85007</v>
      </c>
      <c r="L40" s="31">
        <v>380007</v>
      </c>
      <c r="M40" s="45">
        <f t="shared" si="1"/>
        <v>71.875732929827876</v>
      </c>
      <c r="N40" s="31">
        <v>47000</v>
      </c>
      <c r="O40" s="31">
        <v>19500</v>
      </c>
      <c r="P40" s="31">
        <v>11600</v>
      </c>
      <c r="Q40" s="31">
        <v>78100</v>
      </c>
      <c r="R40" s="45">
        <f t="shared" si="2"/>
        <v>14.772082466427085</v>
      </c>
      <c r="S40" s="31">
        <v>26975</v>
      </c>
      <c r="T40" s="31">
        <v>485082</v>
      </c>
      <c r="U40" s="31">
        <v>0</v>
      </c>
      <c r="V40" s="31">
        <v>485082</v>
      </c>
      <c r="W40" s="45">
        <f t="shared" si="3"/>
        <v>91.749952714204653</v>
      </c>
      <c r="X40" s="4">
        <f t="shared" si="4"/>
        <v>0.7833871386693384</v>
      </c>
      <c r="Y40" s="4">
        <f t="shared" si="5"/>
        <v>0.16100370658981369</v>
      </c>
      <c r="Z40" s="4">
        <f t="shared" si="6"/>
        <v>5.5609154740847939E-2</v>
      </c>
      <c r="AA40" s="4">
        <f t="shared" si="7"/>
        <v>0</v>
      </c>
      <c r="AB40" s="31">
        <v>14596</v>
      </c>
      <c r="AC40" s="31">
        <v>78100</v>
      </c>
      <c r="AD40" s="31">
        <v>485082</v>
      </c>
      <c r="AE40" s="31">
        <v>485082</v>
      </c>
      <c r="AF40" s="31">
        <v>485082</v>
      </c>
      <c r="AG40" s="31">
        <v>0</v>
      </c>
      <c r="AH40" s="31">
        <v>0</v>
      </c>
      <c r="AI40" s="31">
        <v>485082</v>
      </c>
      <c r="AJ40" s="45">
        <f t="shared" si="8"/>
        <v>91.749952714204653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3250</v>
      </c>
      <c r="AQ40" s="31">
        <v>3250</v>
      </c>
      <c r="AR40" s="31">
        <v>488332</v>
      </c>
      <c r="AS40" s="46">
        <f t="shared" si="9"/>
        <v>92.36466805371667</v>
      </c>
      <c r="AT40" s="31">
        <v>14596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14596</v>
      </c>
      <c r="BC40" s="33" t="s">
        <v>25</v>
      </c>
      <c r="BD40" s="47">
        <v>25778</v>
      </c>
      <c r="BE40" s="47">
        <v>26983</v>
      </c>
      <c r="BF40" s="45">
        <f t="shared" si="10"/>
        <v>5.1036504634007942</v>
      </c>
      <c r="BG40" s="30">
        <v>1581</v>
      </c>
      <c r="BH40" s="30">
        <v>1614</v>
      </c>
      <c r="BI40" s="30">
        <v>6575</v>
      </c>
      <c r="BJ40" s="30">
        <v>2676</v>
      </c>
      <c r="BK40" s="30">
        <v>2758</v>
      </c>
      <c r="BL40" s="30">
        <v>76</v>
      </c>
      <c r="BM40" s="30">
        <v>7200</v>
      </c>
      <c r="BN40" s="30">
        <v>3</v>
      </c>
      <c r="BO40" s="30">
        <v>51</v>
      </c>
      <c r="BP40" s="30">
        <v>0</v>
      </c>
      <c r="BQ40" s="30">
        <v>54</v>
      </c>
      <c r="BR40" s="47">
        <v>30035</v>
      </c>
      <c r="BS40" s="47">
        <v>45209</v>
      </c>
      <c r="BT40" s="1">
        <f t="shared" si="11"/>
        <v>8.5509740873841498</v>
      </c>
      <c r="BU40" s="30">
        <v>28</v>
      </c>
      <c r="BV40" s="30">
        <v>16</v>
      </c>
      <c r="BW40" s="47">
        <v>7861</v>
      </c>
      <c r="BX40" s="52">
        <f t="shared" si="12"/>
        <v>1.4868545488935123</v>
      </c>
      <c r="BY40" s="47">
        <v>110922</v>
      </c>
      <c r="BZ40" s="47">
        <v>230</v>
      </c>
      <c r="CA40" s="47">
        <v>42578</v>
      </c>
      <c r="CB40" s="47">
        <v>8899</v>
      </c>
      <c r="CC40" s="47">
        <v>162629</v>
      </c>
      <c r="CD40" s="55">
        <f t="shared" si="13"/>
        <v>30.760166445999623</v>
      </c>
      <c r="CE40" s="3">
        <f t="shared" si="14"/>
        <v>18376.158192090395</v>
      </c>
      <c r="CF40" s="55">
        <f t="shared" si="15"/>
        <v>79.955260570304816</v>
      </c>
      <c r="CG40" s="55">
        <f t="shared" si="16"/>
        <v>1.806988888888889</v>
      </c>
      <c r="CH40" s="55">
        <f t="shared" si="17"/>
        <v>3.3953416355150523</v>
      </c>
      <c r="CI40" s="30">
        <v>208</v>
      </c>
      <c r="CJ40" s="30">
        <v>15</v>
      </c>
      <c r="CK40" s="30">
        <v>58</v>
      </c>
      <c r="CL40" s="30">
        <v>281</v>
      </c>
      <c r="CM40" s="30">
        <v>7695</v>
      </c>
      <c r="CN40" s="30">
        <v>133</v>
      </c>
      <c r="CO40" s="30">
        <v>386</v>
      </c>
      <c r="CP40" s="30">
        <v>8214</v>
      </c>
      <c r="CQ40" s="1">
        <f t="shared" si="27"/>
        <v>1.5536220919235861</v>
      </c>
      <c r="CR40" s="47">
        <v>90000</v>
      </c>
      <c r="CS40" s="55">
        <f t="shared" si="18"/>
        <v>17.022886324947986</v>
      </c>
      <c r="CT40" s="59">
        <v>9500</v>
      </c>
      <c r="CU40" s="29" t="s">
        <v>25</v>
      </c>
      <c r="CV40" s="29" t="s">
        <v>25</v>
      </c>
      <c r="CW40" s="29" t="s">
        <v>25</v>
      </c>
      <c r="CX40" s="35">
        <v>3.4750000000000001</v>
      </c>
      <c r="CY40" s="49">
        <f t="shared" si="19"/>
        <v>1521.4388489208632</v>
      </c>
      <c r="CZ40" s="35">
        <v>0</v>
      </c>
      <c r="DA40" s="35">
        <v>5.375</v>
      </c>
      <c r="DB40" s="35">
        <v>8.85</v>
      </c>
      <c r="DC40" s="49">
        <f t="shared" si="20"/>
        <v>597.40112994350284</v>
      </c>
      <c r="DD40" s="30">
        <v>1578</v>
      </c>
      <c r="DE40" s="31">
        <v>80000</v>
      </c>
      <c r="DF40" s="35">
        <v>40</v>
      </c>
      <c r="DG40" s="29" t="s">
        <v>25</v>
      </c>
      <c r="DH40" s="29" t="s">
        <v>25</v>
      </c>
      <c r="DI40" s="29" t="s">
        <v>25</v>
      </c>
      <c r="DJ40" s="47">
        <v>5</v>
      </c>
      <c r="DK40" s="47">
        <v>33</v>
      </c>
      <c r="DL40" s="47">
        <v>10</v>
      </c>
      <c r="DM40" s="47">
        <v>4228</v>
      </c>
      <c r="DN40" s="47">
        <v>2100</v>
      </c>
      <c r="DO40" s="47">
        <v>0</v>
      </c>
      <c r="DP40" s="29" t="s">
        <v>2028</v>
      </c>
      <c r="DQ40" s="47">
        <v>0</v>
      </c>
      <c r="DR40" s="47">
        <v>2034</v>
      </c>
      <c r="DS40" s="30">
        <v>52</v>
      </c>
      <c r="DT40" s="30">
        <v>41</v>
      </c>
      <c r="DU40" s="30">
        <v>41</v>
      </c>
      <c r="DV40" s="30">
        <v>41</v>
      </c>
      <c r="DX40" s="2">
        <f t="shared" si="21"/>
        <v>2034</v>
      </c>
      <c r="DY40" s="33" t="s">
        <v>2186</v>
      </c>
      <c r="DZ40" s="33" t="s">
        <v>1773</v>
      </c>
      <c r="EA40" s="33" t="s">
        <v>2030</v>
      </c>
      <c r="EB40" s="33" t="s">
        <v>2027</v>
      </c>
      <c r="EC40" s="36">
        <v>618</v>
      </c>
      <c r="ED40" s="29" t="s">
        <v>1771</v>
      </c>
      <c r="EE40" s="29" t="s">
        <v>110</v>
      </c>
      <c r="EF40" s="37">
        <v>41548</v>
      </c>
      <c r="EG40" s="37">
        <v>41912</v>
      </c>
      <c r="EH40" s="29" t="s">
        <v>1771</v>
      </c>
      <c r="EI40" s="55">
        <f t="shared" si="22"/>
        <v>20.980139965954226</v>
      </c>
      <c r="EJ40" s="54">
        <f t="shared" si="23"/>
        <v>4.3502931719311522E-2</v>
      </c>
      <c r="EK40" s="55">
        <f t="shared" si="24"/>
        <v>8.053338377151503</v>
      </c>
      <c r="EL40" s="54">
        <f t="shared" si="25"/>
        <v>1.6831851711745791</v>
      </c>
    </row>
    <row r="41" spans="1:142" ht="28.8" x14ac:dyDescent="0.3">
      <c r="A41" s="29" t="s">
        <v>150</v>
      </c>
      <c r="B41" s="29"/>
      <c r="C41" s="30">
        <v>25391</v>
      </c>
      <c r="D41" s="30">
        <v>0</v>
      </c>
      <c r="E41" s="30">
        <v>0</v>
      </c>
      <c r="F41" s="30">
        <v>10000</v>
      </c>
      <c r="H41" s="2">
        <f t="shared" si="26"/>
        <v>10000</v>
      </c>
      <c r="I41" s="1">
        <f t="shared" si="0"/>
        <v>0.39384033712732858</v>
      </c>
      <c r="J41" s="31">
        <v>209604</v>
      </c>
      <c r="K41" s="31">
        <v>48954</v>
      </c>
      <c r="L41" s="31">
        <v>258558</v>
      </c>
      <c r="M41" s="45">
        <f t="shared" si="1"/>
        <v>10.183056988696782</v>
      </c>
      <c r="N41" s="31">
        <v>70158</v>
      </c>
      <c r="O41" s="31">
        <v>9958</v>
      </c>
      <c r="P41" s="31">
        <v>7609</v>
      </c>
      <c r="Q41" s="31">
        <v>87725</v>
      </c>
      <c r="R41" s="45">
        <f t="shared" si="2"/>
        <v>3.4549643574494899</v>
      </c>
      <c r="S41" s="31">
        <v>116413</v>
      </c>
      <c r="T41" s="31">
        <v>462696</v>
      </c>
      <c r="U41" s="31">
        <v>0</v>
      </c>
      <c r="V41" s="31">
        <v>462696</v>
      </c>
      <c r="W41" s="45">
        <f t="shared" si="3"/>
        <v>18.222834862746641</v>
      </c>
      <c r="X41" s="4">
        <f t="shared" si="4"/>
        <v>0.55880751076300639</v>
      </c>
      <c r="Y41" s="4">
        <f t="shared" si="5"/>
        <v>0.18959532825008213</v>
      </c>
      <c r="Z41" s="4">
        <f t="shared" si="6"/>
        <v>0.25159716098691148</v>
      </c>
      <c r="AA41" s="4">
        <f t="shared" si="7"/>
        <v>0</v>
      </c>
      <c r="AB41" s="31">
        <v>0</v>
      </c>
      <c r="AC41" s="31">
        <v>87725</v>
      </c>
      <c r="AD41" s="31">
        <v>462696</v>
      </c>
      <c r="AE41" s="31">
        <v>175824</v>
      </c>
      <c r="AF41" s="31">
        <v>85000</v>
      </c>
      <c r="AG41" s="31">
        <v>69999</v>
      </c>
      <c r="AH41" s="31">
        <v>45825</v>
      </c>
      <c r="AI41" s="31">
        <v>200824</v>
      </c>
      <c r="AJ41" s="45">
        <f t="shared" si="8"/>
        <v>7.9092591863258637</v>
      </c>
      <c r="AK41" s="31">
        <v>10833</v>
      </c>
      <c r="AL41" s="31">
        <v>0</v>
      </c>
      <c r="AM41" s="31">
        <v>0</v>
      </c>
      <c r="AN41" s="31">
        <v>0</v>
      </c>
      <c r="AO41" s="31">
        <v>252000</v>
      </c>
      <c r="AP41" s="31">
        <v>49508</v>
      </c>
      <c r="AQ41" s="31">
        <v>301508</v>
      </c>
      <c r="AR41" s="31">
        <v>513165</v>
      </c>
      <c r="AS41" s="46">
        <f t="shared" si="9"/>
        <v>20.210507660194558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3" t="s">
        <v>25</v>
      </c>
      <c r="BD41" s="47">
        <v>37474</v>
      </c>
      <c r="BE41" s="47">
        <v>40740</v>
      </c>
      <c r="BF41" s="45">
        <f t="shared" si="10"/>
        <v>1.6045055334567366</v>
      </c>
      <c r="BG41" s="30">
        <v>2576</v>
      </c>
      <c r="BH41" s="30">
        <v>2658</v>
      </c>
      <c r="BI41" s="30">
        <v>1009</v>
      </c>
      <c r="BJ41" s="30">
        <v>2002</v>
      </c>
      <c r="BK41" s="30">
        <v>2240</v>
      </c>
      <c r="BL41" s="30">
        <v>0</v>
      </c>
      <c r="BM41" s="30">
        <v>8914</v>
      </c>
      <c r="BN41" s="30">
        <v>4</v>
      </c>
      <c r="BO41" s="30">
        <v>51</v>
      </c>
      <c r="BP41" s="30">
        <v>1</v>
      </c>
      <c r="BQ41" s="30">
        <v>56</v>
      </c>
      <c r="BR41" s="47">
        <v>42052</v>
      </c>
      <c r="BS41" s="47">
        <v>55565</v>
      </c>
      <c r="BT41" s="1">
        <f t="shared" si="11"/>
        <v>2.1883738332480012</v>
      </c>
      <c r="BU41" s="30">
        <v>48</v>
      </c>
      <c r="BV41" s="30">
        <v>0</v>
      </c>
      <c r="BW41" s="47">
        <v>10053</v>
      </c>
      <c r="BX41" s="52">
        <f t="shared" si="12"/>
        <v>0.3959276909141034</v>
      </c>
      <c r="BY41" s="47">
        <v>16600</v>
      </c>
      <c r="BZ41" s="47">
        <v>528</v>
      </c>
      <c r="CA41" s="47">
        <v>25834</v>
      </c>
      <c r="CB41" s="47">
        <v>1452</v>
      </c>
      <c r="CC41" s="47">
        <v>44414</v>
      </c>
      <c r="CD41" s="55">
        <f t="shared" si="13"/>
        <v>1.7492024733173173</v>
      </c>
      <c r="CE41" s="3">
        <f t="shared" si="14"/>
        <v>6436.811594202898</v>
      </c>
      <c r="CF41" s="55">
        <f t="shared" si="15"/>
        <v>15.705091937765205</v>
      </c>
      <c r="CG41" s="55">
        <f t="shared" si="16"/>
        <v>0.34039454927267432</v>
      </c>
      <c r="CH41" s="55">
        <f t="shared" si="17"/>
        <v>0.76368217403041483</v>
      </c>
      <c r="CI41" s="30">
        <v>145</v>
      </c>
      <c r="CJ41" s="30">
        <v>1</v>
      </c>
      <c r="CK41" s="30">
        <v>52</v>
      </c>
      <c r="CL41" s="30">
        <v>198</v>
      </c>
      <c r="CM41" s="30">
        <v>1270</v>
      </c>
      <c r="CN41" s="30">
        <v>15</v>
      </c>
      <c r="CO41" s="30">
        <v>81</v>
      </c>
      <c r="CP41" s="30">
        <v>1366</v>
      </c>
      <c r="CQ41" s="1">
        <f t="shared" si="27"/>
        <v>5.3798590051593084E-2</v>
      </c>
      <c r="CR41" s="47">
        <v>130478</v>
      </c>
      <c r="CS41" s="55">
        <f t="shared" si="18"/>
        <v>5.1387499507699577</v>
      </c>
      <c r="CT41" s="59">
        <v>7310</v>
      </c>
      <c r="CU41" s="29" t="s">
        <v>25</v>
      </c>
      <c r="CV41" s="29" t="s">
        <v>25</v>
      </c>
      <c r="CW41" s="29" t="s">
        <v>25</v>
      </c>
      <c r="CX41" s="35">
        <v>2</v>
      </c>
      <c r="CY41" s="49">
        <f t="shared" si="19"/>
        <v>12695.5</v>
      </c>
      <c r="CZ41" s="35">
        <v>0</v>
      </c>
      <c r="DA41" s="35">
        <v>4.9000000000000004</v>
      </c>
      <c r="DB41" s="35">
        <v>6.9</v>
      </c>
      <c r="DC41" s="49">
        <f t="shared" si="20"/>
        <v>3679.855072463768</v>
      </c>
      <c r="DD41" s="30">
        <v>757</v>
      </c>
      <c r="DE41" s="31">
        <v>60000</v>
      </c>
      <c r="DF41" s="35">
        <v>42</v>
      </c>
      <c r="DG41" s="29" t="s">
        <v>25</v>
      </c>
      <c r="DH41" s="29" t="s">
        <v>25</v>
      </c>
      <c r="DI41" s="29" t="s">
        <v>25</v>
      </c>
      <c r="DJ41" s="47">
        <v>722</v>
      </c>
      <c r="DK41" s="47">
        <v>750</v>
      </c>
      <c r="DL41" s="47">
        <v>26</v>
      </c>
      <c r="DM41" s="47">
        <v>30082</v>
      </c>
      <c r="DN41" s="47">
        <v>2102</v>
      </c>
      <c r="DO41" s="47">
        <v>1080</v>
      </c>
      <c r="DP41" s="29" t="s">
        <v>25</v>
      </c>
      <c r="DQ41" s="47">
        <v>40041</v>
      </c>
      <c r="DR41" s="47">
        <v>2828</v>
      </c>
      <c r="DS41" s="30">
        <v>52</v>
      </c>
      <c r="DT41" s="30">
        <v>56</v>
      </c>
      <c r="DU41" s="30">
        <v>56</v>
      </c>
      <c r="DV41" s="30">
        <v>56</v>
      </c>
      <c r="DX41" s="2">
        <f t="shared" si="21"/>
        <v>2828</v>
      </c>
      <c r="DY41" s="33" t="s">
        <v>2180</v>
      </c>
      <c r="DZ41" s="33" t="s">
        <v>153</v>
      </c>
      <c r="EA41" s="33" t="s">
        <v>2032</v>
      </c>
      <c r="EB41" s="33" t="s">
        <v>2027</v>
      </c>
      <c r="EC41" s="36">
        <v>32</v>
      </c>
      <c r="ED41" s="29" t="s">
        <v>151</v>
      </c>
      <c r="EE41" s="29" t="s">
        <v>152</v>
      </c>
      <c r="EF41" s="37">
        <v>41548</v>
      </c>
      <c r="EG41" s="37">
        <v>41912</v>
      </c>
      <c r="EH41" s="29" t="s">
        <v>151</v>
      </c>
      <c r="EI41" s="55">
        <f t="shared" si="22"/>
        <v>0.65377495963136545</v>
      </c>
      <c r="EJ41" s="54">
        <f t="shared" si="23"/>
        <v>2.0794769800322948E-2</v>
      </c>
      <c r="EK41" s="55">
        <f t="shared" si="24"/>
        <v>1.0174471269347407</v>
      </c>
      <c r="EL41" s="54">
        <f t="shared" si="25"/>
        <v>5.7185616950888113E-2</v>
      </c>
    </row>
    <row r="42" spans="1:142" ht="28.8" x14ac:dyDescent="0.3">
      <c r="A42" s="29" t="s">
        <v>154</v>
      </c>
      <c r="B42" s="29"/>
      <c r="C42" s="30">
        <v>17849</v>
      </c>
      <c r="D42" s="30">
        <v>0</v>
      </c>
      <c r="E42" s="30">
        <v>0</v>
      </c>
      <c r="F42" s="30">
        <v>10868</v>
      </c>
      <c r="H42" s="2">
        <f t="shared" si="26"/>
        <v>10868</v>
      </c>
      <c r="I42" s="1">
        <f t="shared" si="0"/>
        <v>0.60888565185724686</v>
      </c>
      <c r="J42" s="31">
        <v>389512</v>
      </c>
      <c r="K42" s="31">
        <v>157064</v>
      </c>
      <c r="L42" s="31">
        <v>546576</v>
      </c>
      <c r="M42" s="45">
        <f t="shared" si="1"/>
        <v>30.622219732197884</v>
      </c>
      <c r="N42" s="31">
        <v>47560</v>
      </c>
      <c r="O42" s="31">
        <v>8396</v>
      </c>
      <c r="P42" s="31">
        <v>10887</v>
      </c>
      <c r="Q42" s="31">
        <v>66843</v>
      </c>
      <c r="R42" s="45">
        <f t="shared" si="2"/>
        <v>3.7449156815507871</v>
      </c>
      <c r="S42" s="31">
        <v>28647</v>
      </c>
      <c r="T42" s="31">
        <v>642066</v>
      </c>
      <c r="U42" s="31">
        <v>0</v>
      </c>
      <c r="V42" s="31">
        <v>642066</v>
      </c>
      <c r="W42" s="45">
        <f t="shared" si="3"/>
        <v>35.972099277270438</v>
      </c>
      <c r="X42" s="4">
        <f t="shared" si="4"/>
        <v>0.85127697152629167</v>
      </c>
      <c r="Y42" s="4">
        <f t="shared" si="5"/>
        <v>0.10410611993159581</v>
      </c>
      <c r="Z42" s="4">
        <f t="shared" si="6"/>
        <v>4.4616908542112491E-2</v>
      </c>
      <c r="AA42" s="4">
        <f t="shared" si="7"/>
        <v>0</v>
      </c>
      <c r="AB42" s="31">
        <v>0</v>
      </c>
      <c r="AC42" s="31">
        <v>66843</v>
      </c>
      <c r="AD42" s="31">
        <v>641086</v>
      </c>
      <c r="AE42" s="31">
        <v>623783</v>
      </c>
      <c r="AF42" s="31">
        <v>626443</v>
      </c>
      <c r="AG42" s="31">
        <v>0</v>
      </c>
      <c r="AH42" s="31">
        <v>0</v>
      </c>
      <c r="AI42" s="31">
        <v>626443</v>
      </c>
      <c r="AJ42" s="45">
        <f t="shared" si="8"/>
        <v>35.096812146338728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17303</v>
      </c>
      <c r="AQ42" s="31">
        <v>17303</v>
      </c>
      <c r="AR42" s="31">
        <v>643746</v>
      </c>
      <c r="AS42" s="46">
        <f t="shared" si="9"/>
        <v>36.066222197321977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3" t="s">
        <v>25</v>
      </c>
      <c r="BD42" s="47">
        <v>71977</v>
      </c>
      <c r="BE42" s="47">
        <v>76457</v>
      </c>
      <c r="BF42" s="45">
        <f t="shared" si="10"/>
        <v>4.2835452966552747</v>
      </c>
      <c r="BG42" s="30">
        <v>1768</v>
      </c>
      <c r="BH42" s="30">
        <v>9265</v>
      </c>
      <c r="BI42" s="30">
        <v>9826</v>
      </c>
      <c r="BJ42" s="30">
        <v>3206</v>
      </c>
      <c r="BK42" s="30">
        <v>3267</v>
      </c>
      <c r="BL42" s="30">
        <v>322</v>
      </c>
      <c r="BM42" s="30">
        <v>26383</v>
      </c>
      <c r="BN42" s="30">
        <v>3</v>
      </c>
      <c r="BO42" s="30">
        <v>51</v>
      </c>
      <c r="BP42" s="30">
        <v>4</v>
      </c>
      <c r="BQ42" s="30">
        <v>58</v>
      </c>
      <c r="BR42" s="47">
        <v>76951</v>
      </c>
      <c r="BS42" s="47">
        <v>125523</v>
      </c>
      <c r="BT42" s="1">
        <f t="shared" si="11"/>
        <v>7.0324948176368425</v>
      </c>
      <c r="BU42" s="30">
        <v>89</v>
      </c>
      <c r="BV42" s="30">
        <v>17</v>
      </c>
      <c r="BW42" s="47">
        <v>9130</v>
      </c>
      <c r="BX42" s="52">
        <f t="shared" si="12"/>
        <v>0.5115132500420192</v>
      </c>
      <c r="BY42" s="47">
        <v>116083</v>
      </c>
      <c r="BZ42" s="47">
        <v>2720</v>
      </c>
      <c r="CA42" s="47">
        <v>75743</v>
      </c>
      <c r="CB42" s="47">
        <v>8237</v>
      </c>
      <c r="CC42" s="47">
        <v>202783</v>
      </c>
      <c r="CD42" s="55">
        <f t="shared" si="13"/>
        <v>11.361028629054848</v>
      </c>
      <c r="CE42" s="3">
        <f t="shared" si="14"/>
        <v>28969</v>
      </c>
      <c r="CF42" s="55">
        <f t="shared" si="15"/>
        <v>75.580693253820357</v>
      </c>
      <c r="CG42" s="55">
        <f t="shared" si="16"/>
        <v>1.7661716674650525</v>
      </c>
      <c r="CH42" s="55">
        <f t="shared" si="17"/>
        <v>1.5282139528213954</v>
      </c>
      <c r="CI42" s="30">
        <v>249</v>
      </c>
      <c r="CJ42" s="30">
        <v>34</v>
      </c>
      <c r="CK42" s="30">
        <v>27</v>
      </c>
      <c r="CL42" s="30">
        <v>310</v>
      </c>
      <c r="CM42" s="30">
        <v>15241</v>
      </c>
      <c r="CN42" s="30">
        <v>504</v>
      </c>
      <c r="CO42" s="30">
        <v>423</v>
      </c>
      <c r="CP42" s="30">
        <v>16168</v>
      </c>
      <c r="CQ42" s="1">
        <f t="shared" si="27"/>
        <v>0.90582105440080674</v>
      </c>
      <c r="CR42" s="47">
        <v>114815</v>
      </c>
      <c r="CS42" s="55">
        <f t="shared" si="18"/>
        <v>6.432573253403552</v>
      </c>
      <c r="CT42" s="59">
        <v>5750</v>
      </c>
      <c r="CU42" s="29" t="s">
        <v>25</v>
      </c>
      <c r="CV42" s="29" t="s">
        <v>25</v>
      </c>
      <c r="CW42" s="29" t="s">
        <v>25</v>
      </c>
      <c r="CX42" s="35">
        <v>3</v>
      </c>
      <c r="CY42" s="49">
        <f t="shared" si="19"/>
        <v>5949.666666666667</v>
      </c>
      <c r="CZ42" s="35">
        <v>0</v>
      </c>
      <c r="DA42" s="35">
        <v>4</v>
      </c>
      <c r="DB42" s="35">
        <v>7</v>
      </c>
      <c r="DC42" s="49">
        <f t="shared" si="20"/>
        <v>2549.8571428571427</v>
      </c>
      <c r="DD42" s="30">
        <v>1283</v>
      </c>
      <c r="DE42" s="31">
        <v>116426</v>
      </c>
      <c r="DF42" s="35">
        <v>40</v>
      </c>
      <c r="DG42" s="29" t="s">
        <v>25</v>
      </c>
      <c r="DH42" s="29" t="s">
        <v>25</v>
      </c>
      <c r="DI42" s="29" t="s">
        <v>25</v>
      </c>
      <c r="DJ42" s="47">
        <v>60</v>
      </c>
      <c r="DK42" s="47">
        <v>192</v>
      </c>
      <c r="DL42" s="47">
        <v>20</v>
      </c>
      <c r="DM42" s="47">
        <v>27612</v>
      </c>
      <c r="DN42" s="47">
        <v>6071</v>
      </c>
      <c r="DO42" s="47">
        <v>40284</v>
      </c>
      <c r="DP42" s="29" t="s">
        <v>25</v>
      </c>
      <c r="DQ42" s="47">
        <v>14464</v>
      </c>
      <c r="DR42" s="47">
        <v>2683</v>
      </c>
      <c r="DS42" s="30">
        <v>52</v>
      </c>
      <c r="DT42" s="30">
        <v>54</v>
      </c>
      <c r="DU42" s="30">
        <v>54</v>
      </c>
      <c r="DV42" s="30">
        <v>54</v>
      </c>
      <c r="DX42" s="2">
        <f t="shared" si="21"/>
        <v>2683</v>
      </c>
      <c r="DY42" s="33" t="s">
        <v>2185</v>
      </c>
      <c r="DZ42" s="33" t="s">
        <v>156</v>
      </c>
      <c r="EA42" s="33" t="s">
        <v>2030</v>
      </c>
      <c r="EB42" s="33" t="s">
        <v>2027</v>
      </c>
      <c r="EC42" s="36">
        <v>33</v>
      </c>
      <c r="ED42" s="29" t="s">
        <v>155</v>
      </c>
      <c r="EE42" s="29" t="s">
        <v>140</v>
      </c>
      <c r="EF42" s="37">
        <v>41548</v>
      </c>
      <c r="EG42" s="37">
        <v>41912</v>
      </c>
      <c r="EH42" s="29" t="s">
        <v>155</v>
      </c>
      <c r="EI42" s="55">
        <f t="shared" si="22"/>
        <v>6.5036136478234079</v>
      </c>
      <c r="EJ42" s="54">
        <f t="shared" si="23"/>
        <v>0.1523894896072609</v>
      </c>
      <c r="EK42" s="55">
        <f t="shared" si="24"/>
        <v>4.2435430556333689</v>
      </c>
      <c r="EL42" s="54">
        <f t="shared" si="25"/>
        <v>0.46148243599081179</v>
      </c>
    </row>
    <row r="43" spans="1:142" ht="28.8" x14ac:dyDescent="0.3">
      <c r="A43" s="29" t="s">
        <v>157</v>
      </c>
      <c r="B43" s="29"/>
      <c r="C43" s="30">
        <v>4170</v>
      </c>
      <c r="D43" s="30">
        <v>0</v>
      </c>
      <c r="E43" s="30">
        <v>0</v>
      </c>
      <c r="F43" s="30">
        <v>5224</v>
      </c>
      <c r="H43" s="2">
        <f t="shared" si="26"/>
        <v>5224</v>
      </c>
      <c r="I43" s="1">
        <f t="shared" si="0"/>
        <v>1.2527577937649881</v>
      </c>
      <c r="J43" s="31">
        <v>122486</v>
      </c>
      <c r="K43" s="31">
        <v>63495</v>
      </c>
      <c r="L43" s="31">
        <v>185981</v>
      </c>
      <c r="M43" s="45">
        <f t="shared" si="1"/>
        <v>44.599760191846521</v>
      </c>
      <c r="N43" s="31">
        <v>18052</v>
      </c>
      <c r="O43" s="31">
        <v>875</v>
      </c>
      <c r="P43" s="31">
        <v>11473</v>
      </c>
      <c r="Q43" s="31">
        <v>30400</v>
      </c>
      <c r="R43" s="45">
        <f t="shared" si="2"/>
        <v>7.290167865707434</v>
      </c>
      <c r="S43" s="31">
        <v>19414</v>
      </c>
      <c r="T43" s="31">
        <v>235795</v>
      </c>
      <c r="U43" s="31">
        <v>0</v>
      </c>
      <c r="V43" s="31">
        <v>235795</v>
      </c>
      <c r="W43" s="45">
        <f t="shared" si="3"/>
        <v>56.545563549160669</v>
      </c>
      <c r="X43" s="4">
        <f t="shared" si="4"/>
        <v>0.78874021925825399</v>
      </c>
      <c r="Y43" s="4">
        <f t="shared" si="5"/>
        <v>0.12892554973599948</v>
      </c>
      <c r="Z43" s="4">
        <f t="shared" si="6"/>
        <v>8.2334231005746522E-2</v>
      </c>
      <c r="AA43" s="4">
        <f t="shared" si="7"/>
        <v>0</v>
      </c>
      <c r="AB43" s="31">
        <v>0</v>
      </c>
      <c r="AC43" s="31">
        <v>30400</v>
      </c>
      <c r="AD43" s="31">
        <v>235795</v>
      </c>
      <c r="AE43" s="31">
        <v>235795</v>
      </c>
      <c r="AF43" s="31">
        <v>235795</v>
      </c>
      <c r="AG43" s="31">
        <v>0</v>
      </c>
      <c r="AH43" s="31">
        <v>0</v>
      </c>
      <c r="AI43" s="31">
        <v>235795</v>
      </c>
      <c r="AJ43" s="45">
        <f t="shared" si="8"/>
        <v>56.545563549160669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10407</v>
      </c>
      <c r="AQ43" s="31">
        <v>10407</v>
      </c>
      <c r="AR43" s="31">
        <v>246202</v>
      </c>
      <c r="AS43" s="46">
        <f t="shared" si="9"/>
        <v>59.04124700239808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3" t="s">
        <v>25</v>
      </c>
      <c r="BD43" s="47">
        <v>30080</v>
      </c>
      <c r="BE43" s="47">
        <v>30080</v>
      </c>
      <c r="BF43" s="45">
        <f t="shared" si="10"/>
        <v>7.2134292565947238</v>
      </c>
      <c r="BG43" s="30">
        <v>332</v>
      </c>
      <c r="BH43" s="30">
        <v>332</v>
      </c>
      <c r="BI43" s="30">
        <v>88</v>
      </c>
      <c r="BJ43" s="30">
        <v>1933</v>
      </c>
      <c r="BK43" s="30">
        <v>1933</v>
      </c>
      <c r="BL43" s="30">
        <v>37</v>
      </c>
      <c r="BM43" s="30">
        <v>7495</v>
      </c>
      <c r="BN43" s="30">
        <v>0</v>
      </c>
      <c r="BO43" s="30">
        <v>51</v>
      </c>
      <c r="BP43" s="30">
        <v>0</v>
      </c>
      <c r="BQ43" s="30">
        <v>51</v>
      </c>
      <c r="BR43" s="47">
        <v>32345</v>
      </c>
      <c r="BS43" s="47">
        <v>39965</v>
      </c>
      <c r="BT43" s="1">
        <f t="shared" si="11"/>
        <v>9.5839328537170267</v>
      </c>
      <c r="BU43" s="30">
        <v>21</v>
      </c>
      <c r="BV43" s="30">
        <v>0</v>
      </c>
      <c r="BW43" s="47">
        <v>1226</v>
      </c>
      <c r="BX43" s="52">
        <f t="shared" si="12"/>
        <v>0.29400479616306957</v>
      </c>
      <c r="BY43" s="47">
        <v>11989</v>
      </c>
      <c r="BZ43" s="47">
        <v>20</v>
      </c>
      <c r="CA43" s="47">
        <v>17844</v>
      </c>
      <c r="CB43" s="47">
        <v>419</v>
      </c>
      <c r="CC43" s="47">
        <v>30272</v>
      </c>
      <c r="CD43" s="55">
        <f t="shared" si="13"/>
        <v>7.2594724220623501</v>
      </c>
      <c r="CE43" s="3">
        <f t="shared" si="14"/>
        <v>7568</v>
      </c>
      <c r="CF43" s="55">
        <f t="shared" si="15"/>
        <v>15.397761953204476</v>
      </c>
      <c r="CG43" s="55">
        <f t="shared" si="16"/>
        <v>0.91655564975172577</v>
      </c>
      <c r="CH43" s="55">
        <f t="shared" si="17"/>
        <v>0.74647816839734771</v>
      </c>
      <c r="CI43" s="30">
        <v>48</v>
      </c>
      <c r="CJ43" s="30">
        <v>10</v>
      </c>
      <c r="CK43" s="30">
        <v>35</v>
      </c>
      <c r="CL43" s="30">
        <v>93</v>
      </c>
      <c r="CM43" s="30">
        <v>891</v>
      </c>
      <c r="CN43" s="30">
        <v>170</v>
      </c>
      <c r="CO43" s="30">
        <v>527</v>
      </c>
      <c r="CP43" s="30">
        <v>1588</v>
      </c>
      <c r="CQ43" s="1">
        <f t="shared" si="27"/>
        <v>0.38081534772182252</v>
      </c>
      <c r="CR43" s="47">
        <v>33028</v>
      </c>
      <c r="CS43" s="55">
        <f t="shared" si="18"/>
        <v>7.9203836930455633</v>
      </c>
      <c r="CT43" s="59">
        <v>3251</v>
      </c>
      <c r="CU43" s="29" t="s">
        <v>25</v>
      </c>
      <c r="CV43" s="29" t="s">
        <v>25</v>
      </c>
      <c r="CW43" s="29" t="s">
        <v>25</v>
      </c>
      <c r="CX43" s="35">
        <v>0</v>
      </c>
      <c r="CY43" s="49">
        <v>0</v>
      </c>
      <c r="CZ43" s="35">
        <v>1</v>
      </c>
      <c r="DA43" s="35">
        <v>3</v>
      </c>
      <c r="DB43" s="35">
        <v>4</v>
      </c>
      <c r="DC43" s="49">
        <f t="shared" si="20"/>
        <v>1042.5</v>
      </c>
      <c r="DD43" s="30">
        <v>0</v>
      </c>
      <c r="DE43" s="31">
        <v>45396</v>
      </c>
      <c r="DF43" s="35">
        <v>40</v>
      </c>
      <c r="DG43" s="29" t="s">
        <v>25</v>
      </c>
      <c r="DH43" s="29" t="s">
        <v>25</v>
      </c>
      <c r="DI43" s="29" t="s">
        <v>25</v>
      </c>
      <c r="DJ43" s="47">
        <v>0</v>
      </c>
      <c r="DK43" s="47">
        <v>17</v>
      </c>
      <c r="DL43" s="47">
        <v>9</v>
      </c>
      <c r="DM43" s="47">
        <v>4474</v>
      </c>
      <c r="DN43" s="47">
        <v>0</v>
      </c>
      <c r="DO43" s="47">
        <v>0</v>
      </c>
      <c r="DP43" s="29" t="s">
        <v>2028</v>
      </c>
      <c r="DQ43" s="47">
        <v>0</v>
      </c>
      <c r="DR43" s="47">
        <v>1966</v>
      </c>
      <c r="DS43" s="30">
        <v>52</v>
      </c>
      <c r="DT43" s="30">
        <v>40</v>
      </c>
      <c r="DU43" s="30">
        <v>40</v>
      </c>
      <c r="DV43" s="30">
        <v>40</v>
      </c>
      <c r="DX43" s="2">
        <f t="shared" si="21"/>
        <v>1966</v>
      </c>
      <c r="DY43" s="33" t="s">
        <v>2185</v>
      </c>
      <c r="DZ43" s="33" t="s">
        <v>159</v>
      </c>
      <c r="EA43" s="33" t="s">
        <v>2030</v>
      </c>
      <c r="EB43" s="33" t="s">
        <v>2027</v>
      </c>
      <c r="EC43" s="36">
        <v>34</v>
      </c>
      <c r="ED43" s="29" t="s">
        <v>158</v>
      </c>
      <c r="EE43" s="29" t="s">
        <v>108</v>
      </c>
      <c r="EF43" s="37">
        <v>41548</v>
      </c>
      <c r="EG43" s="37">
        <v>41912</v>
      </c>
      <c r="EH43" s="29" t="s">
        <v>158</v>
      </c>
      <c r="EI43" s="55">
        <f t="shared" si="22"/>
        <v>2.8750599520383693</v>
      </c>
      <c r="EJ43" s="54">
        <f t="shared" si="23"/>
        <v>4.7961630695443642E-3</v>
      </c>
      <c r="EK43" s="55">
        <f t="shared" si="24"/>
        <v>4.2791366906474817</v>
      </c>
      <c r="EL43" s="54">
        <f t="shared" si="25"/>
        <v>0.10047961630695444</v>
      </c>
    </row>
    <row r="44" spans="1:142" ht="28.8" x14ac:dyDescent="0.3">
      <c r="A44" s="29" t="s">
        <v>160</v>
      </c>
      <c r="B44" s="29"/>
      <c r="C44" s="30">
        <v>19572</v>
      </c>
      <c r="D44" s="30">
        <v>0</v>
      </c>
      <c r="E44" s="30">
        <v>0</v>
      </c>
      <c r="F44" s="30">
        <v>5659</v>
      </c>
      <c r="H44" s="2">
        <f t="shared" si="26"/>
        <v>5659</v>
      </c>
      <c r="I44" s="1">
        <f t="shared" si="0"/>
        <v>0.28913754342938891</v>
      </c>
      <c r="J44" s="31">
        <v>181865</v>
      </c>
      <c r="K44" s="31">
        <v>48921</v>
      </c>
      <c r="L44" s="31">
        <v>230786</v>
      </c>
      <c r="M44" s="45">
        <f t="shared" si="1"/>
        <v>11.7916411199673</v>
      </c>
      <c r="N44" s="31">
        <v>35047</v>
      </c>
      <c r="O44" s="31">
        <v>6122</v>
      </c>
      <c r="P44" s="31">
        <v>1855</v>
      </c>
      <c r="Q44" s="31">
        <v>43024</v>
      </c>
      <c r="R44" s="45">
        <f t="shared" si="2"/>
        <v>2.1982423870835888</v>
      </c>
      <c r="S44" s="31">
        <v>41200</v>
      </c>
      <c r="T44" s="31">
        <v>315010</v>
      </c>
      <c r="U44" s="31">
        <v>0</v>
      </c>
      <c r="V44" s="31">
        <v>315010</v>
      </c>
      <c r="W44" s="45">
        <f t="shared" si="3"/>
        <v>16.094931534845699</v>
      </c>
      <c r="X44" s="4">
        <f t="shared" si="4"/>
        <v>0.73263071013618619</v>
      </c>
      <c r="Y44" s="4">
        <f t="shared" si="5"/>
        <v>0.13657979111774229</v>
      </c>
      <c r="Z44" s="4">
        <f t="shared" si="6"/>
        <v>0.13078949874607154</v>
      </c>
      <c r="AA44" s="4">
        <f t="shared" si="7"/>
        <v>0</v>
      </c>
      <c r="AB44" s="31">
        <v>0</v>
      </c>
      <c r="AC44" s="31">
        <v>43024</v>
      </c>
      <c r="AD44" s="31">
        <v>315010</v>
      </c>
      <c r="AE44" s="31">
        <v>297768</v>
      </c>
      <c r="AF44" s="31">
        <v>297768</v>
      </c>
      <c r="AG44" s="31">
        <v>0</v>
      </c>
      <c r="AH44" s="31">
        <v>0</v>
      </c>
      <c r="AI44" s="31">
        <v>297768</v>
      </c>
      <c r="AJ44" s="45">
        <f t="shared" si="8"/>
        <v>15.213979153893318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25444</v>
      </c>
      <c r="AQ44" s="31">
        <v>25444</v>
      </c>
      <c r="AR44" s="31">
        <v>323212</v>
      </c>
      <c r="AS44" s="46">
        <f t="shared" si="9"/>
        <v>16.513999591252809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3" t="s">
        <v>25</v>
      </c>
      <c r="BD44" s="47">
        <v>26483</v>
      </c>
      <c r="BE44" s="47">
        <v>27471</v>
      </c>
      <c r="BF44" s="45">
        <f t="shared" si="10"/>
        <v>1.4035867565910485</v>
      </c>
      <c r="BG44" s="30">
        <v>893</v>
      </c>
      <c r="BH44" s="30">
        <v>902</v>
      </c>
      <c r="BI44" s="30">
        <v>0</v>
      </c>
      <c r="BJ44" s="30">
        <v>1111</v>
      </c>
      <c r="BK44" s="30">
        <v>1182</v>
      </c>
      <c r="BL44" s="30">
        <v>0</v>
      </c>
      <c r="BM44" s="30">
        <v>168</v>
      </c>
      <c r="BN44" s="30">
        <v>3</v>
      </c>
      <c r="BO44" s="30">
        <v>51</v>
      </c>
      <c r="BP44" s="30">
        <v>0</v>
      </c>
      <c r="BQ44" s="30">
        <v>54</v>
      </c>
      <c r="BR44" s="47">
        <v>28487</v>
      </c>
      <c r="BS44" s="47">
        <v>29726</v>
      </c>
      <c r="BT44" s="1">
        <f t="shared" si="11"/>
        <v>1.5188023707337013</v>
      </c>
      <c r="BU44" s="30">
        <v>15</v>
      </c>
      <c r="BV44" s="30">
        <v>4</v>
      </c>
      <c r="BW44" s="47">
        <v>10730</v>
      </c>
      <c r="BX44" s="52">
        <f t="shared" si="12"/>
        <v>0.54823216840384226</v>
      </c>
      <c r="BY44" s="47">
        <v>42429</v>
      </c>
      <c r="BZ44" s="47">
        <v>0</v>
      </c>
      <c r="CA44" s="47">
        <v>44237</v>
      </c>
      <c r="CB44" s="47">
        <v>29</v>
      </c>
      <c r="CC44" s="47">
        <v>86695</v>
      </c>
      <c r="CD44" s="55">
        <f t="shared" si="13"/>
        <v>4.4295422031473537</v>
      </c>
      <c r="CE44" s="3">
        <f t="shared" si="14"/>
        <v>17339</v>
      </c>
      <c r="CF44" s="55">
        <f t="shared" si="15"/>
        <v>37.128479657387579</v>
      </c>
      <c r="CG44" s="55">
        <f t="shared" si="16"/>
        <v>1.5168667109913567</v>
      </c>
      <c r="CH44" s="55">
        <f t="shared" si="17"/>
        <v>2.9154948529906477</v>
      </c>
      <c r="CI44" s="30">
        <v>135</v>
      </c>
      <c r="CJ44" s="30">
        <v>10</v>
      </c>
      <c r="CK44" s="30">
        <v>25</v>
      </c>
      <c r="CL44" s="30">
        <v>170</v>
      </c>
      <c r="CM44" s="30">
        <v>3379</v>
      </c>
      <c r="CN44" s="30">
        <v>62</v>
      </c>
      <c r="CO44" s="30">
        <v>178</v>
      </c>
      <c r="CP44" s="30">
        <v>3619</v>
      </c>
      <c r="CQ44" s="1">
        <f t="shared" si="27"/>
        <v>0.18490701001430615</v>
      </c>
      <c r="CR44" s="47">
        <v>57154</v>
      </c>
      <c r="CS44" s="55">
        <f t="shared" si="18"/>
        <v>2.9201921111792357</v>
      </c>
      <c r="CT44" s="59">
        <v>16200</v>
      </c>
      <c r="CU44" s="29" t="s">
        <v>25</v>
      </c>
      <c r="CV44" s="29" t="s">
        <v>25</v>
      </c>
      <c r="CW44" s="29" t="s">
        <v>25</v>
      </c>
      <c r="CX44" s="35">
        <v>2</v>
      </c>
      <c r="CY44" s="49">
        <f t="shared" si="19"/>
        <v>9786</v>
      </c>
      <c r="CZ44" s="35">
        <v>0</v>
      </c>
      <c r="DA44" s="35">
        <v>3</v>
      </c>
      <c r="DB44" s="35">
        <v>5</v>
      </c>
      <c r="DC44" s="49">
        <f t="shared" si="20"/>
        <v>3914.4</v>
      </c>
      <c r="DD44" s="30">
        <v>850</v>
      </c>
      <c r="DE44" s="31">
        <v>73936</v>
      </c>
      <c r="DF44" s="35">
        <v>40</v>
      </c>
      <c r="DG44" s="29" t="s">
        <v>25</v>
      </c>
      <c r="DH44" s="29" t="s">
        <v>25</v>
      </c>
      <c r="DI44" s="29" t="s">
        <v>25</v>
      </c>
      <c r="DJ44" s="47">
        <v>56</v>
      </c>
      <c r="DK44" s="47">
        <v>106</v>
      </c>
      <c r="DL44" s="47">
        <v>13</v>
      </c>
      <c r="DM44" s="47">
        <v>13998</v>
      </c>
      <c r="DN44" s="47">
        <v>5500</v>
      </c>
      <c r="DO44" s="47">
        <v>1655</v>
      </c>
      <c r="DP44" s="29" t="s">
        <v>25</v>
      </c>
      <c r="DQ44" s="47">
        <v>4285</v>
      </c>
      <c r="DR44" s="47">
        <v>2335</v>
      </c>
      <c r="DS44" s="30">
        <v>52</v>
      </c>
      <c r="DT44" s="30">
        <v>47</v>
      </c>
      <c r="DU44" s="30">
        <v>47</v>
      </c>
      <c r="DV44" s="30">
        <v>47</v>
      </c>
      <c r="DX44" s="2">
        <f t="shared" si="21"/>
        <v>2335</v>
      </c>
      <c r="DY44" s="33" t="s">
        <v>2186</v>
      </c>
      <c r="DZ44" s="33" t="s">
        <v>163</v>
      </c>
      <c r="EA44" s="33" t="s">
        <v>2030</v>
      </c>
      <c r="EB44" s="33" t="s">
        <v>2027</v>
      </c>
      <c r="EC44" s="36">
        <v>35</v>
      </c>
      <c r="ED44" s="29" t="s">
        <v>161</v>
      </c>
      <c r="EE44" s="29" t="s">
        <v>128</v>
      </c>
      <c r="EF44" s="37">
        <v>41548</v>
      </c>
      <c r="EG44" s="37">
        <v>41912</v>
      </c>
      <c r="EH44" s="29" t="s">
        <v>161</v>
      </c>
      <c r="EI44" s="55">
        <f t="shared" si="22"/>
        <v>2.1678418148375229</v>
      </c>
      <c r="EJ44" s="54">
        <f t="shared" si="23"/>
        <v>0</v>
      </c>
      <c r="EK44" s="55">
        <f t="shared" si="24"/>
        <v>2.2602186797465769</v>
      </c>
      <c r="EL44" s="54">
        <f t="shared" si="25"/>
        <v>1.4817085632536275E-3</v>
      </c>
    </row>
    <row r="45" spans="1:142" ht="28.8" x14ac:dyDescent="0.3">
      <c r="A45" s="29" t="s">
        <v>1593</v>
      </c>
      <c r="B45" s="29"/>
      <c r="C45" s="30">
        <v>22206</v>
      </c>
      <c r="D45" s="30">
        <v>0</v>
      </c>
      <c r="E45" s="30">
        <v>0</v>
      </c>
      <c r="F45" s="30">
        <v>12000</v>
      </c>
      <c r="H45" s="2">
        <f t="shared" si="26"/>
        <v>12000</v>
      </c>
      <c r="I45" s="1">
        <f t="shared" si="0"/>
        <v>0.54039448797622269</v>
      </c>
      <c r="J45" s="31">
        <v>451108</v>
      </c>
      <c r="K45" s="31">
        <v>113844</v>
      </c>
      <c r="L45" s="31">
        <v>564952</v>
      </c>
      <c r="M45" s="45">
        <f t="shared" si="1"/>
        <v>25.441412230928577</v>
      </c>
      <c r="N45" s="31">
        <v>45860</v>
      </c>
      <c r="O45" s="31">
        <v>27494</v>
      </c>
      <c r="P45" s="31">
        <v>13461</v>
      </c>
      <c r="Q45" s="31">
        <v>86815</v>
      </c>
      <c r="R45" s="45">
        <f t="shared" si="2"/>
        <v>3.9095289561379807</v>
      </c>
      <c r="S45" s="31">
        <v>262991</v>
      </c>
      <c r="T45" s="31">
        <v>914758</v>
      </c>
      <c r="U45" s="31">
        <v>0</v>
      </c>
      <c r="V45" s="31">
        <v>914758</v>
      </c>
      <c r="W45" s="45">
        <f t="shared" si="3"/>
        <v>41.194181752679455</v>
      </c>
      <c r="X45" s="4">
        <f t="shared" si="4"/>
        <v>0.61759722243478599</v>
      </c>
      <c r="Y45" s="4">
        <f t="shared" si="5"/>
        <v>9.4904881946919289E-2</v>
      </c>
      <c r="Z45" s="4">
        <f t="shared" si="6"/>
        <v>0.2874978956182947</v>
      </c>
      <c r="AA45" s="4">
        <f t="shared" si="7"/>
        <v>0</v>
      </c>
      <c r="AB45" s="31">
        <v>42048</v>
      </c>
      <c r="AC45" s="31">
        <v>86815</v>
      </c>
      <c r="AD45" s="31">
        <v>913177</v>
      </c>
      <c r="AE45" s="31">
        <v>877723</v>
      </c>
      <c r="AF45" s="31">
        <v>1042990</v>
      </c>
      <c r="AG45" s="31">
        <v>0</v>
      </c>
      <c r="AH45" s="31">
        <v>0</v>
      </c>
      <c r="AI45" s="31">
        <v>1042990</v>
      </c>
      <c r="AJ45" s="45">
        <f t="shared" si="8"/>
        <v>46.968837251193371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35454</v>
      </c>
      <c r="AQ45" s="31">
        <v>35454</v>
      </c>
      <c r="AR45" s="31">
        <v>1078444</v>
      </c>
      <c r="AS45" s="46">
        <f t="shared" si="9"/>
        <v>48.56543276591912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3" t="s">
        <v>25</v>
      </c>
      <c r="BD45" s="47">
        <v>35466</v>
      </c>
      <c r="BE45" s="47">
        <v>36397</v>
      </c>
      <c r="BF45" s="45">
        <f t="shared" si="10"/>
        <v>1.6390615149058814</v>
      </c>
      <c r="BG45" s="30">
        <v>927</v>
      </c>
      <c r="BH45" s="30">
        <v>936</v>
      </c>
      <c r="BI45" s="30">
        <v>0</v>
      </c>
      <c r="BJ45" s="30">
        <v>4019</v>
      </c>
      <c r="BK45" s="30">
        <v>4910</v>
      </c>
      <c r="BL45" s="30">
        <v>0</v>
      </c>
      <c r="BM45" s="30">
        <v>8522</v>
      </c>
      <c r="BN45" s="30">
        <v>6</v>
      </c>
      <c r="BO45" s="30">
        <v>51</v>
      </c>
      <c r="BP45" s="30">
        <v>1</v>
      </c>
      <c r="BQ45" s="30">
        <v>58</v>
      </c>
      <c r="BR45" s="47">
        <v>40412</v>
      </c>
      <c r="BS45" s="47">
        <v>50771</v>
      </c>
      <c r="BT45" s="1">
        <f t="shared" si="11"/>
        <v>2.2863640457534</v>
      </c>
      <c r="BU45" s="30">
        <v>108</v>
      </c>
      <c r="BV45" s="30">
        <v>0</v>
      </c>
      <c r="BW45" s="47">
        <v>24192</v>
      </c>
      <c r="BX45" s="52">
        <f t="shared" si="12"/>
        <v>1.0894352877600648</v>
      </c>
      <c r="BY45" s="47">
        <v>40673</v>
      </c>
      <c r="BZ45" s="47">
        <v>38</v>
      </c>
      <c r="CA45" s="47">
        <v>46615</v>
      </c>
      <c r="CB45" s="47">
        <v>8522</v>
      </c>
      <c r="CC45" s="47">
        <v>95848</v>
      </c>
      <c r="CD45" s="55">
        <f t="shared" si="13"/>
        <v>4.316310906962082</v>
      </c>
      <c r="CE45" s="3">
        <f t="shared" si="14"/>
        <v>10306.236559139785</v>
      </c>
      <c r="CF45" s="55">
        <f t="shared" si="15"/>
        <v>38.201673973694696</v>
      </c>
      <c r="CG45" s="55">
        <f t="shared" si="16"/>
        <v>1.2997925170529285</v>
      </c>
      <c r="CH45" s="55">
        <f t="shared" si="17"/>
        <v>1.7192491776801717</v>
      </c>
      <c r="CI45" s="30">
        <v>193</v>
      </c>
      <c r="CJ45" s="30">
        <v>56</v>
      </c>
      <c r="CK45" s="30">
        <v>369</v>
      </c>
      <c r="CL45" s="30">
        <v>618</v>
      </c>
      <c r="CM45" s="30">
        <v>7257</v>
      </c>
      <c r="CN45" s="30">
        <v>577</v>
      </c>
      <c r="CO45" s="30">
        <v>1007</v>
      </c>
      <c r="CP45" s="30">
        <v>8841</v>
      </c>
      <c r="CQ45" s="1">
        <f t="shared" si="27"/>
        <v>0.39813563901648202</v>
      </c>
      <c r="CR45" s="47">
        <v>73741</v>
      </c>
      <c r="CS45" s="55">
        <f t="shared" si="18"/>
        <v>3.320769161487886</v>
      </c>
      <c r="CT45" s="59">
        <v>11536</v>
      </c>
      <c r="CU45" s="29" t="s">
        <v>25</v>
      </c>
      <c r="CV45" s="29" t="s">
        <v>25</v>
      </c>
      <c r="CW45" s="29" t="s">
        <v>25</v>
      </c>
      <c r="CX45" s="35">
        <v>4</v>
      </c>
      <c r="CY45" s="49">
        <f t="shared" si="19"/>
        <v>5551.5</v>
      </c>
      <c r="CZ45" s="35">
        <v>0</v>
      </c>
      <c r="DA45" s="35">
        <v>5.3</v>
      </c>
      <c r="DB45" s="35">
        <v>9.3000000000000007</v>
      </c>
      <c r="DC45" s="49">
        <f t="shared" si="20"/>
        <v>2387.7419354838707</v>
      </c>
      <c r="DD45" s="30">
        <v>1890</v>
      </c>
      <c r="DE45" s="31">
        <v>85000</v>
      </c>
      <c r="DF45" s="35">
        <v>40</v>
      </c>
      <c r="DG45" s="29" t="s">
        <v>25</v>
      </c>
      <c r="DH45" s="29" t="s">
        <v>25</v>
      </c>
      <c r="DI45" s="29" t="s">
        <v>25</v>
      </c>
      <c r="DJ45" s="47">
        <v>247</v>
      </c>
      <c r="DK45" s="47">
        <v>106</v>
      </c>
      <c r="DL45" s="47">
        <v>33</v>
      </c>
      <c r="DM45" s="47">
        <v>23144</v>
      </c>
      <c r="DN45" s="47">
        <v>207</v>
      </c>
      <c r="DO45" s="47">
        <v>9600</v>
      </c>
      <c r="DP45" s="29" t="s">
        <v>25</v>
      </c>
      <c r="DQ45" s="47">
        <v>146546</v>
      </c>
      <c r="DR45" s="47">
        <v>2509</v>
      </c>
      <c r="DS45" s="30">
        <v>52</v>
      </c>
      <c r="DT45" s="30">
        <v>50</v>
      </c>
      <c r="DU45" s="30">
        <v>50</v>
      </c>
      <c r="DV45" s="30">
        <v>50</v>
      </c>
      <c r="DX45" s="2">
        <f t="shared" si="21"/>
        <v>2509</v>
      </c>
      <c r="DY45" s="33" t="s">
        <v>2181</v>
      </c>
      <c r="DZ45" s="33" t="s">
        <v>1595</v>
      </c>
      <c r="EA45" s="33" t="s">
        <v>2033</v>
      </c>
      <c r="EB45" s="33" t="s">
        <v>2027</v>
      </c>
      <c r="EC45" s="36">
        <v>536</v>
      </c>
      <c r="ED45" s="29" t="s">
        <v>1594</v>
      </c>
      <c r="EE45" s="29" t="s">
        <v>91</v>
      </c>
      <c r="EF45" s="37">
        <v>41548</v>
      </c>
      <c r="EG45" s="37">
        <v>41912</v>
      </c>
      <c r="EH45" s="29" t="s">
        <v>1594</v>
      </c>
      <c r="EI45" s="55">
        <f t="shared" si="22"/>
        <v>1.8316220841214086</v>
      </c>
      <c r="EJ45" s="54">
        <f t="shared" si="23"/>
        <v>1.711249211924705E-3</v>
      </c>
      <c r="EK45" s="55">
        <f t="shared" si="24"/>
        <v>2.0992074214176348</v>
      </c>
      <c r="EL45" s="54">
        <f t="shared" si="25"/>
        <v>0.3837701522111141</v>
      </c>
    </row>
    <row r="46" spans="1:142" ht="28.8" x14ac:dyDescent="0.3">
      <c r="A46" s="29" t="s">
        <v>166</v>
      </c>
      <c r="B46" s="29"/>
      <c r="C46" s="30">
        <v>3601</v>
      </c>
      <c r="D46" s="30">
        <v>0</v>
      </c>
      <c r="E46" s="30">
        <v>0</v>
      </c>
      <c r="F46" s="30">
        <v>5000</v>
      </c>
      <c r="H46" s="2">
        <f t="shared" si="26"/>
        <v>5000</v>
      </c>
      <c r="I46" s="1">
        <f t="shared" si="0"/>
        <v>1.3885031935573451</v>
      </c>
      <c r="J46" s="31">
        <v>99588</v>
      </c>
      <c r="K46" s="31">
        <v>36381</v>
      </c>
      <c r="L46" s="31">
        <v>135969</v>
      </c>
      <c r="M46" s="45">
        <f t="shared" si="1"/>
        <v>37.758678144959731</v>
      </c>
      <c r="N46" s="31">
        <v>8111</v>
      </c>
      <c r="O46" s="31">
        <v>9251</v>
      </c>
      <c r="P46" s="31">
        <v>2326</v>
      </c>
      <c r="Q46" s="31">
        <v>19688</v>
      </c>
      <c r="R46" s="45">
        <f t="shared" si="2"/>
        <v>5.4673701749514025</v>
      </c>
      <c r="S46" s="31">
        <v>9094</v>
      </c>
      <c r="T46" s="31">
        <v>164751</v>
      </c>
      <c r="U46" s="31">
        <v>0</v>
      </c>
      <c r="V46" s="31">
        <v>164751</v>
      </c>
      <c r="W46" s="45">
        <f t="shared" si="3"/>
        <v>45.751457928353233</v>
      </c>
      <c r="X46" s="4">
        <f t="shared" si="4"/>
        <v>0.82529999817907018</v>
      </c>
      <c r="Y46" s="4">
        <f t="shared" si="5"/>
        <v>0.11950155082518467</v>
      </c>
      <c r="Z46" s="4">
        <f t="shared" si="6"/>
        <v>5.5198450995745094E-2</v>
      </c>
      <c r="AA46" s="4">
        <f t="shared" si="7"/>
        <v>0</v>
      </c>
      <c r="AB46" s="31">
        <v>0</v>
      </c>
      <c r="AC46" s="31">
        <v>19688</v>
      </c>
      <c r="AD46" s="31">
        <v>163375</v>
      </c>
      <c r="AE46" s="31">
        <v>160686</v>
      </c>
      <c r="AF46" s="31">
        <v>0</v>
      </c>
      <c r="AG46" s="31">
        <v>160686</v>
      </c>
      <c r="AH46" s="31">
        <v>0</v>
      </c>
      <c r="AI46" s="31">
        <v>160686</v>
      </c>
      <c r="AJ46" s="45">
        <f t="shared" si="8"/>
        <v>44.622604831991111</v>
      </c>
      <c r="AK46" s="31">
        <v>0</v>
      </c>
      <c r="AL46" s="31">
        <v>0</v>
      </c>
      <c r="AM46" s="31">
        <v>0</v>
      </c>
      <c r="AN46" s="31">
        <v>0</v>
      </c>
      <c r="AO46" s="31">
        <v>134</v>
      </c>
      <c r="AP46" s="31">
        <v>2555</v>
      </c>
      <c r="AQ46" s="31">
        <v>2689</v>
      </c>
      <c r="AR46" s="31">
        <v>163375</v>
      </c>
      <c r="AS46" s="46">
        <f t="shared" si="9"/>
        <v>45.369341849486254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3" t="s">
        <v>25</v>
      </c>
      <c r="BD46" s="47">
        <v>15474</v>
      </c>
      <c r="BE46" s="47">
        <v>15536</v>
      </c>
      <c r="BF46" s="45">
        <f t="shared" si="10"/>
        <v>4.3143571230213826</v>
      </c>
      <c r="BG46" s="30">
        <v>484</v>
      </c>
      <c r="BH46" s="30">
        <v>484</v>
      </c>
      <c r="BI46" s="30">
        <v>263</v>
      </c>
      <c r="BJ46" s="30">
        <v>447</v>
      </c>
      <c r="BK46" s="30">
        <v>447</v>
      </c>
      <c r="BL46" s="30">
        <v>4</v>
      </c>
      <c r="BM46" s="30">
        <v>756</v>
      </c>
      <c r="BN46" s="30">
        <v>1</v>
      </c>
      <c r="BO46" s="30">
        <v>51</v>
      </c>
      <c r="BP46" s="30">
        <v>1</v>
      </c>
      <c r="BQ46" s="30">
        <v>53</v>
      </c>
      <c r="BR46" s="47">
        <v>16405</v>
      </c>
      <c r="BS46" s="47">
        <v>17491</v>
      </c>
      <c r="BT46" s="1">
        <f t="shared" si="11"/>
        <v>4.8572618717023053</v>
      </c>
      <c r="BU46" s="30">
        <v>25</v>
      </c>
      <c r="BV46" s="30">
        <v>0</v>
      </c>
      <c r="BW46" s="47">
        <v>7417</v>
      </c>
      <c r="BX46" s="52">
        <f t="shared" si="12"/>
        <v>2.0597056373229656</v>
      </c>
      <c r="BY46" s="47">
        <v>1959</v>
      </c>
      <c r="BZ46" s="47">
        <v>9</v>
      </c>
      <c r="CA46" s="47">
        <v>3875</v>
      </c>
      <c r="CB46" s="47">
        <v>463</v>
      </c>
      <c r="CC46" s="47">
        <v>6306</v>
      </c>
      <c r="CD46" s="55">
        <f t="shared" si="13"/>
        <v>1.7511802277145236</v>
      </c>
      <c r="CE46" s="3">
        <f t="shared" si="14"/>
        <v>2314.1284403669724</v>
      </c>
      <c r="CF46" s="55">
        <f t="shared" si="15"/>
        <v>2.7122580645161292</v>
      </c>
      <c r="CG46" s="55">
        <f t="shared" si="16"/>
        <v>0.51015290025078874</v>
      </c>
      <c r="CH46" s="55">
        <f t="shared" si="17"/>
        <v>0.33354296495340463</v>
      </c>
      <c r="CI46" s="30">
        <v>62</v>
      </c>
      <c r="CJ46" s="30">
        <v>0</v>
      </c>
      <c r="CK46" s="30">
        <v>0</v>
      </c>
      <c r="CL46" s="30">
        <v>62</v>
      </c>
      <c r="CM46" s="30">
        <v>1054</v>
      </c>
      <c r="CN46" s="30">
        <v>0</v>
      </c>
      <c r="CO46" s="30">
        <v>0</v>
      </c>
      <c r="CP46" s="30">
        <v>1054</v>
      </c>
      <c r="CQ46" s="1">
        <f t="shared" si="27"/>
        <v>0.29269647320188835</v>
      </c>
      <c r="CR46" s="47">
        <v>12361</v>
      </c>
      <c r="CS46" s="55">
        <f t="shared" si="18"/>
        <v>3.4326575951124689</v>
      </c>
      <c r="CT46" s="59">
        <v>2130</v>
      </c>
      <c r="CU46" s="29" t="s">
        <v>25</v>
      </c>
      <c r="CV46" s="29" t="s">
        <v>25</v>
      </c>
      <c r="CW46" s="29" t="s">
        <v>25</v>
      </c>
      <c r="CX46" s="35">
        <v>1</v>
      </c>
      <c r="CY46" s="49">
        <f t="shared" si="19"/>
        <v>3601</v>
      </c>
      <c r="CZ46" s="35">
        <v>0</v>
      </c>
      <c r="DA46" s="35">
        <v>1.7250000000000001</v>
      </c>
      <c r="DB46" s="35">
        <v>2.7250000000000001</v>
      </c>
      <c r="DC46" s="49">
        <f t="shared" si="20"/>
        <v>1321.4678899082569</v>
      </c>
      <c r="DD46" s="30">
        <v>860</v>
      </c>
      <c r="DE46" s="31">
        <v>42667</v>
      </c>
      <c r="DF46" s="35">
        <v>40</v>
      </c>
      <c r="DG46" s="29" t="s">
        <v>25</v>
      </c>
      <c r="DH46" s="29" t="s">
        <v>25</v>
      </c>
      <c r="DI46" s="29" t="s">
        <v>25</v>
      </c>
      <c r="DJ46" s="47">
        <v>27</v>
      </c>
      <c r="DK46" s="47">
        <v>3</v>
      </c>
      <c r="DL46" s="47">
        <v>13</v>
      </c>
      <c r="DM46" s="47">
        <v>4828</v>
      </c>
      <c r="DN46" s="47">
        <v>1609</v>
      </c>
      <c r="DO46" s="47">
        <v>-1</v>
      </c>
      <c r="DP46" s="29" t="s">
        <v>2028</v>
      </c>
      <c r="DQ46" s="47">
        <v>0</v>
      </c>
      <c r="DR46" s="47">
        <v>2325</v>
      </c>
      <c r="DS46" s="30">
        <v>50</v>
      </c>
      <c r="DT46" s="30">
        <v>46</v>
      </c>
      <c r="DU46" s="30">
        <v>46</v>
      </c>
      <c r="DV46" s="30">
        <v>46</v>
      </c>
      <c r="DX46" s="2">
        <f t="shared" si="21"/>
        <v>2325</v>
      </c>
      <c r="DY46" s="33" t="s">
        <v>2179</v>
      </c>
      <c r="DZ46" s="33" t="s">
        <v>167</v>
      </c>
      <c r="EA46" s="33" t="s">
        <v>2031</v>
      </c>
      <c r="EB46" s="33" t="s">
        <v>2027</v>
      </c>
      <c r="EC46" s="36">
        <v>36</v>
      </c>
      <c r="ED46" s="29" t="s">
        <v>164</v>
      </c>
      <c r="EE46" s="29" t="s">
        <v>165</v>
      </c>
      <c r="EF46" s="37">
        <v>41548</v>
      </c>
      <c r="EG46" s="37">
        <v>41912</v>
      </c>
      <c r="EH46" s="29" t="s">
        <v>164</v>
      </c>
      <c r="EI46" s="55">
        <f t="shared" si="22"/>
        <v>0.54401555123576784</v>
      </c>
      <c r="EJ46" s="54">
        <f t="shared" si="23"/>
        <v>2.4993057484032212E-3</v>
      </c>
      <c r="EK46" s="55">
        <f t="shared" si="24"/>
        <v>1.0760899750069426</v>
      </c>
      <c r="EL46" s="54">
        <f t="shared" si="25"/>
        <v>0.12857539572341017</v>
      </c>
    </row>
    <row r="47" spans="1:142" ht="28.8" x14ac:dyDescent="0.3">
      <c r="A47" s="29" t="s">
        <v>169</v>
      </c>
      <c r="B47" s="29"/>
      <c r="C47" s="30">
        <v>36147</v>
      </c>
      <c r="D47" s="30">
        <v>0</v>
      </c>
      <c r="E47" s="30">
        <v>0</v>
      </c>
      <c r="F47" s="30">
        <v>25000</v>
      </c>
      <c r="H47" s="2">
        <f t="shared" si="26"/>
        <v>25000</v>
      </c>
      <c r="I47" s="1">
        <f t="shared" si="0"/>
        <v>0.69162032810468366</v>
      </c>
      <c r="J47" s="31">
        <v>226112</v>
      </c>
      <c r="K47" s="31">
        <v>105859</v>
      </c>
      <c r="L47" s="31">
        <v>331971</v>
      </c>
      <c r="M47" s="45">
        <f t="shared" si="1"/>
        <v>9.1839156776495976</v>
      </c>
      <c r="N47" s="31">
        <v>33996</v>
      </c>
      <c r="O47" s="31">
        <v>0</v>
      </c>
      <c r="P47" s="31">
        <v>4123</v>
      </c>
      <c r="Q47" s="31">
        <v>38119</v>
      </c>
      <c r="R47" s="45">
        <f t="shared" si="2"/>
        <v>1.0545550114808975</v>
      </c>
      <c r="S47" s="31">
        <v>71697</v>
      </c>
      <c r="T47" s="31">
        <v>441787</v>
      </c>
      <c r="U47" s="31">
        <v>0</v>
      </c>
      <c r="V47" s="31">
        <v>441787</v>
      </c>
      <c r="W47" s="45">
        <f t="shared" si="3"/>
        <v>12.221954795695355</v>
      </c>
      <c r="X47" s="4">
        <f t="shared" si="4"/>
        <v>0.75142772422004267</v>
      </c>
      <c r="Y47" s="4">
        <f t="shared" si="5"/>
        <v>8.6283661583523283E-2</v>
      </c>
      <c r="Z47" s="4">
        <f t="shared" si="6"/>
        <v>0.16228861419643403</v>
      </c>
      <c r="AA47" s="4">
        <f t="shared" si="7"/>
        <v>0</v>
      </c>
      <c r="AB47" s="31">
        <v>0</v>
      </c>
      <c r="AC47" s="31">
        <v>38119</v>
      </c>
      <c r="AD47" s="31">
        <v>441787</v>
      </c>
      <c r="AE47" s="31">
        <v>410226</v>
      </c>
      <c r="AF47" s="31">
        <v>0</v>
      </c>
      <c r="AG47" s="31">
        <v>410226</v>
      </c>
      <c r="AH47" s="31">
        <v>0</v>
      </c>
      <c r="AI47" s="31">
        <v>410226</v>
      </c>
      <c r="AJ47" s="45">
        <f t="shared" si="8"/>
        <v>11.348825628682878</v>
      </c>
      <c r="AK47" s="31">
        <v>0</v>
      </c>
      <c r="AL47" s="31">
        <v>0</v>
      </c>
      <c r="AM47" s="31">
        <v>0</v>
      </c>
      <c r="AN47" s="31">
        <v>0</v>
      </c>
      <c r="AO47" s="31">
        <v>12800</v>
      </c>
      <c r="AP47" s="31">
        <v>19782</v>
      </c>
      <c r="AQ47" s="31">
        <v>32582</v>
      </c>
      <c r="AR47" s="31">
        <v>442808</v>
      </c>
      <c r="AS47" s="46">
        <f t="shared" si="9"/>
        <v>12.250200569895151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3" t="s">
        <v>25</v>
      </c>
      <c r="BD47" s="47">
        <v>64852</v>
      </c>
      <c r="BE47" s="47">
        <v>67651</v>
      </c>
      <c r="BF47" s="45">
        <f t="shared" si="10"/>
        <v>1.8715522726643981</v>
      </c>
      <c r="BG47" s="30">
        <v>1506</v>
      </c>
      <c r="BH47" s="30">
        <v>1661</v>
      </c>
      <c r="BI47" s="30">
        <v>0</v>
      </c>
      <c r="BJ47" s="30">
        <v>1757</v>
      </c>
      <c r="BK47" s="30">
        <v>1789</v>
      </c>
      <c r="BL47" s="30">
        <v>0</v>
      </c>
      <c r="BM47" s="30">
        <v>0</v>
      </c>
      <c r="BN47" s="30">
        <v>1</v>
      </c>
      <c r="BO47" s="30">
        <v>51</v>
      </c>
      <c r="BP47" s="30">
        <v>0</v>
      </c>
      <c r="BQ47" s="30">
        <v>52</v>
      </c>
      <c r="BR47" s="47">
        <v>68115</v>
      </c>
      <c r="BS47" s="47">
        <v>71102</v>
      </c>
      <c r="BT47" s="1">
        <f t="shared" si="11"/>
        <v>1.9670235427559686</v>
      </c>
      <c r="BU47" s="30">
        <v>50</v>
      </c>
      <c r="BV47" s="30">
        <v>0</v>
      </c>
      <c r="BW47" s="47">
        <v>2022</v>
      </c>
      <c r="BX47" s="52">
        <f t="shared" si="12"/>
        <v>5.5938252137106813E-2</v>
      </c>
      <c r="BY47" s="47">
        <v>17260</v>
      </c>
      <c r="BZ47" s="47">
        <v>0</v>
      </c>
      <c r="CA47" s="47">
        <v>41419</v>
      </c>
      <c r="CB47" s="47">
        <v>0</v>
      </c>
      <c r="CC47" s="47">
        <v>58679</v>
      </c>
      <c r="CD47" s="55">
        <f t="shared" si="13"/>
        <v>1.6233435693141893</v>
      </c>
      <c r="CE47" s="3">
        <f t="shared" si="14"/>
        <v>8741.7504655493485</v>
      </c>
      <c r="CF47" s="55">
        <f t="shared" si="15"/>
        <v>24.327943615257048</v>
      </c>
      <c r="CG47" s="55">
        <f t="shared" si="16"/>
        <v>0.79435494788141325</v>
      </c>
      <c r="CH47" s="55">
        <f t="shared" si="17"/>
        <v>0.82527917639447557</v>
      </c>
      <c r="CI47" s="30">
        <v>52</v>
      </c>
      <c r="CJ47" s="30">
        <v>0</v>
      </c>
      <c r="CK47" s="30">
        <v>8</v>
      </c>
      <c r="CL47" s="30">
        <v>60</v>
      </c>
      <c r="CM47" s="30">
        <v>2044</v>
      </c>
      <c r="CN47" s="30">
        <v>0</v>
      </c>
      <c r="CO47" s="30">
        <v>56</v>
      </c>
      <c r="CP47" s="30">
        <v>2100</v>
      </c>
      <c r="CQ47" s="1">
        <f t="shared" si="27"/>
        <v>5.8096107560793427E-2</v>
      </c>
      <c r="CR47" s="47">
        <v>73870</v>
      </c>
      <c r="CS47" s="55">
        <f t="shared" si="18"/>
        <v>2.0435997454837191</v>
      </c>
      <c r="CT47" s="59">
        <v>12860</v>
      </c>
      <c r="CU47" s="29" t="s">
        <v>25</v>
      </c>
      <c r="CV47" s="29" t="s">
        <v>25</v>
      </c>
      <c r="CW47" s="29" t="s">
        <v>25</v>
      </c>
      <c r="CX47" s="35">
        <v>1</v>
      </c>
      <c r="CY47" s="49">
        <f t="shared" si="19"/>
        <v>36147</v>
      </c>
      <c r="CZ47" s="35">
        <v>1</v>
      </c>
      <c r="DA47" s="35">
        <v>4.7125000000000004</v>
      </c>
      <c r="DB47" s="35">
        <v>6.7125000000000004</v>
      </c>
      <c r="DC47" s="49">
        <f t="shared" si="20"/>
        <v>5385.0279329608938</v>
      </c>
      <c r="DD47" s="30">
        <v>380</v>
      </c>
      <c r="DE47" s="31">
        <v>52350</v>
      </c>
      <c r="DF47" s="35">
        <v>40</v>
      </c>
      <c r="DG47" s="29" t="s">
        <v>25</v>
      </c>
      <c r="DH47" s="29" t="s">
        <v>25</v>
      </c>
      <c r="DI47" s="29" t="s">
        <v>25</v>
      </c>
      <c r="DJ47" s="47">
        <v>171</v>
      </c>
      <c r="DK47" s="47">
        <v>248</v>
      </c>
      <c r="DL47" s="47">
        <v>11</v>
      </c>
      <c r="DM47" s="47">
        <v>8170</v>
      </c>
      <c r="DN47" s="47">
        <v>80</v>
      </c>
      <c r="DO47" s="47">
        <v>1845</v>
      </c>
      <c r="DP47" s="29" t="s">
        <v>2028</v>
      </c>
      <c r="DQ47" s="47">
        <v>0</v>
      </c>
      <c r="DR47" s="47">
        <v>2412</v>
      </c>
      <c r="DS47" s="30">
        <v>52</v>
      </c>
      <c r="DT47" s="30">
        <v>52</v>
      </c>
      <c r="DU47" s="30">
        <v>52</v>
      </c>
      <c r="DV47" s="30">
        <v>52</v>
      </c>
      <c r="DX47" s="2">
        <f t="shared" si="21"/>
        <v>2412</v>
      </c>
      <c r="DY47" s="33" t="s">
        <v>2178</v>
      </c>
      <c r="DZ47" s="33" t="s">
        <v>170</v>
      </c>
      <c r="EA47" s="33" t="s">
        <v>2031</v>
      </c>
      <c r="EB47" s="33" t="s">
        <v>2027</v>
      </c>
      <c r="EC47" s="36">
        <v>37</v>
      </c>
      <c r="ED47" s="29" t="s">
        <v>168</v>
      </c>
      <c r="EE47" s="29" t="s">
        <v>145</v>
      </c>
      <c r="EF47" s="37">
        <v>41548</v>
      </c>
      <c r="EG47" s="37">
        <v>41912</v>
      </c>
      <c r="EH47" s="29" t="s">
        <v>168</v>
      </c>
      <c r="EI47" s="55">
        <f t="shared" si="22"/>
        <v>0.47749467452347361</v>
      </c>
      <c r="EJ47" s="54">
        <f t="shared" si="23"/>
        <v>0</v>
      </c>
      <c r="EK47" s="55">
        <f t="shared" si="24"/>
        <v>1.1458488947907157</v>
      </c>
      <c r="EL47" s="54">
        <f t="shared" si="25"/>
        <v>0</v>
      </c>
    </row>
    <row r="48" spans="1:142" ht="43.2" x14ac:dyDescent="0.3">
      <c r="A48" s="29" t="s">
        <v>171</v>
      </c>
      <c r="B48" s="29"/>
      <c r="C48" s="30">
        <v>5604</v>
      </c>
      <c r="D48" s="30">
        <v>0</v>
      </c>
      <c r="E48" s="30">
        <v>0</v>
      </c>
      <c r="F48" s="30">
        <v>6200</v>
      </c>
      <c r="H48" s="2">
        <f t="shared" si="26"/>
        <v>6200</v>
      </c>
      <c r="I48" s="1">
        <f t="shared" si="0"/>
        <v>1.1063526052819415</v>
      </c>
      <c r="J48" s="31">
        <v>68689</v>
      </c>
      <c r="K48" s="31">
        <v>10619</v>
      </c>
      <c r="L48" s="31">
        <v>79308</v>
      </c>
      <c r="M48" s="45">
        <f t="shared" si="1"/>
        <v>14.152034261241971</v>
      </c>
      <c r="N48" s="31">
        <v>10932</v>
      </c>
      <c r="O48" s="31">
        <v>1500</v>
      </c>
      <c r="P48" s="31">
        <v>1292</v>
      </c>
      <c r="Q48" s="31">
        <v>13724</v>
      </c>
      <c r="R48" s="45">
        <f t="shared" si="2"/>
        <v>2.4489650249821557</v>
      </c>
      <c r="S48" s="31">
        <v>54813</v>
      </c>
      <c r="T48" s="31">
        <v>147845</v>
      </c>
      <c r="U48" s="31">
        <v>0</v>
      </c>
      <c r="V48" s="31">
        <v>147845</v>
      </c>
      <c r="W48" s="45">
        <f t="shared" si="3"/>
        <v>26.382048536759459</v>
      </c>
      <c r="X48" s="4">
        <f t="shared" si="4"/>
        <v>0.5364266630592851</v>
      </c>
      <c r="Y48" s="4">
        <f t="shared" si="5"/>
        <v>9.2826947140586424E-2</v>
      </c>
      <c r="Z48" s="4">
        <f t="shared" si="6"/>
        <v>0.37074638980012853</v>
      </c>
      <c r="AA48" s="4">
        <f t="shared" si="7"/>
        <v>0</v>
      </c>
      <c r="AB48" s="31">
        <v>0</v>
      </c>
      <c r="AC48" s="31">
        <v>13724</v>
      </c>
      <c r="AD48" s="31">
        <v>132205</v>
      </c>
      <c r="AE48" s="31">
        <v>101062</v>
      </c>
      <c r="AF48" s="31">
        <v>96062</v>
      </c>
      <c r="AG48" s="31">
        <v>5000</v>
      </c>
      <c r="AH48" s="31">
        <v>0</v>
      </c>
      <c r="AI48" s="31">
        <v>101062</v>
      </c>
      <c r="AJ48" s="45">
        <f t="shared" si="8"/>
        <v>18.033904354032835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88834</v>
      </c>
      <c r="AQ48" s="31">
        <v>88834</v>
      </c>
      <c r="AR48" s="31">
        <v>189896</v>
      </c>
      <c r="AS48" s="46">
        <f t="shared" si="9"/>
        <v>33.885795860099925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3" t="s">
        <v>25</v>
      </c>
      <c r="BD48" s="47">
        <v>24652</v>
      </c>
      <c r="BE48" s="47">
        <v>24912</v>
      </c>
      <c r="BF48" s="45">
        <f t="shared" si="10"/>
        <v>4.4453961456102782</v>
      </c>
      <c r="BG48" s="30">
        <v>1275</v>
      </c>
      <c r="BH48" s="30">
        <v>1275</v>
      </c>
      <c r="BI48" s="30">
        <v>1456</v>
      </c>
      <c r="BJ48" s="30">
        <v>1524</v>
      </c>
      <c r="BK48" s="30">
        <v>1536</v>
      </c>
      <c r="BL48" s="30">
        <v>126</v>
      </c>
      <c r="BM48" s="30">
        <v>8088</v>
      </c>
      <c r="BN48" s="30">
        <v>0</v>
      </c>
      <c r="BO48" s="30">
        <v>51</v>
      </c>
      <c r="BP48" s="30">
        <v>0</v>
      </c>
      <c r="BQ48" s="30">
        <v>51</v>
      </c>
      <c r="BR48" s="47">
        <v>27451</v>
      </c>
      <c r="BS48" s="47">
        <v>37393</v>
      </c>
      <c r="BT48" s="1">
        <f t="shared" si="11"/>
        <v>6.6725553176302643</v>
      </c>
      <c r="BU48" s="30">
        <v>22</v>
      </c>
      <c r="BV48" s="30">
        <v>0</v>
      </c>
      <c r="BW48" s="47">
        <v>1936</v>
      </c>
      <c r="BX48" s="52">
        <f t="shared" si="12"/>
        <v>0.3454675231977159</v>
      </c>
      <c r="BY48" s="47">
        <v>5642</v>
      </c>
      <c r="BZ48" s="47">
        <v>35</v>
      </c>
      <c r="CA48" s="47">
        <v>20170</v>
      </c>
      <c r="CB48" s="47">
        <v>1242</v>
      </c>
      <c r="CC48" s="47">
        <v>27089</v>
      </c>
      <c r="CD48" s="55">
        <f t="shared" si="13"/>
        <v>4.8338686652391152</v>
      </c>
      <c r="CE48" s="3">
        <f t="shared" si="14"/>
        <v>11527.234042553191</v>
      </c>
      <c r="CF48" s="55">
        <f t="shared" si="15"/>
        <v>11.681328158689091</v>
      </c>
      <c r="CG48" s="55">
        <f t="shared" si="16"/>
        <v>0.90732181136120038</v>
      </c>
      <c r="CH48" s="55">
        <f t="shared" si="17"/>
        <v>0.69028962640066327</v>
      </c>
      <c r="CI48" s="30">
        <v>78</v>
      </c>
      <c r="CJ48" s="30">
        <v>11</v>
      </c>
      <c r="CK48" s="30">
        <v>273</v>
      </c>
      <c r="CL48" s="30">
        <v>362</v>
      </c>
      <c r="CM48" s="30">
        <v>579</v>
      </c>
      <c r="CN48" s="30">
        <v>25</v>
      </c>
      <c r="CO48" s="30">
        <v>1897</v>
      </c>
      <c r="CP48" s="30">
        <v>2501</v>
      </c>
      <c r="CQ48" s="1">
        <f t="shared" si="27"/>
        <v>0.44628836545324768</v>
      </c>
      <c r="CR48" s="47">
        <v>29856</v>
      </c>
      <c r="CS48" s="55">
        <f t="shared" si="18"/>
        <v>5.32762312633833</v>
      </c>
      <c r="CT48" s="59">
        <v>3153</v>
      </c>
      <c r="CU48" s="29" t="s">
        <v>25</v>
      </c>
      <c r="CV48" s="29" t="s">
        <v>25</v>
      </c>
      <c r="CW48" s="29" t="s">
        <v>25</v>
      </c>
      <c r="CX48" s="35">
        <v>1</v>
      </c>
      <c r="CY48" s="49">
        <f t="shared" si="19"/>
        <v>5604</v>
      </c>
      <c r="CZ48" s="35">
        <v>0</v>
      </c>
      <c r="DA48" s="35">
        <v>1.35</v>
      </c>
      <c r="DB48" s="35">
        <v>2.35</v>
      </c>
      <c r="DC48" s="49">
        <f t="shared" si="20"/>
        <v>2384.6808510638298</v>
      </c>
      <c r="DD48" s="30">
        <v>3552</v>
      </c>
      <c r="DE48" s="31">
        <v>37964</v>
      </c>
      <c r="DF48" s="35">
        <v>40</v>
      </c>
      <c r="DG48" s="29" t="s">
        <v>25</v>
      </c>
      <c r="DH48" s="29" t="s">
        <v>25</v>
      </c>
      <c r="DI48" s="29" t="s">
        <v>25</v>
      </c>
      <c r="DJ48" s="47">
        <v>69</v>
      </c>
      <c r="DK48" s="47">
        <v>52</v>
      </c>
      <c r="DL48" s="47">
        <v>20</v>
      </c>
      <c r="DM48" s="47">
        <v>5869</v>
      </c>
      <c r="DN48" s="47">
        <v>512</v>
      </c>
      <c r="DO48" s="47">
        <v>1600</v>
      </c>
      <c r="DP48" s="29" t="s">
        <v>25</v>
      </c>
      <c r="DQ48" s="47">
        <v>6044</v>
      </c>
      <c r="DR48" s="47">
        <v>2319</v>
      </c>
      <c r="DS48" s="30">
        <v>51</v>
      </c>
      <c r="DT48" s="30">
        <v>46</v>
      </c>
      <c r="DU48" s="30">
        <v>46</v>
      </c>
      <c r="DV48" s="30">
        <v>46</v>
      </c>
      <c r="DX48" s="2">
        <f t="shared" si="21"/>
        <v>2319</v>
      </c>
      <c r="DY48" s="33" t="s">
        <v>2186</v>
      </c>
      <c r="DZ48" s="33" t="s">
        <v>173</v>
      </c>
      <c r="EA48" s="33" t="s">
        <v>2033</v>
      </c>
      <c r="EB48" s="33" t="s">
        <v>2027</v>
      </c>
      <c r="EC48" s="36">
        <v>38</v>
      </c>
      <c r="ED48" s="29" t="s">
        <v>172</v>
      </c>
      <c r="EE48" s="29" t="s">
        <v>171</v>
      </c>
      <c r="EF48" s="37">
        <v>41456</v>
      </c>
      <c r="EG48" s="37">
        <v>41820</v>
      </c>
      <c r="EH48" s="29" t="s">
        <v>172</v>
      </c>
      <c r="EI48" s="55">
        <f t="shared" si="22"/>
        <v>1.0067808708065666</v>
      </c>
      <c r="EJ48" s="54">
        <f t="shared" si="23"/>
        <v>6.2455389007851532E-3</v>
      </c>
      <c r="EK48" s="55">
        <f t="shared" si="24"/>
        <v>3.599214846538187</v>
      </c>
      <c r="EL48" s="54">
        <f t="shared" si="25"/>
        <v>0.22162740899357602</v>
      </c>
    </row>
    <row r="49" spans="1:142" ht="28.8" x14ac:dyDescent="0.3">
      <c r="A49" s="29" t="s">
        <v>174</v>
      </c>
      <c r="B49" s="29"/>
      <c r="C49" s="30">
        <v>22160</v>
      </c>
      <c r="D49" s="30">
        <v>0</v>
      </c>
      <c r="E49" s="30">
        <v>0</v>
      </c>
      <c r="F49" s="30">
        <v>30250</v>
      </c>
      <c r="H49" s="2">
        <f t="shared" si="26"/>
        <v>30250</v>
      </c>
      <c r="I49" s="1">
        <f t="shared" si="0"/>
        <v>1.3650722021660651</v>
      </c>
      <c r="J49" s="31">
        <v>520133</v>
      </c>
      <c r="K49" s="31">
        <v>205235</v>
      </c>
      <c r="L49" s="31">
        <v>725368</v>
      </c>
      <c r="M49" s="45">
        <f t="shared" si="1"/>
        <v>32.733212996389895</v>
      </c>
      <c r="N49" s="31">
        <v>44112</v>
      </c>
      <c r="O49" s="31">
        <v>7131</v>
      </c>
      <c r="P49" s="31">
        <v>7510</v>
      </c>
      <c r="Q49" s="31">
        <v>58753</v>
      </c>
      <c r="R49" s="45">
        <f t="shared" si="2"/>
        <v>2.6513086642599277</v>
      </c>
      <c r="S49" s="31">
        <v>190273</v>
      </c>
      <c r="T49" s="31">
        <v>974394</v>
      </c>
      <c r="U49" s="31">
        <v>0</v>
      </c>
      <c r="V49" s="31">
        <v>974394</v>
      </c>
      <c r="W49" s="45">
        <f t="shared" si="3"/>
        <v>43.970848375451261</v>
      </c>
      <c r="X49" s="4">
        <f t="shared" si="4"/>
        <v>0.74442987128410065</v>
      </c>
      <c r="Y49" s="4">
        <f t="shared" si="5"/>
        <v>6.0296964061765566E-2</v>
      </c>
      <c r="Z49" s="4">
        <f t="shared" si="6"/>
        <v>0.19527316465413375</v>
      </c>
      <c r="AA49" s="4">
        <f t="shared" si="7"/>
        <v>0</v>
      </c>
      <c r="AB49" s="31">
        <v>0</v>
      </c>
      <c r="AC49" s="31">
        <v>58753</v>
      </c>
      <c r="AD49" s="31">
        <v>974394</v>
      </c>
      <c r="AE49" s="31">
        <v>926848</v>
      </c>
      <c r="AF49" s="31">
        <v>604017</v>
      </c>
      <c r="AG49" s="31">
        <v>200861</v>
      </c>
      <c r="AH49" s="31">
        <v>0</v>
      </c>
      <c r="AI49" s="31">
        <v>804878</v>
      </c>
      <c r="AJ49" s="45">
        <f t="shared" si="8"/>
        <v>36.321209386281588</v>
      </c>
      <c r="AK49" s="31">
        <v>0</v>
      </c>
      <c r="AL49" s="31">
        <v>0</v>
      </c>
      <c r="AM49" s="31">
        <v>0</v>
      </c>
      <c r="AN49" s="31">
        <v>0</v>
      </c>
      <c r="AO49" s="31">
        <v>500</v>
      </c>
      <c r="AP49" s="31">
        <v>47046</v>
      </c>
      <c r="AQ49" s="31">
        <v>47546</v>
      </c>
      <c r="AR49" s="31">
        <v>852424</v>
      </c>
      <c r="AS49" s="46">
        <f t="shared" si="9"/>
        <v>38.466787003610108</v>
      </c>
      <c r="AT49" s="31">
        <v>100000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100000</v>
      </c>
      <c r="BC49" s="33" t="s">
        <v>25</v>
      </c>
      <c r="BD49" s="47">
        <v>38222</v>
      </c>
      <c r="BE49" s="47">
        <v>39175</v>
      </c>
      <c r="BF49" s="45">
        <f t="shared" si="10"/>
        <v>1.7678249097472925</v>
      </c>
      <c r="BG49" s="30">
        <v>2221</v>
      </c>
      <c r="BH49" s="30">
        <v>2254</v>
      </c>
      <c r="BI49" s="30">
        <v>1067</v>
      </c>
      <c r="BJ49" s="30">
        <v>5377</v>
      </c>
      <c r="BK49" s="30">
        <v>5513</v>
      </c>
      <c r="BL49" s="30">
        <v>163</v>
      </c>
      <c r="BM49" s="30">
        <v>3844</v>
      </c>
      <c r="BN49" s="30">
        <v>6</v>
      </c>
      <c r="BO49" s="30">
        <v>51</v>
      </c>
      <c r="BP49" s="30">
        <v>0</v>
      </c>
      <c r="BQ49" s="30">
        <v>57</v>
      </c>
      <c r="BR49" s="47">
        <v>45820</v>
      </c>
      <c r="BS49" s="47">
        <v>52022</v>
      </c>
      <c r="BT49" s="1">
        <f t="shared" si="11"/>
        <v>2.3475631768953069</v>
      </c>
      <c r="BU49" s="30">
        <v>77</v>
      </c>
      <c r="BV49" s="30">
        <v>5</v>
      </c>
      <c r="BW49" s="47">
        <v>14196</v>
      </c>
      <c r="BX49" s="52">
        <f t="shared" si="12"/>
        <v>0.64061371841155235</v>
      </c>
      <c r="BY49" s="47">
        <v>100627</v>
      </c>
      <c r="BZ49" s="47">
        <v>557</v>
      </c>
      <c r="CA49" s="47">
        <v>143097</v>
      </c>
      <c r="CB49" s="47">
        <v>12850</v>
      </c>
      <c r="CC49" s="47">
        <v>257131</v>
      </c>
      <c r="CD49" s="55">
        <f t="shared" si="13"/>
        <v>11.603384476534297</v>
      </c>
      <c r="CE49" s="3">
        <f t="shared" si="14"/>
        <v>19406.113207547169</v>
      </c>
      <c r="CF49" s="55">
        <f t="shared" si="15"/>
        <v>95.694454782285078</v>
      </c>
      <c r="CG49" s="55">
        <f t="shared" si="16"/>
        <v>1.5492619148038802</v>
      </c>
      <c r="CH49" s="55">
        <f t="shared" si="17"/>
        <v>4.6850178770520161</v>
      </c>
      <c r="CI49" s="30">
        <v>425</v>
      </c>
      <c r="CJ49" s="30">
        <v>246</v>
      </c>
      <c r="CK49" s="30">
        <v>318</v>
      </c>
      <c r="CL49" s="30">
        <v>989</v>
      </c>
      <c r="CM49" s="30">
        <v>16338</v>
      </c>
      <c r="CN49" s="30">
        <v>2874</v>
      </c>
      <c r="CO49" s="30">
        <v>5287</v>
      </c>
      <c r="CP49" s="30">
        <v>24499</v>
      </c>
      <c r="CQ49" s="1">
        <f t="shared" si="27"/>
        <v>1.1055505415162454</v>
      </c>
      <c r="CR49" s="47">
        <v>165970</v>
      </c>
      <c r="CS49" s="55">
        <f t="shared" si="18"/>
        <v>7.4896209386281587</v>
      </c>
      <c r="CT49" s="59">
        <v>18470</v>
      </c>
      <c r="CU49" s="29" t="s">
        <v>25</v>
      </c>
      <c r="CV49" s="29" t="s">
        <v>25</v>
      </c>
      <c r="CW49" s="29" t="s">
        <v>25</v>
      </c>
      <c r="CX49" s="35">
        <v>4</v>
      </c>
      <c r="CY49" s="49">
        <f t="shared" si="19"/>
        <v>5540</v>
      </c>
      <c r="CZ49" s="35">
        <v>0</v>
      </c>
      <c r="DA49" s="35">
        <v>9.25</v>
      </c>
      <c r="DB49" s="35">
        <v>13.25</v>
      </c>
      <c r="DC49" s="49">
        <f t="shared" si="20"/>
        <v>1672.4528301886792</v>
      </c>
      <c r="DD49" s="30">
        <v>4140</v>
      </c>
      <c r="DE49" s="31">
        <v>96383</v>
      </c>
      <c r="DF49" s="35">
        <v>40</v>
      </c>
      <c r="DG49" s="29" t="s">
        <v>25</v>
      </c>
      <c r="DH49" s="29" t="s">
        <v>25</v>
      </c>
      <c r="DI49" s="29" t="s">
        <v>25</v>
      </c>
      <c r="DJ49" s="47">
        <v>1261</v>
      </c>
      <c r="DK49" s="47">
        <v>524</v>
      </c>
      <c r="DL49" s="47">
        <v>51</v>
      </c>
      <c r="DM49" s="47">
        <v>30932</v>
      </c>
      <c r="DN49" s="47">
        <v>13913</v>
      </c>
      <c r="DO49" s="47">
        <v>9204</v>
      </c>
      <c r="DP49" s="29" t="s">
        <v>25</v>
      </c>
      <c r="DQ49" s="47">
        <v>29302</v>
      </c>
      <c r="DR49" s="47">
        <v>2687</v>
      </c>
      <c r="DS49" s="30">
        <v>52</v>
      </c>
      <c r="DT49" s="30">
        <v>54</v>
      </c>
      <c r="DU49" s="30">
        <v>54</v>
      </c>
      <c r="DV49" s="30">
        <v>54</v>
      </c>
      <c r="DX49" s="2">
        <f t="shared" si="21"/>
        <v>2687</v>
      </c>
      <c r="DY49" s="33" t="s">
        <v>2187</v>
      </c>
      <c r="DZ49" s="33" t="s">
        <v>177</v>
      </c>
      <c r="EA49" s="33" t="s">
        <v>2030</v>
      </c>
      <c r="EB49" s="33" t="s">
        <v>2027</v>
      </c>
      <c r="EC49" s="36">
        <v>39</v>
      </c>
      <c r="ED49" s="29" t="s">
        <v>176</v>
      </c>
      <c r="EE49" s="29" t="s">
        <v>175</v>
      </c>
      <c r="EF49" s="37">
        <v>41548</v>
      </c>
      <c r="EG49" s="37">
        <v>41912</v>
      </c>
      <c r="EH49" s="29" t="s">
        <v>176</v>
      </c>
      <c r="EI49" s="55">
        <f t="shared" si="22"/>
        <v>4.5409296028880863</v>
      </c>
      <c r="EJ49" s="54">
        <f t="shared" si="23"/>
        <v>2.5135379061371841E-2</v>
      </c>
      <c r="EK49" s="55">
        <f t="shared" si="24"/>
        <v>6.4574458483754515</v>
      </c>
      <c r="EL49" s="54">
        <f t="shared" si="25"/>
        <v>0.57987364620938631</v>
      </c>
    </row>
    <row r="50" spans="1:142" ht="28.8" x14ac:dyDescent="0.3">
      <c r="A50" s="29" t="s">
        <v>178</v>
      </c>
      <c r="B50" s="29"/>
      <c r="C50" s="30">
        <v>10005</v>
      </c>
      <c r="D50" s="30">
        <v>0</v>
      </c>
      <c r="E50" s="30">
        <v>0</v>
      </c>
      <c r="F50" s="30">
        <v>10057</v>
      </c>
      <c r="H50" s="2">
        <f t="shared" si="26"/>
        <v>10057</v>
      </c>
      <c r="I50" s="1">
        <f t="shared" si="0"/>
        <v>1.0051974012993503</v>
      </c>
      <c r="J50" s="31">
        <v>133617</v>
      </c>
      <c r="K50" s="31">
        <v>59548</v>
      </c>
      <c r="L50" s="31">
        <v>193165</v>
      </c>
      <c r="M50" s="45">
        <f t="shared" si="1"/>
        <v>19.306846576711646</v>
      </c>
      <c r="N50" s="31">
        <v>20522</v>
      </c>
      <c r="O50" s="31">
        <v>2500</v>
      </c>
      <c r="P50" s="31">
        <v>3800</v>
      </c>
      <c r="Q50" s="31">
        <v>26822</v>
      </c>
      <c r="R50" s="45">
        <f t="shared" si="2"/>
        <v>2.6808595702148925</v>
      </c>
      <c r="S50" s="31">
        <v>43784</v>
      </c>
      <c r="T50" s="31">
        <v>263771</v>
      </c>
      <c r="U50" s="31">
        <v>0</v>
      </c>
      <c r="V50" s="31">
        <v>263771</v>
      </c>
      <c r="W50" s="45">
        <f t="shared" si="3"/>
        <v>26.36391804097951</v>
      </c>
      <c r="X50" s="4">
        <f t="shared" si="4"/>
        <v>0.73232083890950861</v>
      </c>
      <c r="Y50" s="4">
        <f t="shared" si="5"/>
        <v>0.10168669034882531</v>
      </c>
      <c r="Z50" s="4">
        <f t="shared" si="6"/>
        <v>0.16599247074166606</v>
      </c>
      <c r="AA50" s="4">
        <f t="shared" si="7"/>
        <v>0</v>
      </c>
      <c r="AB50" s="31">
        <v>0</v>
      </c>
      <c r="AC50" s="31">
        <v>26822</v>
      </c>
      <c r="AD50" s="31">
        <v>263771</v>
      </c>
      <c r="AE50" s="31">
        <v>263711</v>
      </c>
      <c r="AF50" s="31">
        <v>263711</v>
      </c>
      <c r="AG50" s="31">
        <v>0</v>
      </c>
      <c r="AH50" s="31">
        <v>0</v>
      </c>
      <c r="AI50" s="31">
        <v>263711</v>
      </c>
      <c r="AJ50" s="45">
        <f t="shared" si="8"/>
        <v>26.35792103948026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18459</v>
      </c>
      <c r="AQ50" s="31">
        <v>18459</v>
      </c>
      <c r="AR50" s="31">
        <v>282170</v>
      </c>
      <c r="AS50" s="46">
        <f t="shared" si="9"/>
        <v>28.202898550724637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3" t="s">
        <v>25</v>
      </c>
      <c r="BD50" s="47">
        <v>38069</v>
      </c>
      <c r="BE50" s="47">
        <v>38088</v>
      </c>
      <c r="BF50" s="45">
        <f t="shared" si="10"/>
        <v>3.806896551724138</v>
      </c>
      <c r="BG50" s="30">
        <v>788</v>
      </c>
      <c r="BH50" s="30">
        <v>798</v>
      </c>
      <c r="BI50" s="30">
        <v>2509</v>
      </c>
      <c r="BJ50" s="30">
        <v>1281</v>
      </c>
      <c r="BK50" s="30">
        <v>1285</v>
      </c>
      <c r="BL50" s="30">
        <v>83</v>
      </c>
      <c r="BM50" s="30">
        <v>16378</v>
      </c>
      <c r="BN50" s="30">
        <v>0</v>
      </c>
      <c r="BO50" s="30">
        <v>51</v>
      </c>
      <c r="BP50" s="30">
        <v>0</v>
      </c>
      <c r="BQ50" s="30">
        <v>51</v>
      </c>
      <c r="BR50" s="47">
        <v>40138</v>
      </c>
      <c r="BS50" s="47">
        <v>59141</v>
      </c>
      <c r="BT50" s="1">
        <f t="shared" si="11"/>
        <v>5.9111444277861072</v>
      </c>
      <c r="BU50" s="30">
        <v>21</v>
      </c>
      <c r="BV50" s="30">
        <v>0</v>
      </c>
      <c r="BW50" s="47">
        <v>2850</v>
      </c>
      <c r="BX50" s="52">
        <f t="shared" si="12"/>
        <v>0.28485757121439281</v>
      </c>
      <c r="BY50" s="47">
        <v>11030</v>
      </c>
      <c r="BZ50" s="47">
        <v>104</v>
      </c>
      <c r="CA50" s="47">
        <v>32011</v>
      </c>
      <c r="CB50" s="47">
        <v>266</v>
      </c>
      <c r="CC50" s="47">
        <v>43411</v>
      </c>
      <c r="CD50" s="55">
        <f t="shared" si="13"/>
        <v>4.3389305347326337</v>
      </c>
      <c r="CE50" s="3">
        <f t="shared" si="14"/>
        <v>10852.75</v>
      </c>
      <c r="CF50" s="55">
        <f t="shared" si="15"/>
        <v>19.423266219239373</v>
      </c>
      <c r="CG50" s="55">
        <f t="shared" si="16"/>
        <v>1.5326578166925575</v>
      </c>
      <c r="CH50" s="55">
        <f t="shared" si="17"/>
        <v>0.72776922946855815</v>
      </c>
      <c r="CI50" s="30">
        <v>28</v>
      </c>
      <c r="CJ50" s="30">
        <v>0</v>
      </c>
      <c r="CK50" s="30">
        <v>11</v>
      </c>
      <c r="CL50" s="30">
        <v>39</v>
      </c>
      <c r="CM50" s="30">
        <v>988</v>
      </c>
      <c r="CN50" s="30">
        <v>0</v>
      </c>
      <c r="CO50" s="30">
        <v>1229</v>
      </c>
      <c r="CP50" s="30">
        <v>2217</v>
      </c>
      <c r="CQ50" s="1">
        <f t="shared" si="27"/>
        <v>0.22158920539730134</v>
      </c>
      <c r="CR50" s="47">
        <v>28324</v>
      </c>
      <c r="CS50" s="55">
        <f t="shared" si="18"/>
        <v>2.8309845077461269</v>
      </c>
      <c r="CT50" s="59">
        <v>13464</v>
      </c>
      <c r="CU50" s="29" t="s">
        <v>25</v>
      </c>
      <c r="CV50" s="29" t="s">
        <v>25</v>
      </c>
      <c r="CW50" s="29" t="s">
        <v>25</v>
      </c>
      <c r="CX50" s="35">
        <v>1</v>
      </c>
      <c r="CY50" s="49">
        <f t="shared" si="19"/>
        <v>10005</v>
      </c>
      <c r="CZ50" s="35">
        <v>0</v>
      </c>
      <c r="DA50" s="35">
        <v>3</v>
      </c>
      <c r="DB50" s="35">
        <v>4</v>
      </c>
      <c r="DC50" s="49">
        <f t="shared" si="20"/>
        <v>2501.25</v>
      </c>
      <c r="DD50" s="30">
        <v>135</v>
      </c>
      <c r="DE50" s="31">
        <v>45000</v>
      </c>
      <c r="DF50" s="35">
        <v>40</v>
      </c>
      <c r="DG50" s="29" t="s">
        <v>25</v>
      </c>
      <c r="DH50" s="29" t="s">
        <v>25</v>
      </c>
      <c r="DI50" s="29" t="s">
        <v>25</v>
      </c>
      <c r="DJ50" s="47">
        <v>0</v>
      </c>
      <c r="DK50" s="47">
        <v>12</v>
      </c>
      <c r="DL50" s="47">
        <v>5</v>
      </c>
      <c r="DM50" s="47">
        <v>5299</v>
      </c>
      <c r="DN50" s="47">
        <v>4</v>
      </c>
      <c r="DO50" s="47">
        <v>2800</v>
      </c>
      <c r="DP50" s="29" t="s">
        <v>25</v>
      </c>
      <c r="DQ50" s="47">
        <v>4045</v>
      </c>
      <c r="DR50" s="47">
        <v>2235</v>
      </c>
      <c r="DS50" s="30">
        <v>52</v>
      </c>
      <c r="DT50" s="30">
        <v>49</v>
      </c>
      <c r="DU50" s="30">
        <v>49</v>
      </c>
      <c r="DV50" s="30">
        <v>49</v>
      </c>
      <c r="DX50" s="2">
        <f t="shared" si="21"/>
        <v>2235</v>
      </c>
      <c r="DY50" s="33" t="s">
        <v>2182</v>
      </c>
      <c r="DZ50" s="33" t="s">
        <v>181</v>
      </c>
      <c r="EA50" s="33" t="s">
        <v>2030</v>
      </c>
      <c r="EB50" s="33" t="s">
        <v>2027</v>
      </c>
      <c r="EC50" s="36">
        <v>40</v>
      </c>
      <c r="ED50" s="29" t="s">
        <v>179</v>
      </c>
      <c r="EE50" s="29" t="s">
        <v>180</v>
      </c>
      <c r="EF50" s="37">
        <v>41640</v>
      </c>
      <c r="EG50" s="37">
        <v>42004</v>
      </c>
      <c r="EH50" s="29" t="s">
        <v>179</v>
      </c>
      <c r="EI50" s="55">
        <f t="shared" si="22"/>
        <v>1.1024487756121939</v>
      </c>
      <c r="EJ50" s="54">
        <f t="shared" si="23"/>
        <v>1.039480259870065E-2</v>
      </c>
      <c r="EK50" s="55">
        <f t="shared" si="24"/>
        <v>3.1995002498750624</v>
      </c>
      <c r="EL50" s="54">
        <f t="shared" si="25"/>
        <v>2.6586706646676662E-2</v>
      </c>
    </row>
    <row r="51" spans="1:142" ht="43.2" x14ac:dyDescent="0.3">
      <c r="A51" s="29" t="s">
        <v>1457</v>
      </c>
      <c r="B51" s="29"/>
      <c r="C51" s="30">
        <v>2825</v>
      </c>
      <c r="D51" s="30">
        <v>0</v>
      </c>
      <c r="E51" s="30">
        <v>0</v>
      </c>
      <c r="F51" s="30">
        <v>2193</v>
      </c>
      <c r="H51" s="2">
        <f t="shared" si="26"/>
        <v>2193</v>
      </c>
      <c r="I51" s="1">
        <f t="shared" si="0"/>
        <v>0.77628318584070799</v>
      </c>
      <c r="J51" s="31">
        <v>50000</v>
      </c>
      <c r="K51" s="31">
        <v>6675</v>
      </c>
      <c r="L51" s="31">
        <v>56675</v>
      </c>
      <c r="M51" s="45">
        <f t="shared" si="1"/>
        <v>20.061946902654867</v>
      </c>
      <c r="N51" s="31">
        <v>4328</v>
      </c>
      <c r="O51" s="31">
        <v>825</v>
      </c>
      <c r="P51" s="31">
        <v>548</v>
      </c>
      <c r="Q51" s="31">
        <v>5701</v>
      </c>
      <c r="R51" s="45">
        <f t="shared" si="2"/>
        <v>2.0180530973451329</v>
      </c>
      <c r="S51" s="31">
        <v>7000</v>
      </c>
      <c r="T51" s="31">
        <v>69376</v>
      </c>
      <c r="U51" s="31">
        <v>0</v>
      </c>
      <c r="V51" s="31">
        <v>69376</v>
      </c>
      <c r="W51" s="45">
        <f t="shared" si="3"/>
        <v>24.557876106194691</v>
      </c>
      <c r="X51" s="4">
        <f t="shared" si="4"/>
        <v>0.81692516143911442</v>
      </c>
      <c r="Y51" s="4">
        <f t="shared" si="5"/>
        <v>8.2175392066420661E-2</v>
      </c>
      <c r="Z51" s="4">
        <f t="shared" si="6"/>
        <v>0.10089944649446494</v>
      </c>
      <c r="AA51" s="4">
        <f t="shared" si="7"/>
        <v>0</v>
      </c>
      <c r="AB51" s="31">
        <v>0</v>
      </c>
      <c r="AC51" s="31">
        <v>5701</v>
      </c>
      <c r="AD51" s="31">
        <v>69376</v>
      </c>
      <c r="AE51" s="31">
        <v>57675</v>
      </c>
      <c r="AF51" s="31">
        <v>4500</v>
      </c>
      <c r="AG51" s="31">
        <v>6000</v>
      </c>
      <c r="AH51" s="31">
        <v>57675</v>
      </c>
      <c r="AI51" s="31">
        <v>68175</v>
      </c>
      <c r="AJ51" s="45">
        <f t="shared" si="8"/>
        <v>24.13274336283186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5500</v>
      </c>
      <c r="AQ51" s="31">
        <v>5500</v>
      </c>
      <c r="AR51" s="31">
        <v>73675</v>
      </c>
      <c r="AS51" s="46">
        <f t="shared" si="9"/>
        <v>26.079646017699115</v>
      </c>
      <c r="AT51" s="31">
        <v>0</v>
      </c>
      <c r="AU51" s="31">
        <v>0</v>
      </c>
      <c r="AV51" s="31">
        <v>0</v>
      </c>
      <c r="AW51" s="31">
        <v>0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3" t="s">
        <v>25</v>
      </c>
      <c r="BD51" s="47">
        <v>18847</v>
      </c>
      <c r="BE51" s="47">
        <v>18847</v>
      </c>
      <c r="BF51" s="45">
        <f t="shared" si="10"/>
        <v>6.6715044247787612</v>
      </c>
      <c r="BG51" s="30">
        <v>101</v>
      </c>
      <c r="BH51" s="30">
        <v>101</v>
      </c>
      <c r="BI51" s="30">
        <v>803</v>
      </c>
      <c r="BJ51" s="30">
        <v>267</v>
      </c>
      <c r="BK51" s="30">
        <v>267</v>
      </c>
      <c r="BL51" s="30">
        <v>23</v>
      </c>
      <c r="BM51" s="30">
        <v>3348</v>
      </c>
      <c r="BN51" s="30">
        <v>0</v>
      </c>
      <c r="BO51" s="30">
        <v>51</v>
      </c>
      <c r="BP51" s="30">
        <v>14</v>
      </c>
      <c r="BQ51" s="30">
        <v>65</v>
      </c>
      <c r="BR51" s="47">
        <v>19215</v>
      </c>
      <c r="BS51" s="47">
        <v>23389</v>
      </c>
      <c r="BT51" s="1">
        <f t="shared" si="11"/>
        <v>8.27929203539823</v>
      </c>
      <c r="BU51" s="30">
        <v>10</v>
      </c>
      <c r="BV51" s="30">
        <v>0</v>
      </c>
      <c r="BW51" s="47">
        <v>427</v>
      </c>
      <c r="BX51" s="52">
        <f t="shared" si="12"/>
        <v>0.1511504424778761</v>
      </c>
      <c r="BY51" s="47">
        <v>13436</v>
      </c>
      <c r="BZ51" s="47">
        <v>0</v>
      </c>
      <c r="CA51" s="47">
        <v>9132</v>
      </c>
      <c r="CB51" s="47">
        <v>78</v>
      </c>
      <c r="CC51" s="47">
        <v>22646</v>
      </c>
      <c r="CD51" s="55">
        <f t="shared" si="13"/>
        <v>8.0162831858407078</v>
      </c>
      <c r="CE51" s="3">
        <f t="shared" si="14"/>
        <v>10064.888888888889</v>
      </c>
      <c r="CF51" s="55">
        <f t="shared" si="15"/>
        <v>11.100980392156863</v>
      </c>
      <c r="CG51" s="55">
        <f t="shared" si="16"/>
        <v>2.5416386083052749</v>
      </c>
      <c r="CH51" s="55">
        <f t="shared" si="17"/>
        <v>0.96489802898798582</v>
      </c>
      <c r="CI51" s="30">
        <v>152</v>
      </c>
      <c r="CJ51" s="30">
        <v>38</v>
      </c>
      <c r="CK51" s="30">
        <v>0</v>
      </c>
      <c r="CL51" s="30">
        <v>190</v>
      </c>
      <c r="CM51" s="30">
        <v>4560</v>
      </c>
      <c r="CN51" s="30">
        <v>608</v>
      </c>
      <c r="CO51" s="30">
        <v>0</v>
      </c>
      <c r="CP51" s="30">
        <v>5168</v>
      </c>
      <c r="CQ51" s="1">
        <f t="shared" si="27"/>
        <v>1.8293805309734514</v>
      </c>
      <c r="CR51" s="47">
        <v>8910</v>
      </c>
      <c r="CS51" s="55">
        <f t="shared" si="18"/>
        <v>3.1539823008849557</v>
      </c>
      <c r="CT51" s="59">
        <v>990</v>
      </c>
      <c r="CU51" s="29" t="s">
        <v>25</v>
      </c>
      <c r="CV51" s="29" t="s">
        <v>25</v>
      </c>
      <c r="CW51" s="29" t="s">
        <v>25</v>
      </c>
      <c r="CX51" s="35">
        <v>0</v>
      </c>
      <c r="CY51" s="49">
        <v>0</v>
      </c>
      <c r="CZ51" s="35">
        <v>1.125</v>
      </c>
      <c r="DA51" s="35">
        <v>1.125</v>
      </c>
      <c r="DB51" s="35">
        <v>2.25</v>
      </c>
      <c r="DC51" s="49">
        <f t="shared" si="20"/>
        <v>1255.5555555555557</v>
      </c>
      <c r="DD51" s="30">
        <v>0</v>
      </c>
      <c r="DE51" s="31">
        <v>50000</v>
      </c>
      <c r="DF51" s="35">
        <v>45</v>
      </c>
      <c r="DG51" s="29" t="s">
        <v>25</v>
      </c>
      <c r="DH51" s="29" t="s">
        <v>25</v>
      </c>
      <c r="DI51" s="29" t="s">
        <v>25</v>
      </c>
      <c r="DJ51" s="47">
        <v>0</v>
      </c>
      <c r="DK51" s="47">
        <v>0</v>
      </c>
      <c r="DL51" s="47">
        <v>4</v>
      </c>
      <c r="DM51" s="47">
        <v>522</v>
      </c>
      <c r="DN51" s="47">
        <v>80</v>
      </c>
      <c r="DO51" s="47">
        <v>-1</v>
      </c>
      <c r="DP51" s="29" t="s">
        <v>25</v>
      </c>
      <c r="DQ51" s="47">
        <v>28539</v>
      </c>
      <c r="DR51" s="47">
        <v>2040</v>
      </c>
      <c r="DS51" s="30">
        <v>49</v>
      </c>
      <c r="DT51" s="30">
        <v>45</v>
      </c>
      <c r="DU51" s="30">
        <v>45</v>
      </c>
      <c r="DV51" s="30">
        <v>20</v>
      </c>
      <c r="DX51" s="2">
        <f t="shared" si="21"/>
        <v>2040</v>
      </c>
      <c r="DY51" s="33" t="s">
        <v>2184</v>
      </c>
      <c r="DZ51" s="33" t="s">
        <v>1459</v>
      </c>
      <c r="EA51" s="33" t="s">
        <v>2030</v>
      </c>
      <c r="EB51" s="33" t="s">
        <v>2027</v>
      </c>
      <c r="EC51" s="36">
        <v>460</v>
      </c>
      <c r="ED51" s="29" t="s">
        <v>1458</v>
      </c>
      <c r="EE51" s="29" t="s">
        <v>1402</v>
      </c>
      <c r="EF51" s="37">
        <v>41548</v>
      </c>
      <c r="EG51" s="37">
        <v>41912</v>
      </c>
      <c r="EH51" s="29" t="s">
        <v>1458</v>
      </c>
      <c r="EI51" s="55">
        <f t="shared" si="22"/>
        <v>4.7561061946902656</v>
      </c>
      <c r="EJ51" s="54">
        <f t="shared" si="23"/>
        <v>0</v>
      </c>
      <c r="EK51" s="55">
        <f t="shared" si="24"/>
        <v>3.2325663716814161</v>
      </c>
      <c r="EL51" s="54">
        <f t="shared" si="25"/>
        <v>2.761061946902655E-2</v>
      </c>
    </row>
    <row r="52" spans="1:142" ht="28.8" x14ac:dyDescent="0.3">
      <c r="A52" s="29" t="s">
        <v>182</v>
      </c>
      <c r="B52" s="29"/>
      <c r="C52" s="30">
        <v>21819</v>
      </c>
      <c r="D52" s="30">
        <v>2</v>
      </c>
      <c r="E52" s="30">
        <v>0</v>
      </c>
      <c r="F52" s="30">
        <v>11136</v>
      </c>
      <c r="G52">
        <v>3072</v>
      </c>
      <c r="H52" s="2">
        <f t="shared" si="26"/>
        <v>14208</v>
      </c>
      <c r="I52" s="1">
        <f t="shared" si="0"/>
        <v>0.6511755809157157</v>
      </c>
      <c r="J52" s="31">
        <v>249876</v>
      </c>
      <c r="K52" s="31">
        <v>105610</v>
      </c>
      <c r="L52" s="31">
        <v>355486</v>
      </c>
      <c r="M52" s="45">
        <f t="shared" si="1"/>
        <v>16.292497364682159</v>
      </c>
      <c r="N52" s="31">
        <v>27608</v>
      </c>
      <c r="O52" s="31">
        <v>158</v>
      </c>
      <c r="P52" s="31">
        <v>4190</v>
      </c>
      <c r="Q52" s="31">
        <v>31956</v>
      </c>
      <c r="R52" s="45">
        <f t="shared" si="2"/>
        <v>1.4645950776845869</v>
      </c>
      <c r="S52" s="31">
        <v>73722</v>
      </c>
      <c r="T52" s="31">
        <v>461164</v>
      </c>
      <c r="U52" s="31">
        <v>0</v>
      </c>
      <c r="V52" s="31">
        <v>461164</v>
      </c>
      <c r="W52" s="45">
        <f t="shared" si="3"/>
        <v>21.135890737430678</v>
      </c>
      <c r="X52" s="4">
        <f t="shared" si="4"/>
        <v>0.77084507897407428</v>
      </c>
      <c r="Y52" s="4">
        <f t="shared" si="5"/>
        <v>6.9294220711070248E-2</v>
      </c>
      <c r="Z52" s="4">
        <f t="shared" si="6"/>
        <v>0.15986070031485544</v>
      </c>
      <c r="AA52" s="4">
        <f t="shared" si="7"/>
        <v>0</v>
      </c>
      <c r="AB52" s="31">
        <v>0</v>
      </c>
      <c r="AC52" s="31">
        <v>31956</v>
      </c>
      <c r="AD52" s="31">
        <v>461164</v>
      </c>
      <c r="AE52" s="31">
        <v>461164</v>
      </c>
      <c r="AF52" s="31">
        <v>0</v>
      </c>
      <c r="AG52" s="31">
        <v>461164</v>
      </c>
      <c r="AH52" s="31">
        <v>0</v>
      </c>
      <c r="AI52" s="31">
        <v>461164</v>
      </c>
      <c r="AJ52" s="45">
        <f t="shared" si="8"/>
        <v>21.135890737430678</v>
      </c>
      <c r="AK52" s="31"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461164</v>
      </c>
      <c r="AS52" s="46">
        <f t="shared" si="9"/>
        <v>21.135890737430678</v>
      </c>
      <c r="AT52" s="31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33" t="s">
        <v>25</v>
      </c>
      <c r="BD52" s="47">
        <v>53316</v>
      </c>
      <c r="BE52" s="47">
        <v>61033</v>
      </c>
      <c r="BF52" s="45">
        <f t="shared" si="10"/>
        <v>2.7972409367982034</v>
      </c>
      <c r="BG52" s="30">
        <v>1649</v>
      </c>
      <c r="BH52" s="30">
        <v>1880</v>
      </c>
      <c r="BI52" s="30">
        <v>803</v>
      </c>
      <c r="BJ52" s="30">
        <v>1618</v>
      </c>
      <c r="BK52" s="30">
        <v>1723</v>
      </c>
      <c r="BL52" s="30">
        <v>23</v>
      </c>
      <c r="BM52" s="30">
        <v>3348</v>
      </c>
      <c r="BN52" s="30">
        <v>11</v>
      </c>
      <c r="BO52" s="30">
        <v>51</v>
      </c>
      <c r="BP52" s="30">
        <v>16</v>
      </c>
      <c r="BQ52" s="30">
        <v>78</v>
      </c>
      <c r="BR52" s="47">
        <v>56583</v>
      </c>
      <c r="BS52" s="47">
        <v>68821</v>
      </c>
      <c r="BT52" s="1">
        <f t="shared" si="11"/>
        <v>3.1541775516751454</v>
      </c>
      <c r="BU52" s="30">
        <v>67</v>
      </c>
      <c r="BV52" s="30">
        <v>0</v>
      </c>
      <c r="BW52" s="47">
        <v>8827</v>
      </c>
      <c r="BX52" s="52">
        <f t="shared" si="12"/>
        <v>0.40455566249598973</v>
      </c>
      <c r="BY52" s="47">
        <v>14341</v>
      </c>
      <c r="BZ52" s="47">
        <v>1265</v>
      </c>
      <c r="CA52" s="47">
        <v>22943</v>
      </c>
      <c r="CB52" s="47">
        <v>1556</v>
      </c>
      <c r="CC52" s="47">
        <v>40105</v>
      </c>
      <c r="CD52" s="55">
        <f t="shared" si="13"/>
        <v>1.8380769054493791</v>
      </c>
      <c r="CE52" s="3">
        <f t="shared" si="14"/>
        <v>5941.4814814814818</v>
      </c>
      <c r="CF52" s="55">
        <f t="shared" si="15"/>
        <v>7.3130926331145147</v>
      </c>
      <c r="CG52" s="55">
        <f t="shared" si="16"/>
        <v>0.54119885566231241</v>
      </c>
      <c r="CH52" s="55">
        <f t="shared" si="17"/>
        <v>0.5417532439226399</v>
      </c>
      <c r="CI52" s="30">
        <v>168</v>
      </c>
      <c r="CJ52" s="30">
        <v>0</v>
      </c>
      <c r="CK52" s="30">
        <v>7</v>
      </c>
      <c r="CL52" s="30">
        <v>175</v>
      </c>
      <c r="CM52" s="30">
        <v>3765</v>
      </c>
      <c r="CN52" s="30">
        <v>0</v>
      </c>
      <c r="CO52" s="30">
        <v>105</v>
      </c>
      <c r="CP52" s="30">
        <v>3870</v>
      </c>
      <c r="CQ52" s="1">
        <f t="shared" si="27"/>
        <v>0.17736834868692425</v>
      </c>
      <c r="CR52" s="47">
        <v>74104</v>
      </c>
      <c r="CS52" s="55">
        <f t="shared" si="18"/>
        <v>3.3963059718593884</v>
      </c>
      <c r="CT52" s="59">
        <v>8696</v>
      </c>
      <c r="CU52" s="29" t="s">
        <v>25</v>
      </c>
      <c r="CV52" s="29" t="s">
        <v>25</v>
      </c>
      <c r="CW52" s="29" t="s">
        <v>25</v>
      </c>
      <c r="CX52" s="35">
        <v>1</v>
      </c>
      <c r="CY52" s="49">
        <f t="shared" si="19"/>
        <v>21819</v>
      </c>
      <c r="CZ52" s="35">
        <v>5.25</v>
      </c>
      <c r="DA52" s="35">
        <v>0.5</v>
      </c>
      <c r="DB52" s="35">
        <v>6.75</v>
      </c>
      <c r="DC52" s="49">
        <f t="shared" si="20"/>
        <v>3232.4444444444443</v>
      </c>
      <c r="DD52" s="30">
        <v>411</v>
      </c>
      <c r="DE52" s="31">
        <v>48060</v>
      </c>
      <c r="DF52" s="35">
        <v>40</v>
      </c>
      <c r="DG52" s="29" t="s">
        <v>25</v>
      </c>
      <c r="DH52" s="29" t="s">
        <v>25</v>
      </c>
      <c r="DI52" s="29" t="s">
        <v>25</v>
      </c>
      <c r="DJ52" s="47">
        <v>154</v>
      </c>
      <c r="DK52" s="47">
        <v>67</v>
      </c>
      <c r="DL52" s="47">
        <v>14</v>
      </c>
      <c r="DM52" s="47">
        <v>8362</v>
      </c>
      <c r="DN52" s="47">
        <v>1939</v>
      </c>
      <c r="DO52" s="47">
        <v>1019</v>
      </c>
      <c r="DP52" s="29" t="s">
        <v>25</v>
      </c>
      <c r="DQ52" s="47">
        <v>5276</v>
      </c>
      <c r="DR52" s="47">
        <v>2231</v>
      </c>
      <c r="DS52" s="30">
        <v>52</v>
      </c>
      <c r="DT52" s="30">
        <v>46</v>
      </c>
      <c r="DU52" s="30">
        <v>46</v>
      </c>
      <c r="DV52" s="30">
        <v>46</v>
      </c>
      <c r="DW52">
        <f>VLOOKUP(EC52,branch!$I$4:$K$77,3,0)</f>
        <v>3253</v>
      </c>
      <c r="DX52" s="2">
        <f t="shared" si="21"/>
        <v>5484</v>
      </c>
      <c r="DY52" s="33" t="s">
        <v>2184</v>
      </c>
      <c r="DZ52" s="33" t="s">
        <v>185</v>
      </c>
      <c r="EA52" s="33" t="s">
        <v>2031</v>
      </c>
      <c r="EB52" s="33" t="s">
        <v>2027</v>
      </c>
      <c r="EC52" s="36">
        <v>41</v>
      </c>
      <c r="ED52" s="29" t="s">
        <v>183</v>
      </c>
      <c r="EE52" s="29" t="s">
        <v>184</v>
      </c>
      <c r="EF52" s="37">
        <v>41548</v>
      </c>
      <c r="EG52" s="37">
        <v>41912</v>
      </c>
      <c r="EH52" s="29" t="s">
        <v>183</v>
      </c>
      <c r="EI52" s="55">
        <f t="shared" si="22"/>
        <v>0.65727118566387088</v>
      </c>
      <c r="EJ52" s="54">
        <f t="shared" si="23"/>
        <v>5.7976992529446811E-2</v>
      </c>
      <c r="EK52" s="55">
        <f t="shared" si="24"/>
        <v>1.0515147348641092</v>
      </c>
      <c r="EL52" s="54">
        <f t="shared" si="25"/>
        <v>7.1313992391951964E-2</v>
      </c>
    </row>
    <row r="53" spans="1:142" ht="28.8" x14ac:dyDescent="0.3">
      <c r="A53" s="29" t="s">
        <v>186</v>
      </c>
      <c r="B53" s="29"/>
      <c r="C53" s="30">
        <v>5197</v>
      </c>
      <c r="D53" s="30">
        <v>0</v>
      </c>
      <c r="E53" s="30">
        <v>0</v>
      </c>
      <c r="F53" s="30">
        <v>7154</v>
      </c>
      <c r="H53" s="2">
        <f t="shared" si="26"/>
        <v>7154</v>
      </c>
      <c r="I53" s="1">
        <f t="shared" si="0"/>
        <v>1.3765634019626707</v>
      </c>
      <c r="J53" s="31">
        <v>121730</v>
      </c>
      <c r="K53" s="31">
        <v>61941</v>
      </c>
      <c r="L53" s="31">
        <v>183671</v>
      </c>
      <c r="M53" s="45">
        <f t="shared" si="1"/>
        <v>35.341735616701946</v>
      </c>
      <c r="N53" s="31">
        <v>8344</v>
      </c>
      <c r="O53" s="31">
        <v>500</v>
      </c>
      <c r="P53" s="31">
        <v>4828</v>
      </c>
      <c r="Q53" s="31">
        <v>13672</v>
      </c>
      <c r="R53" s="45">
        <f t="shared" si="2"/>
        <v>2.6307485087550511</v>
      </c>
      <c r="S53" s="31">
        <v>48735</v>
      </c>
      <c r="T53" s="31">
        <v>246078</v>
      </c>
      <c r="U53" s="31">
        <v>0</v>
      </c>
      <c r="V53" s="31">
        <v>246078</v>
      </c>
      <c r="W53" s="45">
        <f t="shared" si="3"/>
        <v>47.350009620935154</v>
      </c>
      <c r="X53" s="4">
        <f t="shared" si="4"/>
        <v>0.74639341997252906</v>
      </c>
      <c r="Y53" s="4">
        <f t="shared" si="5"/>
        <v>5.5559619307699183E-2</v>
      </c>
      <c r="Z53" s="4">
        <f t="shared" si="6"/>
        <v>0.19804696071977179</v>
      </c>
      <c r="AA53" s="4">
        <f t="shared" si="7"/>
        <v>0</v>
      </c>
      <c r="AB53" s="31">
        <v>10092</v>
      </c>
      <c r="AC53" s="31">
        <v>13672</v>
      </c>
      <c r="AD53" s="31">
        <v>246078</v>
      </c>
      <c r="AE53" s="31">
        <v>246078</v>
      </c>
      <c r="AF53" s="31">
        <v>246078</v>
      </c>
      <c r="AG53" s="31">
        <v>0</v>
      </c>
      <c r="AH53" s="31">
        <v>0</v>
      </c>
      <c r="AI53" s="31">
        <v>246078</v>
      </c>
      <c r="AJ53" s="45">
        <f t="shared" si="8"/>
        <v>47.350009620935154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1040</v>
      </c>
      <c r="AQ53" s="31">
        <v>1040</v>
      </c>
      <c r="AR53" s="31">
        <v>247118</v>
      </c>
      <c r="AS53" s="46">
        <f t="shared" si="9"/>
        <v>47.550125072157016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3" t="s">
        <v>25</v>
      </c>
      <c r="BD53" s="47">
        <v>29919</v>
      </c>
      <c r="BE53" s="47">
        <v>30206</v>
      </c>
      <c r="BF53" s="45">
        <f t="shared" si="10"/>
        <v>5.8121993457764098</v>
      </c>
      <c r="BG53" s="30">
        <v>893</v>
      </c>
      <c r="BH53" s="30">
        <v>897</v>
      </c>
      <c r="BI53" s="30">
        <v>34</v>
      </c>
      <c r="BJ53" s="30">
        <v>2733</v>
      </c>
      <c r="BK53" s="30">
        <v>2958</v>
      </c>
      <c r="BL53" s="30">
        <v>0</v>
      </c>
      <c r="BM53" s="30">
        <v>531</v>
      </c>
      <c r="BN53" s="30">
        <v>0</v>
      </c>
      <c r="BO53" s="30">
        <v>51</v>
      </c>
      <c r="BP53" s="30">
        <v>0</v>
      </c>
      <c r="BQ53" s="30">
        <v>51</v>
      </c>
      <c r="BR53" s="47">
        <v>33545</v>
      </c>
      <c r="BS53" s="47">
        <v>34626</v>
      </c>
      <c r="BT53" s="1">
        <f t="shared" si="11"/>
        <v>6.6626900134693088</v>
      </c>
      <c r="BU53" s="30">
        <v>55</v>
      </c>
      <c r="BV53" s="30">
        <v>0</v>
      </c>
      <c r="BW53" s="47">
        <v>3389</v>
      </c>
      <c r="BX53" s="52">
        <f t="shared" si="12"/>
        <v>0.65210698479892248</v>
      </c>
      <c r="BY53" s="47">
        <v>10161</v>
      </c>
      <c r="BZ53" s="47">
        <v>44</v>
      </c>
      <c r="CA53" s="47">
        <v>29244</v>
      </c>
      <c r="CB53" s="47">
        <v>463</v>
      </c>
      <c r="CC53" s="47">
        <v>39912</v>
      </c>
      <c r="CD53" s="55">
        <f t="shared" si="13"/>
        <v>7.6798152780450257</v>
      </c>
      <c r="CE53" s="3">
        <f t="shared" si="14"/>
        <v>9391.0588235294126</v>
      </c>
      <c r="CF53" s="55">
        <f t="shared" si="15"/>
        <v>20.239350912778903</v>
      </c>
      <c r="CG53" s="55">
        <f t="shared" si="16"/>
        <v>0.87424703743456067</v>
      </c>
      <c r="CH53" s="55">
        <f t="shared" si="17"/>
        <v>1.1380176745797956</v>
      </c>
      <c r="CI53" s="30">
        <v>44</v>
      </c>
      <c r="CJ53" s="30">
        <v>38</v>
      </c>
      <c r="CK53" s="30">
        <v>20</v>
      </c>
      <c r="CL53" s="30">
        <v>102</v>
      </c>
      <c r="CM53" s="30">
        <v>1445</v>
      </c>
      <c r="CN53" s="30">
        <v>338</v>
      </c>
      <c r="CO53" s="30">
        <v>401</v>
      </c>
      <c r="CP53" s="30">
        <v>2184</v>
      </c>
      <c r="CQ53" s="1">
        <f t="shared" si="27"/>
        <v>0.4202424475659034</v>
      </c>
      <c r="CR53" s="47">
        <v>45653</v>
      </c>
      <c r="CS53" s="55">
        <f t="shared" si="18"/>
        <v>8.7844910525303064</v>
      </c>
      <c r="CT53" s="59">
        <v>5820</v>
      </c>
      <c r="CU53" s="29" t="s">
        <v>25</v>
      </c>
      <c r="CV53" s="29" t="s">
        <v>25</v>
      </c>
      <c r="CW53" s="29" t="s">
        <v>25</v>
      </c>
      <c r="CX53" s="35">
        <v>0</v>
      </c>
      <c r="CY53" s="49">
        <v>0</v>
      </c>
      <c r="CZ53" s="35">
        <v>1</v>
      </c>
      <c r="DA53" s="35">
        <v>3.25</v>
      </c>
      <c r="DB53" s="35">
        <v>4.25</v>
      </c>
      <c r="DC53" s="49">
        <f t="shared" si="20"/>
        <v>1222.8235294117646</v>
      </c>
      <c r="DD53" s="30">
        <v>500</v>
      </c>
      <c r="DE53" s="31">
        <v>38426</v>
      </c>
      <c r="DF53" s="35">
        <v>40</v>
      </c>
      <c r="DG53" s="29" t="s">
        <v>25</v>
      </c>
      <c r="DH53" s="29" t="s">
        <v>25</v>
      </c>
      <c r="DI53" s="29" t="s">
        <v>25</v>
      </c>
      <c r="DJ53" s="47">
        <v>69</v>
      </c>
      <c r="DK53" s="47">
        <v>17</v>
      </c>
      <c r="DL53" s="47">
        <v>13</v>
      </c>
      <c r="DM53" s="47">
        <v>5663</v>
      </c>
      <c r="DN53" s="47">
        <v>98</v>
      </c>
      <c r="DO53" s="47">
        <v>5631</v>
      </c>
      <c r="DP53" s="29" t="s">
        <v>2028</v>
      </c>
      <c r="DQ53" s="47">
        <v>0</v>
      </c>
      <c r="DR53" s="47">
        <v>1972</v>
      </c>
      <c r="DS53" s="30">
        <v>52</v>
      </c>
      <c r="DT53" s="30">
        <v>39</v>
      </c>
      <c r="DU53" s="30">
        <v>39</v>
      </c>
      <c r="DV53" s="30">
        <v>39</v>
      </c>
      <c r="DX53" s="2">
        <f t="shared" si="21"/>
        <v>1972</v>
      </c>
      <c r="DY53" s="33" t="s">
        <v>2181</v>
      </c>
      <c r="DZ53" s="33" t="s">
        <v>189</v>
      </c>
      <c r="EA53" s="33" t="s">
        <v>2030</v>
      </c>
      <c r="EB53" s="33" t="s">
        <v>2027</v>
      </c>
      <c r="EC53" s="36">
        <v>42</v>
      </c>
      <c r="ED53" s="29" t="s">
        <v>187</v>
      </c>
      <c r="EE53" s="29" t="s">
        <v>188</v>
      </c>
      <c r="EF53" s="37">
        <v>41548</v>
      </c>
      <c r="EG53" s="37">
        <v>41912</v>
      </c>
      <c r="EH53" s="29" t="s">
        <v>187</v>
      </c>
      <c r="EI53" s="55">
        <f t="shared" si="22"/>
        <v>1.9551664421781798</v>
      </c>
      <c r="EJ53" s="54">
        <f t="shared" si="23"/>
        <v>8.4664229363094097E-3</v>
      </c>
      <c r="EK53" s="55">
        <f t="shared" si="24"/>
        <v>5.6270925533961904</v>
      </c>
      <c r="EL53" s="54">
        <f t="shared" si="25"/>
        <v>8.9089859534346741E-2</v>
      </c>
    </row>
    <row r="54" spans="1:142" ht="28.8" x14ac:dyDescent="0.3">
      <c r="A54" s="29" t="s">
        <v>190</v>
      </c>
      <c r="B54" s="29"/>
      <c r="C54" s="30">
        <v>3586</v>
      </c>
      <c r="D54" s="30">
        <v>0</v>
      </c>
      <c r="E54" s="30">
        <v>0</v>
      </c>
      <c r="F54" s="30">
        <v>2200</v>
      </c>
      <c r="H54" s="2">
        <f t="shared" si="26"/>
        <v>2200</v>
      </c>
      <c r="I54" s="1">
        <f t="shared" si="0"/>
        <v>0.61349693251533743</v>
      </c>
      <c r="J54" s="31">
        <v>66999</v>
      </c>
      <c r="K54" s="31">
        <v>29878</v>
      </c>
      <c r="L54" s="31">
        <v>96877</v>
      </c>
      <c r="M54" s="45">
        <f t="shared" si="1"/>
        <v>27.015337423312882</v>
      </c>
      <c r="N54" s="31">
        <v>2994</v>
      </c>
      <c r="O54" s="31">
        <v>1500</v>
      </c>
      <c r="P54" s="31">
        <v>0</v>
      </c>
      <c r="Q54" s="31">
        <v>4494</v>
      </c>
      <c r="R54" s="45">
        <f t="shared" si="2"/>
        <v>1.253206915783603</v>
      </c>
      <c r="S54" s="31">
        <v>22745</v>
      </c>
      <c r="T54" s="31">
        <v>124116</v>
      </c>
      <c r="U54" s="31">
        <v>0</v>
      </c>
      <c r="V54" s="31">
        <v>124116</v>
      </c>
      <c r="W54" s="45">
        <f t="shared" si="3"/>
        <v>34.611266034578918</v>
      </c>
      <c r="X54" s="4">
        <f t="shared" si="4"/>
        <v>0.78053595024009792</v>
      </c>
      <c r="Y54" s="4">
        <f t="shared" si="5"/>
        <v>3.6208063424538334E-2</v>
      </c>
      <c r="Z54" s="4">
        <f t="shared" si="6"/>
        <v>0.18325598633536369</v>
      </c>
      <c r="AA54" s="4">
        <f t="shared" si="7"/>
        <v>0</v>
      </c>
      <c r="AB54" s="31">
        <v>0</v>
      </c>
      <c r="AC54" s="31">
        <v>4494</v>
      </c>
      <c r="AD54" s="31">
        <v>124116</v>
      </c>
      <c r="AE54" s="31">
        <v>124116</v>
      </c>
      <c r="AF54" s="31">
        <v>0</v>
      </c>
      <c r="AG54" s="31">
        <v>124116</v>
      </c>
      <c r="AH54" s="31">
        <v>0</v>
      </c>
      <c r="AI54" s="31">
        <v>124116</v>
      </c>
      <c r="AJ54" s="45">
        <f t="shared" si="8"/>
        <v>34.611266034578918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124116</v>
      </c>
      <c r="AS54" s="46">
        <f t="shared" si="9"/>
        <v>34.611266034578918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3" t="s">
        <v>25</v>
      </c>
      <c r="BD54" s="47">
        <v>5753</v>
      </c>
      <c r="BE54" s="47">
        <v>5793</v>
      </c>
      <c r="BF54" s="45">
        <f t="shared" si="10"/>
        <v>1.6154489682097044</v>
      </c>
      <c r="BG54" s="30">
        <v>174</v>
      </c>
      <c r="BH54" s="30">
        <v>174</v>
      </c>
      <c r="BI54" s="30">
        <v>731</v>
      </c>
      <c r="BJ54" s="30">
        <v>212</v>
      </c>
      <c r="BK54" s="30">
        <v>212</v>
      </c>
      <c r="BL54" s="30">
        <v>361</v>
      </c>
      <c r="BM54" s="30">
        <v>10048</v>
      </c>
      <c r="BN54" s="30">
        <v>0</v>
      </c>
      <c r="BO54" s="30">
        <v>51</v>
      </c>
      <c r="BP54" s="30">
        <v>0</v>
      </c>
      <c r="BQ54" s="30">
        <v>51</v>
      </c>
      <c r="BR54" s="47">
        <v>6139</v>
      </c>
      <c r="BS54" s="47">
        <v>17319</v>
      </c>
      <c r="BT54" s="1">
        <f t="shared" si="11"/>
        <v>4.829615170105968</v>
      </c>
      <c r="BU54" s="30">
        <v>26</v>
      </c>
      <c r="BV54" s="30">
        <v>0</v>
      </c>
      <c r="BW54" s="47">
        <v>5603</v>
      </c>
      <c r="BX54" s="52">
        <f t="shared" si="12"/>
        <v>1.5624651422197435</v>
      </c>
      <c r="BY54" s="47">
        <v>1203</v>
      </c>
      <c r="BZ54" s="47">
        <v>522</v>
      </c>
      <c r="CA54" s="47">
        <v>7681</v>
      </c>
      <c r="CB54" s="47">
        <v>334</v>
      </c>
      <c r="CC54" s="47">
        <v>9740</v>
      </c>
      <c r="CD54" s="55">
        <f t="shared" si="13"/>
        <v>2.7161182375906301</v>
      </c>
      <c r="CE54" s="3">
        <f t="shared" si="14"/>
        <v>3246.6666666666665</v>
      </c>
      <c r="CF54" s="55">
        <f t="shared" si="15"/>
        <v>5.3165938864628819</v>
      </c>
      <c r="CG54" s="55">
        <f t="shared" si="16"/>
        <v>0.53369863013698626</v>
      </c>
      <c r="CH54" s="55">
        <f t="shared" si="17"/>
        <v>0.51296264218488363</v>
      </c>
      <c r="CI54" s="30">
        <v>212</v>
      </c>
      <c r="CJ54" s="30">
        <v>6</v>
      </c>
      <c r="CK54" s="30">
        <v>299</v>
      </c>
      <c r="CL54" s="30">
        <v>517</v>
      </c>
      <c r="CM54" s="30">
        <v>2559</v>
      </c>
      <c r="CN54" s="30">
        <v>93</v>
      </c>
      <c r="CO54" s="30">
        <v>1223</v>
      </c>
      <c r="CP54" s="30">
        <v>3875</v>
      </c>
      <c r="CQ54" s="1">
        <f t="shared" si="27"/>
        <v>1.0805911879531511</v>
      </c>
      <c r="CR54" s="47">
        <v>18250</v>
      </c>
      <c r="CS54" s="55">
        <f t="shared" si="18"/>
        <v>5.0892359174567767</v>
      </c>
      <c r="CT54" s="59">
        <v>1201</v>
      </c>
      <c r="CU54" s="29" t="s">
        <v>25</v>
      </c>
      <c r="CV54" s="29" t="s">
        <v>25</v>
      </c>
      <c r="CW54" s="29" t="s">
        <v>25</v>
      </c>
      <c r="CX54" s="35">
        <v>0</v>
      </c>
      <c r="CY54" s="49">
        <v>0</v>
      </c>
      <c r="CZ54" s="35">
        <v>1</v>
      </c>
      <c r="DA54" s="35">
        <v>2</v>
      </c>
      <c r="DB54" s="35">
        <v>3</v>
      </c>
      <c r="DC54" s="49">
        <f t="shared" si="20"/>
        <v>1195.3333333333333</v>
      </c>
      <c r="DD54" s="30">
        <v>794</v>
      </c>
      <c r="DE54" s="31">
        <v>30070</v>
      </c>
      <c r="DF54" s="35">
        <v>40</v>
      </c>
      <c r="DG54" s="29" t="s">
        <v>25</v>
      </c>
      <c r="DH54" s="29" t="s">
        <v>25</v>
      </c>
      <c r="DI54" s="29" t="s">
        <v>25</v>
      </c>
      <c r="DJ54" s="47">
        <v>80</v>
      </c>
      <c r="DK54" s="47">
        <v>11</v>
      </c>
      <c r="DL54" s="47">
        <v>18</v>
      </c>
      <c r="DM54" s="47">
        <v>5277</v>
      </c>
      <c r="DN54" s="47">
        <v>409</v>
      </c>
      <c r="DO54" s="47">
        <v>956</v>
      </c>
      <c r="DP54" s="29" t="s">
        <v>2028</v>
      </c>
      <c r="DQ54" s="47">
        <v>0</v>
      </c>
      <c r="DR54" s="47">
        <v>1832</v>
      </c>
      <c r="DS54" s="30">
        <v>52</v>
      </c>
      <c r="DT54" s="30">
        <v>40</v>
      </c>
      <c r="DU54" s="30">
        <v>40</v>
      </c>
      <c r="DV54" s="30">
        <v>40</v>
      </c>
      <c r="DX54" s="2">
        <f t="shared" si="21"/>
        <v>1832</v>
      </c>
      <c r="DY54" s="33" t="s">
        <v>2187</v>
      </c>
      <c r="DZ54" s="33" t="s">
        <v>193</v>
      </c>
      <c r="EA54" s="33" t="s">
        <v>2031</v>
      </c>
      <c r="EB54" s="33" t="s">
        <v>2027</v>
      </c>
      <c r="EC54" s="36">
        <v>43</v>
      </c>
      <c r="ED54" s="29" t="s">
        <v>191</v>
      </c>
      <c r="EE54" s="29" t="s">
        <v>192</v>
      </c>
      <c r="EF54" s="37">
        <v>41548</v>
      </c>
      <c r="EG54" s="37">
        <v>41912</v>
      </c>
      <c r="EH54" s="29" t="s">
        <v>191</v>
      </c>
      <c r="EI54" s="55">
        <f t="shared" si="22"/>
        <v>0.33547127718906861</v>
      </c>
      <c r="EJ54" s="54">
        <f t="shared" si="23"/>
        <v>0.14556609035136642</v>
      </c>
      <c r="EK54" s="55">
        <f t="shared" si="24"/>
        <v>2.1419408812046847</v>
      </c>
      <c r="EL54" s="54">
        <f t="shared" si="25"/>
        <v>9.3139988845510321E-2</v>
      </c>
    </row>
    <row r="55" spans="1:142" ht="28.8" x14ac:dyDescent="0.3">
      <c r="A55" s="29" t="s">
        <v>194</v>
      </c>
      <c r="B55" s="29"/>
      <c r="C55" s="30">
        <v>8330</v>
      </c>
      <c r="D55" s="30">
        <v>0</v>
      </c>
      <c r="E55" s="30">
        <v>0</v>
      </c>
      <c r="F55" s="30">
        <v>5600</v>
      </c>
      <c r="H55" s="2">
        <f t="shared" si="26"/>
        <v>5600</v>
      </c>
      <c r="I55" s="1">
        <f t="shared" si="0"/>
        <v>0.67226890756302526</v>
      </c>
      <c r="J55" s="31">
        <v>64182</v>
      </c>
      <c r="K55" s="31">
        <v>23143</v>
      </c>
      <c r="L55" s="31">
        <v>87325</v>
      </c>
      <c r="M55" s="45">
        <f t="shared" si="1"/>
        <v>10.483193277310924</v>
      </c>
      <c r="N55" s="31">
        <v>6754</v>
      </c>
      <c r="O55" s="31">
        <v>3399</v>
      </c>
      <c r="P55" s="31">
        <v>1221</v>
      </c>
      <c r="Q55" s="31">
        <v>11374</v>
      </c>
      <c r="R55" s="45">
        <f t="shared" si="2"/>
        <v>1.3654261704681874</v>
      </c>
      <c r="S55" s="31">
        <v>22321</v>
      </c>
      <c r="T55" s="31">
        <v>121020</v>
      </c>
      <c r="U55" s="31">
        <v>0</v>
      </c>
      <c r="V55" s="31">
        <v>121020</v>
      </c>
      <c r="W55" s="45">
        <f t="shared" si="3"/>
        <v>14.528211284513805</v>
      </c>
      <c r="X55" s="4">
        <f t="shared" si="4"/>
        <v>0.7215749462898694</v>
      </c>
      <c r="Y55" s="4">
        <f t="shared" si="5"/>
        <v>9.3984465377623533E-2</v>
      </c>
      <c r="Z55" s="4">
        <f t="shared" si="6"/>
        <v>0.18444058833250701</v>
      </c>
      <c r="AA55" s="4">
        <f t="shared" si="7"/>
        <v>0</v>
      </c>
      <c r="AB55" s="31">
        <v>0</v>
      </c>
      <c r="AC55" s="31">
        <v>11374</v>
      </c>
      <c r="AD55" s="31">
        <v>121020</v>
      </c>
      <c r="AE55" s="31">
        <v>101233</v>
      </c>
      <c r="AF55" s="31">
        <v>42000</v>
      </c>
      <c r="AG55" s="31">
        <v>59233</v>
      </c>
      <c r="AH55" s="31">
        <v>0</v>
      </c>
      <c r="AI55" s="31">
        <v>101233</v>
      </c>
      <c r="AJ55" s="45">
        <f t="shared" si="8"/>
        <v>12.152821128451381</v>
      </c>
      <c r="AK55" s="31">
        <v>0</v>
      </c>
      <c r="AL55" s="31">
        <v>0</v>
      </c>
      <c r="AM55" s="31">
        <v>0</v>
      </c>
      <c r="AN55" s="31">
        <v>0</v>
      </c>
      <c r="AO55" s="31">
        <v>13751</v>
      </c>
      <c r="AP55" s="31">
        <v>7860</v>
      </c>
      <c r="AQ55" s="31">
        <v>21611</v>
      </c>
      <c r="AR55" s="31">
        <v>122844</v>
      </c>
      <c r="AS55" s="46">
        <f t="shared" si="9"/>
        <v>14.74717887154862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3" t="s">
        <v>25</v>
      </c>
      <c r="BD55" s="47">
        <v>14957</v>
      </c>
      <c r="BE55" s="47">
        <v>14958</v>
      </c>
      <c r="BF55" s="45">
        <f t="shared" si="10"/>
        <v>1.7956782713085233</v>
      </c>
      <c r="BG55" s="30">
        <v>659</v>
      </c>
      <c r="BH55" s="30">
        <v>660</v>
      </c>
      <c r="BI55" s="30">
        <v>263</v>
      </c>
      <c r="BJ55" s="30">
        <v>604</v>
      </c>
      <c r="BK55" s="30">
        <v>605</v>
      </c>
      <c r="BL55" s="30">
        <v>0</v>
      </c>
      <c r="BM55" s="30">
        <v>1756</v>
      </c>
      <c r="BN55" s="30">
        <v>6</v>
      </c>
      <c r="BO55" s="30">
        <v>51</v>
      </c>
      <c r="BP55" s="30">
        <v>0</v>
      </c>
      <c r="BQ55" s="30">
        <v>57</v>
      </c>
      <c r="BR55" s="47">
        <v>16220</v>
      </c>
      <c r="BS55" s="47">
        <v>18248</v>
      </c>
      <c r="BT55" s="1">
        <f t="shared" si="11"/>
        <v>2.1906362545018006</v>
      </c>
      <c r="BU55" s="30">
        <v>15</v>
      </c>
      <c r="BV55" s="30">
        <v>0</v>
      </c>
      <c r="BW55" s="47">
        <v>3300</v>
      </c>
      <c r="BX55" s="52">
        <f t="shared" si="12"/>
        <v>0.39615846338535415</v>
      </c>
      <c r="BY55" s="47">
        <v>2005</v>
      </c>
      <c r="BZ55" s="47">
        <v>0</v>
      </c>
      <c r="CA55" s="47">
        <v>23028</v>
      </c>
      <c r="CB55" s="47">
        <v>1539</v>
      </c>
      <c r="CC55" s="47">
        <v>26572</v>
      </c>
      <c r="CD55" s="55">
        <f t="shared" si="13"/>
        <v>3.1899159663865548</v>
      </c>
      <c r="CE55" s="3">
        <f t="shared" si="14"/>
        <v>9662.545454545454</v>
      </c>
      <c r="CF55" s="55">
        <f t="shared" si="15"/>
        <v>12.867796610169492</v>
      </c>
      <c r="CG55" s="55">
        <f t="shared" si="16"/>
        <v>1.7421977445580907</v>
      </c>
      <c r="CH55" s="55">
        <f t="shared" si="17"/>
        <v>1.371821569487067</v>
      </c>
      <c r="CI55" s="30">
        <v>20</v>
      </c>
      <c r="CJ55" s="30">
        <v>1</v>
      </c>
      <c r="CK55" s="30">
        <v>5</v>
      </c>
      <c r="CL55" s="30">
        <v>26</v>
      </c>
      <c r="CM55" s="30">
        <v>619</v>
      </c>
      <c r="CN55" s="30">
        <v>64</v>
      </c>
      <c r="CO55" s="30">
        <v>277</v>
      </c>
      <c r="CP55" s="30">
        <v>960</v>
      </c>
      <c r="CQ55" s="1">
        <f t="shared" si="27"/>
        <v>0.11524609843937575</v>
      </c>
      <c r="CR55" s="47">
        <v>15252</v>
      </c>
      <c r="CS55" s="55">
        <f t="shared" si="18"/>
        <v>1.8309723889555822</v>
      </c>
      <c r="CT55" s="59">
        <v>5036</v>
      </c>
      <c r="CU55" s="29" t="s">
        <v>25</v>
      </c>
      <c r="CV55" s="29" t="s">
        <v>25</v>
      </c>
      <c r="CW55" s="29" t="s">
        <v>25</v>
      </c>
      <c r="CX55" s="35">
        <v>0</v>
      </c>
      <c r="CY55" s="49">
        <v>0</v>
      </c>
      <c r="CZ55" s="35">
        <v>2.75</v>
      </c>
      <c r="DA55" s="35">
        <v>0</v>
      </c>
      <c r="DB55" s="35">
        <v>2.75</v>
      </c>
      <c r="DC55" s="49">
        <f t="shared" si="20"/>
        <v>3029.090909090909</v>
      </c>
      <c r="DD55" s="30">
        <v>467</v>
      </c>
      <c r="DE55" s="31">
        <v>28482</v>
      </c>
      <c r="DF55" s="35">
        <v>40</v>
      </c>
      <c r="DG55" s="29" t="s">
        <v>25</v>
      </c>
      <c r="DH55" s="29" t="s">
        <v>25</v>
      </c>
      <c r="DI55" s="29" t="s">
        <v>25</v>
      </c>
      <c r="DJ55" s="47">
        <v>15</v>
      </c>
      <c r="DK55" s="47">
        <v>20</v>
      </c>
      <c r="DL55" s="47">
        <v>7</v>
      </c>
      <c r="DM55" s="47">
        <v>2992</v>
      </c>
      <c r="DN55" s="47">
        <v>500</v>
      </c>
      <c r="DO55" s="47">
        <v>487</v>
      </c>
      <c r="DP55" s="29" t="s">
        <v>2028</v>
      </c>
      <c r="DQ55" s="47">
        <v>0</v>
      </c>
      <c r="DR55" s="47">
        <v>2065</v>
      </c>
      <c r="DS55" s="30">
        <v>52</v>
      </c>
      <c r="DT55" s="30">
        <v>40</v>
      </c>
      <c r="DU55" s="30">
        <v>40</v>
      </c>
      <c r="DV55" s="30">
        <v>40</v>
      </c>
      <c r="DX55" s="2">
        <f t="shared" si="21"/>
        <v>2065</v>
      </c>
      <c r="DY55" s="33" t="s">
        <v>2179</v>
      </c>
      <c r="DZ55" s="33" t="s">
        <v>197</v>
      </c>
      <c r="EA55" s="33" t="s">
        <v>2031</v>
      </c>
      <c r="EB55" s="33" t="s">
        <v>2027</v>
      </c>
      <c r="EC55" s="36">
        <v>44</v>
      </c>
      <c r="ED55" s="29" t="s">
        <v>195</v>
      </c>
      <c r="EE55" s="29" t="s">
        <v>196</v>
      </c>
      <c r="EF55" s="37">
        <v>41548</v>
      </c>
      <c r="EG55" s="37">
        <v>41912</v>
      </c>
      <c r="EH55" s="29" t="s">
        <v>195</v>
      </c>
      <c r="EI55" s="55">
        <f t="shared" si="22"/>
        <v>0.24069627851140457</v>
      </c>
      <c r="EJ55" s="54">
        <f t="shared" si="23"/>
        <v>0</v>
      </c>
      <c r="EK55" s="55">
        <f t="shared" si="24"/>
        <v>2.7644657863145259</v>
      </c>
      <c r="EL55" s="54">
        <f t="shared" si="25"/>
        <v>0.18475390156062424</v>
      </c>
    </row>
    <row r="56" spans="1:142" ht="28.8" x14ac:dyDescent="0.3">
      <c r="A56" s="29" t="s">
        <v>198</v>
      </c>
      <c r="B56" s="29"/>
      <c r="C56" s="30">
        <v>9247</v>
      </c>
      <c r="D56" s="30">
        <v>0</v>
      </c>
      <c r="E56" s="30">
        <v>0</v>
      </c>
      <c r="F56" s="30">
        <v>7735</v>
      </c>
      <c r="H56" s="2">
        <f t="shared" si="26"/>
        <v>7735</v>
      </c>
      <c r="I56" s="1">
        <f t="shared" si="0"/>
        <v>0.83648750946252837</v>
      </c>
      <c r="J56" s="31">
        <v>41449</v>
      </c>
      <c r="K56" s="31">
        <v>3564</v>
      </c>
      <c r="L56" s="31">
        <v>45013</v>
      </c>
      <c r="M56" s="45">
        <f t="shared" si="1"/>
        <v>4.8678490321185253</v>
      </c>
      <c r="N56" s="31">
        <v>12845</v>
      </c>
      <c r="O56" s="31">
        <v>0</v>
      </c>
      <c r="P56" s="31">
        <v>0</v>
      </c>
      <c r="Q56" s="31">
        <v>12845</v>
      </c>
      <c r="R56" s="45">
        <f t="shared" si="2"/>
        <v>1.3890991672975019</v>
      </c>
      <c r="S56" s="31">
        <v>33920</v>
      </c>
      <c r="T56" s="31">
        <v>91778</v>
      </c>
      <c r="U56" s="31">
        <v>0</v>
      </c>
      <c r="V56" s="31">
        <v>91778</v>
      </c>
      <c r="W56" s="45">
        <f t="shared" si="3"/>
        <v>9.9251649183518982</v>
      </c>
      <c r="X56" s="4">
        <f t="shared" si="4"/>
        <v>0.49045522892196386</v>
      </c>
      <c r="Y56" s="4">
        <f t="shared" si="5"/>
        <v>0.13995728823901152</v>
      </c>
      <c r="Z56" s="4">
        <f t="shared" si="6"/>
        <v>0.36958748283902459</v>
      </c>
      <c r="AA56" s="4">
        <f t="shared" si="7"/>
        <v>0</v>
      </c>
      <c r="AB56" s="31">
        <v>0</v>
      </c>
      <c r="AC56" s="31">
        <v>12845</v>
      </c>
      <c r="AD56" s="31">
        <v>91778</v>
      </c>
      <c r="AE56" s="31">
        <v>25900</v>
      </c>
      <c r="AF56" s="31">
        <v>13900</v>
      </c>
      <c r="AG56" s="31">
        <v>12000</v>
      </c>
      <c r="AH56" s="31">
        <v>0</v>
      </c>
      <c r="AI56" s="31">
        <v>25900</v>
      </c>
      <c r="AJ56" s="45">
        <f t="shared" si="8"/>
        <v>2.800908402725208</v>
      </c>
      <c r="AK56" s="31">
        <v>0</v>
      </c>
      <c r="AL56" s="31">
        <v>0</v>
      </c>
      <c r="AM56" s="31">
        <v>0</v>
      </c>
      <c r="AN56" s="31">
        <v>0</v>
      </c>
      <c r="AO56" s="31">
        <v>36681</v>
      </c>
      <c r="AP56" s="31">
        <v>48665</v>
      </c>
      <c r="AQ56" s="31">
        <v>85346</v>
      </c>
      <c r="AR56" s="31">
        <v>111246</v>
      </c>
      <c r="AS56" s="46">
        <f t="shared" si="9"/>
        <v>12.030496377203418</v>
      </c>
      <c r="AT56" s="31">
        <v>0</v>
      </c>
      <c r="AU56" s="31">
        <v>0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3" t="s">
        <v>25</v>
      </c>
      <c r="BD56" s="47">
        <v>25051</v>
      </c>
      <c r="BE56" s="47">
        <v>25519</v>
      </c>
      <c r="BF56" s="45">
        <f t="shared" si="10"/>
        <v>2.7597058505461232</v>
      </c>
      <c r="BG56" s="30">
        <v>1074</v>
      </c>
      <c r="BH56" s="30">
        <v>1074</v>
      </c>
      <c r="BI56" s="30">
        <v>0</v>
      </c>
      <c r="BJ56" s="30">
        <v>345</v>
      </c>
      <c r="BK56" s="30">
        <v>345</v>
      </c>
      <c r="BL56" s="30">
        <v>0</v>
      </c>
      <c r="BM56" s="30">
        <v>0</v>
      </c>
      <c r="BN56" s="30">
        <v>1</v>
      </c>
      <c r="BO56" s="30">
        <v>51</v>
      </c>
      <c r="BP56" s="30">
        <v>0</v>
      </c>
      <c r="BQ56" s="30">
        <v>52</v>
      </c>
      <c r="BR56" s="47">
        <v>26470</v>
      </c>
      <c r="BS56" s="47">
        <v>26939</v>
      </c>
      <c r="BT56" s="1">
        <f t="shared" si="11"/>
        <v>2.9132691683789336</v>
      </c>
      <c r="BU56" s="30">
        <v>10</v>
      </c>
      <c r="BV56" s="30">
        <v>0</v>
      </c>
      <c r="BW56" s="47">
        <v>963</v>
      </c>
      <c r="BX56" s="52">
        <f t="shared" si="12"/>
        <v>0.10414188385422299</v>
      </c>
      <c r="BY56" s="47">
        <v>2080</v>
      </c>
      <c r="BZ56" s="47">
        <v>0</v>
      </c>
      <c r="CA56" s="47">
        <v>8497</v>
      </c>
      <c r="CB56" s="47">
        <v>0</v>
      </c>
      <c r="CC56" s="47">
        <v>10577</v>
      </c>
      <c r="CD56" s="55">
        <f t="shared" si="13"/>
        <v>1.1438304314912944</v>
      </c>
      <c r="CE56" s="3">
        <f t="shared" si="14"/>
        <v>4700.8888888888887</v>
      </c>
      <c r="CF56" s="55">
        <f t="shared" si="15"/>
        <v>6.8459546925566341</v>
      </c>
      <c r="CG56" s="55">
        <f t="shared" si="16"/>
        <v>1.1704105344694036</v>
      </c>
      <c r="CH56" s="55">
        <f t="shared" si="17"/>
        <v>0.39262778870782139</v>
      </c>
      <c r="CI56" s="30">
        <v>7</v>
      </c>
      <c r="CJ56" s="30">
        <v>14</v>
      </c>
      <c r="CK56" s="30">
        <v>22</v>
      </c>
      <c r="CL56" s="30">
        <v>43</v>
      </c>
      <c r="CM56" s="30">
        <v>115</v>
      </c>
      <c r="CN56" s="30">
        <v>98</v>
      </c>
      <c r="CO56" s="30">
        <v>182</v>
      </c>
      <c r="CP56" s="30">
        <v>395</v>
      </c>
      <c r="CQ56" s="1">
        <f t="shared" si="27"/>
        <v>4.2716556721098732E-2</v>
      </c>
      <c r="CR56" s="47">
        <v>9037</v>
      </c>
      <c r="CS56" s="55">
        <f t="shared" si="18"/>
        <v>0.97728993186979563</v>
      </c>
      <c r="CT56" s="59">
        <v>3440</v>
      </c>
      <c r="CU56" s="29" t="s">
        <v>25</v>
      </c>
      <c r="CV56" s="29" t="s">
        <v>25</v>
      </c>
      <c r="CW56" s="29" t="s">
        <v>25</v>
      </c>
      <c r="CX56" s="35">
        <v>0</v>
      </c>
      <c r="CY56" s="49">
        <v>0</v>
      </c>
      <c r="CZ56" s="35">
        <v>1.4</v>
      </c>
      <c r="DA56" s="35">
        <v>0.85</v>
      </c>
      <c r="DB56" s="35">
        <v>2.25</v>
      </c>
      <c r="DC56" s="49">
        <f t="shared" si="20"/>
        <v>4109.7777777777774</v>
      </c>
      <c r="DD56" s="30">
        <v>1062</v>
      </c>
      <c r="DE56" s="31">
        <v>21619</v>
      </c>
      <c r="DF56" s="35">
        <v>35</v>
      </c>
      <c r="DG56" s="29" t="s">
        <v>25</v>
      </c>
      <c r="DH56" s="29" t="s">
        <v>25</v>
      </c>
      <c r="DI56" s="29" t="s">
        <v>25</v>
      </c>
      <c r="DJ56" s="47">
        <v>0</v>
      </c>
      <c r="DK56" s="47">
        <v>0</v>
      </c>
      <c r="DL56" s="47">
        <v>11</v>
      </c>
      <c r="DM56" s="47">
        <v>1677</v>
      </c>
      <c r="DN56" s="47">
        <v>486</v>
      </c>
      <c r="DO56" s="47">
        <v>1886</v>
      </c>
      <c r="DP56" s="29" t="s">
        <v>2028</v>
      </c>
      <c r="DQ56" s="47">
        <v>0</v>
      </c>
      <c r="DR56" s="47">
        <v>1545</v>
      </c>
      <c r="DS56" s="30">
        <v>49</v>
      </c>
      <c r="DT56" s="30">
        <v>33</v>
      </c>
      <c r="DU56" s="30">
        <v>33</v>
      </c>
      <c r="DV56" s="30">
        <v>33</v>
      </c>
      <c r="DX56" s="2">
        <f t="shared" si="21"/>
        <v>1545</v>
      </c>
      <c r="DY56" s="33" t="s">
        <v>2179</v>
      </c>
      <c r="DZ56" s="33" t="s">
        <v>201</v>
      </c>
      <c r="EA56" s="33" t="s">
        <v>2032</v>
      </c>
      <c r="EB56" s="33" t="s">
        <v>2027</v>
      </c>
      <c r="EC56" s="36">
        <v>45</v>
      </c>
      <c r="ED56" s="29" t="s">
        <v>199</v>
      </c>
      <c r="EE56" s="29" t="s">
        <v>200</v>
      </c>
      <c r="EF56" s="37">
        <v>41640</v>
      </c>
      <c r="EG56" s="37">
        <v>42004</v>
      </c>
      <c r="EH56" s="29" t="s">
        <v>199</v>
      </c>
      <c r="EI56" s="55">
        <f t="shared" si="22"/>
        <v>0.22493781767059587</v>
      </c>
      <c r="EJ56" s="54">
        <f t="shared" si="23"/>
        <v>0</v>
      </c>
      <c r="EK56" s="55">
        <f t="shared" si="24"/>
        <v>0.91889261382069864</v>
      </c>
      <c r="EL56" s="54">
        <f t="shared" si="25"/>
        <v>0</v>
      </c>
    </row>
    <row r="57" spans="1:142" ht="28.8" x14ac:dyDescent="0.3">
      <c r="A57" s="29" t="s">
        <v>1728</v>
      </c>
      <c r="B57" s="29"/>
      <c r="C57" s="30">
        <v>2160</v>
      </c>
      <c r="D57" s="30">
        <v>0</v>
      </c>
      <c r="E57" s="30">
        <v>0</v>
      </c>
      <c r="F57" s="30">
        <v>1000</v>
      </c>
      <c r="H57" s="2">
        <f t="shared" si="26"/>
        <v>1000</v>
      </c>
      <c r="I57" s="1">
        <f t="shared" si="0"/>
        <v>0.46296296296296297</v>
      </c>
      <c r="J57" s="31">
        <v>13685</v>
      </c>
      <c r="K57" s="31">
        <v>1046</v>
      </c>
      <c r="L57" s="31">
        <v>14731</v>
      </c>
      <c r="M57" s="45">
        <f t="shared" si="1"/>
        <v>6.8199074074074071</v>
      </c>
      <c r="N57" s="31">
        <v>1695</v>
      </c>
      <c r="O57" s="31">
        <v>0</v>
      </c>
      <c r="P57" s="31">
        <v>0</v>
      </c>
      <c r="Q57" s="31">
        <v>1695</v>
      </c>
      <c r="R57" s="45">
        <f t="shared" si="2"/>
        <v>0.78472222222222221</v>
      </c>
      <c r="S57" s="31">
        <v>8470</v>
      </c>
      <c r="T57" s="31">
        <v>24896</v>
      </c>
      <c r="U57" s="31">
        <v>0</v>
      </c>
      <c r="V57" s="31">
        <v>24896</v>
      </c>
      <c r="W57" s="45">
        <f t="shared" si="3"/>
        <v>11.525925925925925</v>
      </c>
      <c r="X57" s="4">
        <f t="shared" si="4"/>
        <v>0.59170147814910024</v>
      </c>
      <c r="Y57" s="4">
        <f t="shared" si="5"/>
        <v>6.8083226221079693E-2</v>
      </c>
      <c r="Z57" s="4">
        <f t="shared" si="6"/>
        <v>0.34021529562982006</v>
      </c>
      <c r="AA57" s="4">
        <f t="shared" si="7"/>
        <v>0</v>
      </c>
      <c r="AB57" s="31">
        <v>3565</v>
      </c>
      <c r="AC57" s="31">
        <v>695</v>
      </c>
      <c r="AD57" s="31">
        <v>22928</v>
      </c>
      <c r="AE57" s="31">
        <v>17684</v>
      </c>
      <c r="AF57" s="31">
        <v>14684</v>
      </c>
      <c r="AG57" s="31">
        <v>3000</v>
      </c>
      <c r="AH57" s="31">
        <v>0</v>
      </c>
      <c r="AI57" s="31">
        <v>17684</v>
      </c>
      <c r="AJ57" s="45">
        <f t="shared" si="8"/>
        <v>8.1870370370370367</v>
      </c>
      <c r="AK57" s="31">
        <v>0</v>
      </c>
      <c r="AL57" s="31">
        <v>0</v>
      </c>
      <c r="AM57" s="31">
        <v>0</v>
      </c>
      <c r="AN57" s="31">
        <v>0</v>
      </c>
      <c r="AO57" s="31">
        <v>2625</v>
      </c>
      <c r="AP57" s="31">
        <v>5315</v>
      </c>
      <c r="AQ57" s="31">
        <v>7940</v>
      </c>
      <c r="AR57" s="31">
        <v>25624</v>
      </c>
      <c r="AS57" s="46">
        <f t="shared" si="9"/>
        <v>11.862962962962962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  <c r="AZ57" s="31">
        <v>10000</v>
      </c>
      <c r="BA57" s="31">
        <v>15011</v>
      </c>
      <c r="BB57" s="31">
        <v>25011</v>
      </c>
      <c r="BC57" s="33" t="s">
        <v>25</v>
      </c>
      <c r="BD57" s="47">
        <v>12114</v>
      </c>
      <c r="BE57" s="47">
        <v>12449</v>
      </c>
      <c r="BF57" s="45">
        <f t="shared" si="10"/>
        <v>5.763425925925926</v>
      </c>
      <c r="BG57" s="30">
        <v>134</v>
      </c>
      <c r="BH57" s="30">
        <v>134</v>
      </c>
      <c r="BI57" s="30">
        <v>0</v>
      </c>
      <c r="BJ57" s="30">
        <v>5</v>
      </c>
      <c r="BK57" s="30">
        <v>5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47">
        <v>12253</v>
      </c>
      <c r="BS57" s="47">
        <v>12588</v>
      </c>
      <c r="BT57" s="1">
        <f t="shared" si="11"/>
        <v>5.8277777777777775</v>
      </c>
      <c r="BU57" s="30">
        <v>5</v>
      </c>
      <c r="BV57" s="30">
        <v>0</v>
      </c>
      <c r="BW57" s="47">
        <v>96</v>
      </c>
      <c r="BX57" s="52">
        <f t="shared" si="12"/>
        <v>4.4444444444444446E-2</v>
      </c>
      <c r="BY57" s="47">
        <v>824</v>
      </c>
      <c r="BZ57" s="47">
        <v>0</v>
      </c>
      <c r="CA57" s="47">
        <v>1714</v>
      </c>
      <c r="CB57" s="47">
        <v>0</v>
      </c>
      <c r="CC57" s="47">
        <v>2538</v>
      </c>
      <c r="CD57" s="55">
        <f t="shared" si="13"/>
        <v>1.175</v>
      </c>
      <c r="CE57" s="3">
        <f t="shared" si="14"/>
        <v>3172.5</v>
      </c>
      <c r="CF57" s="55">
        <f t="shared" si="15"/>
        <v>1.5252403846153846</v>
      </c>
      <c r="CG57" s="55">
        <f t="shared" si="16"/>
        <v>0.45337620578778137</v>
      </c>
      <c r="CH57" s="55">
        <f t="shared" si="17"/>
        <v>0.20162059103908483</v>
      </c>
      <c r="CI57" s="30">
        <v>10</v>
      </c>
      <c r="CJ57" s="30">
        <v>6</v>
      </c>
      <c r="CK57" s="30">
        <v>12</v>
      </c>
      <c r="CL57" s="30">
        <v>28</v>
      </c>
      <c r="CM57" s="30">
        <v>105</v>
      </c>
      <c r="CN57" s="30">
        <v>34</v>
      </c>
      <c r="CO57" s="30">
        <v>96</v>
      </c>
      <c r="CP57" s="30">
        <v>235</v>
      </c>
      <c r="CQ57" s="1">
        <f t="shared" si="27"/>
        <v>0.10879629629629629</v>
      </c>
      <c r="CR57" s="47">
        <v>5598</v>
      </c>
      <c r="CS57" s="55">
        <f t="shared" si="18"/>
        <v>2.5916666666666668</v>
      </c>
      <c r="CT57" s="59">
        <v>1399</v>
      </c>
      <c r="CU57" s="29" t="s">
        <v>25</v>
      </c>
      <c r="CV57" s="29" t="s">
        <v>25</v>
      </c>
      <c r="CW57" s="29" t="s">
        <v>25</v>
      </c>
      <c r="CX57" s="35">
        <v>0</v>
      </c>
      <c r="CY57" s="49">
        <v>0</v>
      </c>
      <c r="CZ57" s="35">
        <v>0.5</v>
      </c>
      <c r="DA57" s="35">
        <v>0.3</v>
      </c>
      <c r="DB57" s="35">
        <v>0.8</v>
      </c>
      <c r="DC57" s="49">
        <f t="shared" si="20"/>
        <v>2700</v>
      </c>
      <c r="DD57" s="30">
        <v>453</v>
      </c>
      <c r="DE57" s="31">
        <v>8830</v>
      </c>
      <c r="DF57" s="35">
        <v>20</v>
      </c>
      <c r="DG57" s="29" t="s">
        <v>25</v>
      </c>
      <c r="DH57" s="29" t="s">
        <v>25</v>
      </c>
      <c r="DI57" s="29" t="s">
        <v>25</v>
      </c>
      <c r="DJ57" s="47">
        <v>0</v>
      </c>
      <c r="DK57" s="47">
        <v>0</v>
      </c>
      <c r="DL57" s="47">
        <v>6</v>
      </c>
      <c r="DM57" s="47">
        <v>2178</v>
      </c>
      <c r="DN57" s="47">
        <v>15</v>
      </c>
      <c r="DO57" s="47">
        <v>726</v>
      </c>
      <c r="DP57" s="29" t="s">
        <v>25</v>
      </c>
      <c r="DQ57" s="47">
        <v>321</v>
      </c>
      <c r="DR57" s="47">
        <v>1664</v>
      </c>
      <c r="DS57" s="30">
        <v>52</v>
      </c>
      <c r="DT57" s="30">
        <v>32</v>
      </c>
      <c r="DU57" s="30">
        <v>32</v>
      </c>
      <c r="DV57" s="30">
        <v>32</v>
      </c>
      <c r="DX57" s="2">
        <f t="shared" si="21"/>
        <v>1664</v>
      </c>
      <c r="DY57" s="33" t="s">
        <v>2186</v>
      </c>
      <c r="DZ57" s="33" t="s">
        <v>1730</v>
      </c>
      <c r="EA57" s="33" t="s">
        <v>2032</v>
      </c>
      <c r="EB57" s="33" t="s">
        <v>2027</v>
      </c>
      <c r="EC57" s="36">
        <v>597</v>
      </c>
      <c r="ED57" s="29" t="s">
        <v>1729</v>
      </c>
      <c r="EE57" s="29" t="s">
        <v>540</v>
      </c>
      <c r="EF57" s="37">
        <v>41640</v>
      </c>
      <c r="EG57" s="37">
        <v>42004</v>
      </c>
      <c r="EH57" s="29" t="s">
        <v>1729</v>
      </c>
      <c r="EI57" s="55">
        <f t="shared" si="22"/>
        <v>0.38148148148148148</v>
      </c>
      <c r="EJ57" s="54">
        <f t="shared" si="23"/>
        <v>0</v>
      </c>
      <c r="EK57" s="55">
        <f t="shared" si="24"/>
        <v>0.79351851851851851</v>
      </c>
      <c r="EL57" s="54">
        <f t="shared" si="25"/>
        <v>0</v>
      </c>
    </row>
    <row r="58" spans="1:142" ht="43.2" x14ac:dyDescent="0.3">
      <c r="A58" s="29" t="s">
        <v>202</v>
      </c>
      <c r="B58" s="29"/>
      <c r="C58" s="30">
        <v>16101</v>
      </c>
      <c r="D58" s="30">
        <v>0</v>
      </c>
      <c r="E58" s="30">
        <v>0</v>
      </c>
      <c r="F58" s="30">
        <v>6585</v>
      </c>
      <c r="H58" s="2">
        <f t="shared" si="26"/>
        <v>6585</v>
      </c>
      <c r="I58" s="1">
        <f t="shared" si="0"/>
        <v>0.40898080864542574</v>
      </c>
      <c r="J58" s="31">
        <v>200481</v>
      </c>
      <c r="K58" s="31">
        <v>74006</v>
      </c>
      <c r="L58" s="31">
        <v>274487</v>
      </c>
      <c r="M58" s="45">
        <f t="shared" si="1"/>
        <v>17.047823116576609</v>
      </c>
      <c r="N58" s="31">
        <v>35465</v>
      </c>
      <c r="O58" s="31">
        <v>5227</v>
      </c>
      <c r="P58" s="31">
        <v>5781</v>
      </c>
      <c r="Q58" s="31">
        <v>46473</v>
      </c>
      <c r="R58" s="45">
        <f t="shared" si="2"/>
        <v>2.8863424632010433</v>
      </c>
      <c r="S58" s="31">
        <v>122279</v>
      </c>
      <c r="T58" s="31">
        <v>443239</v>
      </c>
      <c r="U58" s="31">
        <v>0</v>
      </c>
      <c r="V58" s="31">
        <v>443239</v>
      </c>
      <c r="W58" s="45">
        <f t="shared" si="3"/>
        <v>27.528662815974162</v>
      </c>
      <c r="X58" s="4">
        <f t="shared" si="4"/>
        <v>0.61927537964845147</v>
      </c>
      <c r="Y58" s="4">
        <f t="shared" si="5"/>
        <v>0.10484862568501419</v>
      </c>
      <c r="Z58" s="4">
        <f t="shared" si="6"/>
        <v>0.27587599466653429</v>
      </c>
      <c r="AA58" s="4">
        <f t="shared" si="7"/>
        <v>0</v>
      </c>
      <c r="AB58" s="31">
        <v>0</v>
      </c>
      <c r="AC58" s="31">
        <v>46473</v>
      </c>
      <c r="AD58" s="31">
        <v>438295</v>
      </c>
      <c r="AE58" s="31">
        <v>421043</v>
      </c>
      <c r="AF58" s="31">
        <v>421043</v>
      </c>
      <c r="AG58" s="31">
        <v>0</v>
      </c>
      <c r="AH58" s="31">
        <v>0</v>
      </c>
      <c r="AI58" s="31">
        <v>421043</v>
      </c>
      <c r="AJ58" s="45">
        <f t="shared" si="8"/>
        <v>26.150114899695669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17252</v>
      </c>
      <c r="AQ58" s="31">
        <v>17252</v>
      </c>
      <c r="AR58" s="31">
        <v>438295</v>
      </c>
      <c r="AS58" s="46">
        <f t="shared" si="9"/>
        <v>27.221601142786163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3" t="s">
        <v>25</v>
      </c>
      <c r="BD58" s="47">
        <v>26129</v>
      </c>
      <c r="BE58" s="47">
        <v>26800</v>
      </c>
      <c r="BF58" s="45">
        <f t="shared" si="10"/>
        <v>1.6644928886404571</v>
      </c>
      <c r="BG58" s="30">
        <v>1909</v>
      </c>
      <c r="BH58" s="30">
        <v>1948</v>
      </c>
      <c r="BI58" s="30">
        <v>460</v>
      </c>
      <c r="BJ58" s="30">
        <v>1542</v>
      </c>
      <c r="BK58" s="30">
        <v>1606</v>
      </c>
      <c r="BL58" s="30">
        <v>28</v>
      </c>
      <c r="BM58" s="30">
        <v>1557</v>
      </c>
      <c r="BN58" s="30">
        <v>3</v>
      </c>
      <c r="BO58" s="30">
        <v>51</v>
      </c>
      <c r="BP58" s="30">
        <v>1</v>
      </c>
      <c r="BQ58" s="30">
        <v>55</v>
      </c>
      <c r="BR58" s="47">
        <v>29580</v>
      </c>
      <c r="BS58" s="47">
        <v>32402</v>
      </c>
      <c r="BT58" s="1">
        <f t="shared" si="11"/>
        <v>2.0124215887211974</v>
      </c>
      <c r="BU58" s="30">
        <v>79</v>
      </c>
      <c r="BV58" s="30">
        <v>0</v>
      </c>
      <c r="BW58" s="47">
        <v>11500</v>
      </c>
      <c r="BX58" s="52">
        <f t="shared" si="12"/>
        <v>0.71424135146885281</v>
      </c>
      <c r="BY58" s="47">
        <v>21878</v>
      </c>
      <c r="BZ58" s="47">
        <v>47</v>
      </c>
      <c r="CA58" s="47">
        <v>44533</v>
      </c>
      <c r="CB58" s="47">
        <v>833</v>
      </c>
      <c r="CC58" s="47">
        <v>67291</v>
      </c>
      <c r="CD58" s="55">
        <f t="shared" si="13"/>
        <v>4.1793056331904852</v>
      </c>
      <c r="CE58" s="3">
        <f t="shared" si="14"/>
        <v>10473.30739299611</v>
      </c>
      <c r="CF58" s="55">
        <f t="shared" si="15"/>
        <v>27.05709690390028</v>
      </c>
      <c r="CG58" s="55">
        <f t="shared" si="16"/>
        <v>1.0272494122675786</v>
      </c>
      <c r="CH58" s="55">
        <f t="shared" si="17"/>
        <v>2.0495957039688908</v>
      </c>
      <c r="CI58" s="30">
        <v>533</v>
      </c>
      <c r="CJ58" s="30">
        <v>0</v>
      </c>
      <c r="CK58" s="30">
        <v>0</v>
      </c>
      <c r="CL58" s="30">
        <v>533</v>
      </c>
      <c r="CM58" s="30">
        <v>17803</v>
      </c>
      <c r="CN58" s="30">
        <v>0</v>
      </c>
      <c r="CO58" s="30">
        <v>0</v>
      </c>
      <c r="CP58" s="30">
        <v>17803</v>
      </c>
      <c r="CQ58" s="1">
        <f t="shared" si="27"/>
        <v>1.1057077200173901</v>
      </c>
      <c r="CR58" s="47">
        <v>65506</v>
      </c>
      <c r="CS58" s="55">
        <f t="shared" si="18"/>
        <v>4.0684429538537978</v>
      </c>
      <c r="CT58" s="59">
        <v>20707</v>
      </c>
      <c r="CU58" s="29" t="s">
        <v>25</v>
      </c>
      <c r="CV58" s="29" t="s">
        <v>25</v>
      </c>
      <c r="CW58" s="29" t="s">
        <v>25</v>
      </c>
      <c r="CX58" s="35">
        <v>1</v>
      </c>
      <c r="CY58" s="49">
        <f t="shared" si="19"/>
        <v>16101</v>
      </c>
      <c r="CZ58" s="35">
        <v>1</v>
      </c>
      <c r="DA58" s="35">
        <v>4.4249999999999998</v>
      </c>
      <c r="DB58" s="35">
        <v>6.4249999999999998</v>
      </c>
      <c r="DC58" s="49">
        <f t="shared" si="20"/>
        <v>2505.9922178988327</v>
      </c>
      <c r="DD58" s="30">
        <v>155</v>
      </c>
      <c r="DE58" s="31">
        <v>39915</v>
      </c>
      <c r="DF58" s="35">
        <v>40</v>
      </c>
      <c r="DG58" s="29" t="s">
        <v>25</v>
      </c>
      <c r="DH58" s="29" t="s">
        <v>25</v>
      </c>
      <c r="DI58" s="29" t="s">
        <v>25</v>
      </c>
      <c r="DJ58" s="47">
        <v>41</v>
      </c>
      <c r="DK58" s="47">
        <v>0</v>
      </c>
      <c r="DL58" s="47">
        <v>12</v>
      </c>
      <c r="DM58" s="47">
        <v>13151</v>
      </c>
      <c r="DN58" s="47">
        <v>3120</v>
      </c>
      <c r="DO58" s="47">
        <v>1503</v>
      </c>
      <c r="DP58" s="29" t="s">
        <v>25</v>
      </c>
      <c r="DQ58" s="47">
        <v>9162</v>
      </c>
      <c r="DR58" s="47">
        <v>2487</v>
      </c>
      <c r="DS58" s="30">
        <v>52</v>
      </c>
      <c r="DT58" s="30">
        <v>55</v>
      </c>
      <c r="DU58" s="30">
        <v>55</v>
      </c>
      <c r="DV58" s="30">
        <v>55</v>
      </c>
      <c r="DX58" s="2">
        <f t="shared" si="21"/>
        <v>2487</v>
      </c>
      <c r="DY58" s="33" t="s">
        <v>2186</v>
      </c>
      <c r="DZ58" s="33" t="s">
        <v>204</v>
      </c>
      <c r="EA58" s="33" t="s">
        <v>2030</v>
      </c>
      <c r="EB58" s="33" t="s">
        <v>2027</v>
      </c>
      <c r="EC58" s="36">
        <v>46</v>
      </c>
      <c r="ED58" s="29" t="s">
        <v>203</v>
      </c>
      <c r="EE58" s="29" t="s">
        <v>20</v>
      </c>
      <c r="EF58" s="37">
        <v>41548</v>
      </c>
      <c r="EG58" s="37">
        <v>41912</v>
      </c>
      <c r="EH58" s="29" t="s">
        <v>203</v>
      </c>
      <c r="EI58" s="55">
        <f t="shared" si="22"/>
        <v>1.3587975902117881</v>
      </c>
      <c r="EJ58" s="54">
        <f t="shared" si="23"/>
        <v>2.9190733494813986E-3</v>
      </c>
      <c r="EK58" s="55">
        <f t="shared" si="24"/>
        <v>2.7658530526054284</v>
      </c>
      <c r="EL58" s="54">
        <f t="shared" si="25"/>
        <v>5.1735917023787339E-2</v>
      </c>
    </row>
    <row r="59" spans="1:142" ht="28.8" x14ac:dyDescent="0.3">
      <c r="A59" s="29" t="s">
        <v>1597</v>
      </c>
      <c r="B59" s="29"/>
      <c r="C59" s="30">
        <v>7899</v>
      </c>
      <c r="D59" s="30">
        <v>0</v>
      </c>
      <c r="E59" s="30">
        <v>0</v>
      </c>
      <c r="F59" s="30">
        <v>2500</v>
      </c>
      <c r="H59" s="2">
        <f t="shared" si="26"/>
        <v>2500</v>
      </c>
      <c r="I59" s="1">
        <f t="shared" si="0"/>
        <v>0.31649575895682996</v>
      </c>
      <c r="J59" s="31">
        <v>71885</v>
      </c>
      <c r="K59" s="31">
        <v>30820</v>
      </c>
      <c r="L59" s="31">
        <v>102705</v>
      </c>
      <c r="M59" s="45">
        <f t="shared" si="1"/>
        <v>13.002278769464489</v>
      </c>
      <c r="N59" s="31">
        <v>15055</v>
      </c>
      <c r="O59" s="31">
        <v>2514</v>
      </c>
      <c r="P59" s="31">
        <v>2553</v>
      </c>
      <c r="Q59" s="31">
        <v>20122</v>
      </c>
      <c r="R59" s="45">
        <f t="shared" si="2"/>
        <v>2.5474110646917332</v>
      </c>
      <c r="S59" s="31">
        <v>18214</v>
      </c>
      <c r="T59" s="31">
        <v>141041</v>
      </c>
      <c r="U59" s="31">
        <v>0</v>
      </c>
      <c r="V59" s="31">
        <v>141041</v>
      </c>
      <c r="W59" s="45">
        <f t="shared" si="3"/>
        <v>17.855551335612102</v>
      </c>
      <c r="X59" s="4">
        <f t="shared" si="4"/>
        <v>0.72819251139739505</v>
      </c>
      <c r="Y59" s="4">
        <f t="shared" si="5"/>
        <v>0.14266773491396118</v>
      </c>
      <c r="Z59" s="4">
        <f t="shared" si="6"/>
        <v>0.12913975368864372</v>
      </c>
      <c r="AA59" s="4">
        <f t="shared" si="7"/>
        <v>0</v>
      </c>
      <c r="AB59" s="31">
        <v>31255</v>
      </c>
      <c r="AC59" s="31">
        <v>20122</v>
      </c>
      <c r="AD59" s="31">
        <v>141041</v>
      </c>
      <c r="AE59" s="31">
        <v>141041</v>
      </c>
      <c r="AF59" s="31">
        <v>141041</v>
      </c>
      <c r="AG59" s="31">
        <v>0</v>
      </c>
      <c r="AH59" s="31">
        <v>0</v>
      </c>
      <c r="AI59" s="31">
        <v>141041</v>
      </c>
      <c r="AJ59" s="45">
        <f t="shared" si="8"/>
        <v>17.855551335612102</v>
      </c>
      <c r="AK59" s="31">
        <v>0</v>
      </c>
      <c r="AL59" s="31">
        <v>0</v>
      </c>
      <c r="AM59" s="31">
        <v>0</v>
      </c>
      <c r="AN59" s="31">
        <v>0</v>
      </c>
      <c r="AO59" s="31">
        <v>1607</v>
      </c>
      <c r="AP59" s="31">
        <v>600</v>
      </c>
      <c r="AQ59" s="31">
        <v>2207</v>
      </c>
      <c r="AR59" s="31">
        <v>143248</v>
      </c>
      <c r="AS59" s="46">
        <f t="shared" si="9"/>
        <v>18.134953791619193</v>
      </c>
      <c r="AT59" s="31">
        <v>31255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8000</v>
      </c>
      <c r="BA59" s="31">
        <v>7021</v>
      </c>
      <c r="BB59" s="31">
        <v>46276</v>
      </c>
      <c r="BC59" s="33" t="s">
        <v>25</v>
      </c>
      <c r="BD59" s="47">
        <v>16322</v>
      </c>
      <c r="BE59" s="47">
        <v>16523</v>
      </c>
      <c r="BF59" s="45">
        <f t="shared" si="10"/>
        <v>2.0917837700974808</v>
      </c>
      <c r="BG59" s="30">
        <v>631</v>
      </c>
      <c r="BH59" s="30">
        <v>631</v>
      </c>
      <c r="BI59" s="30">
        <v>466</v>
      </c>
      <c r="BJ59" s="30">
        <v>1712</v>
      </c>
      <c r="BK59" s="30">
        <v>1720</v>
      </c>
      <c r="BL59" s="30">
        <v>57</v>
      </c>
      <c r="BM59" s="30">
        <v>3953</v>
      </c>
      <c r="BN59" s="30">
        <v>1</v>
      </c>
      <c r="BO59" s="30">
        <v>51</v>
      </c>
      <c r="BP59" s="30">
        <v>0</v>
      </c>
      <c r="BQ59" s="30">
        <v>52</v>
      </c>
      <c r="BR59" s="47">
        <v>18665</v>
      </c>
      <c r="BS59" s="47">
        <v>23351</v>
      </c>
      <c r="BT59" s="1">
        <f t="shared" si="11"/>
        <v>2.9561969869603746</v>
      </c>
      <c r="BU59" s="30">
        <v>36</v>
      </c>
      <c r="BV59" s="30">
        <v>0</v>
      </c>
      <c r="BW59" s="47">
        <v>3468</v>
      </c>
      <c r="BX59" s="52">
        <f t="shared" si="12"/>
        <v>0.43904291682491453</v>
      </c>
      <c r="BY59" s="47">
        <v>10491</v>
      </c>
      <c r="BZ59" s="47">
        <v>140</v>
      </c>
      <c r="CA59" s="47">
        <v>14404</v>
      </c>
      <c r="CB59" s="47">
        <v>1803</v>
      </c>
      <c r="CC59" s="47">
        <v>26838</v>
      </c>
      <c r="CD59" s="55">
        <f t="shared" si="13"/>
        <v>3.3976452715533614</v>
      </c>
      <c r="CE59" s="3">
        <f t="shared" si="14"/>
        <v>12933.975903614457</v>
      </c>
      <c r="CF59" s="55">
        <f t="shared" si="15"/>
        <v>15.477508650519031</v>
      </c>
      <c r="CG59" s="55">
        <f t="shared" si="16"/>
        <v>1.1113503664748023</v>
      </c>
      <c r="CH59" s="55">
        <f t="shared" si="17"/>
        <v>1.0661213652520234</v>
      </c>
      <c r="CI59" s="30">
        <v>35</v>
      </c>
      <c r="CJ59" s="30">
        <v>0</v>
      </c>
      <c r="CK59" s="30">
        <v>0</v>
      </c>
      <c r="CL59" s="30">
        <v>35</v>
      </c>
      <c r="CM59" s="30">
        <v>1738</v>
      </c>
      <c r="CN59" s="30">
        <v>0</v>
      </c>
      <c r="CO59" s="30">
        <v>0</v>
      </c>
      <c r="CP59" s="30">
        <v>1738</v>
      </c>
      <c r="CQ59" s="1">
        <f t="shared" si="27"/>
        <v>0.2200278516267882</v>
      </c>
      <c r="CR59" s="47">
        <v>24149</v>
      </c>
      <c r="CS59" s="55">
        <f t="shared" si="18"/>
        <v>3.0572224332193949</v>
      </c>
      <c r="CT59" s="59">
        <v>4405</v>
      </c>
      <c r="CU59" s="29" t="s">
        <v>25</v>
      </c>
      <c r="CV59" s="29" t="s">
        <v>25</v>
      </c>
      <c r="CW59" s="29" t="s">
        <v>25</v>
      </c>
      <c r="CX59" s="35">
        <v>0</v>
      </c>
      <c r="CY59" s="49">
        <v>0</v>
      </c>
      <c r="CZ59" s="35">
        <v>0.875</v>
      </c>
      <c r="DA59" s="35">
        <v>1.2</v>
      </c>
      <c r="DB59" s="35">
        <v>2.0750000000000002</v>
      </c>
      <c r="DC59" s="49">
        <f t="shared" si="20"/>
        <v>3806.7469879518071</v>
      </c>
      <c r="DD59" s="30">
        <v>370</v>
      </c>
      <c r="DE59" s="31">
        <v>37867</v>
      </c>
      <c r="DF59" s="35">
        <v>35</v>
      </c>
      <c r="DG59" s="29" t="s">
        <v>25</v>
      </c>
      <c r="DH59" s="29" t="s">
        <v>25</v>
      </c>
      <c r="DI59" s="29" t="s">
        <v>25</v>
      </c>
      <c r="DJ59" s="47">
        <v>24</v>
      </c>
      <c r="DK59" s="47">
        <v>0</v>
      </c>
      <c r="DL59" s="47">
        <v>12</v>
      </c>
      <c r="DM59" s="47">
        <v>5938</v>
      </c>
      <c r="DN59" s="47">
        <v>1734</v>
      </c>
      <c r="DO59" s="47">
        <v>867</v>
      </c>
      <c r="DP59" s="29" t="s">
        <v>2028</v>
      </c>
      <c r="DQ59" s="47">
        <v>0</v>
      </c>
      <c r="DR59" s="47">
        <v>1734</v>
      </c>
      <c r="DS59" s="30">
        <v>50</v>
      </c>
      <c r="DT59" s="30">
        <v>35</v>
      </c>
      <c r="DU59" s="30">
        <v>35</v>
      </c>
      <c r="DV59" s="30">
        <v>35</v>
      </c>
      <c r="DX59" s="2">
        <f t="shared" si="21"/>
        <v>1734</v>
      </c>
      <c r="DY59" s="33" t="s">
        <v>2185</v>
      </c>
      <c r="DZ59" s="33" t="s">
        <v>1598</v>
      </c>
      <c r="EA59" s="33" t="s">
        <v>2030</v>
      </c>
      <c r="EB59" s="33" t="s">
        <v>2027</v>
      </c>
      <c r="EC59" s="36">
        <v>537</v>
      </c>
      <c r="ED59" s="29" t="s">
        <v>1596</v>
      </c>
      <c r="EE59" s="29" t="s">
        <v>1000</v>
      </c>
      <c r="EF59" s="37">
        <v>41548</v>
      </c>
      <c r="EG59" s="37">
        <v>41912</v>
      </c>
      <c r="EH59" s="29" t="s">
        <v>1596</v>
      </c>
      <c r="EI59" s="55">
        <f t="shared" si="22"/>
        <v>1.3281428028864413</v>
      </c>
      <c r="EJ59" s="54">
        <f t="shared" si="23"/>
        <v>1.7723762501582477E-2</v>
      </c>
      <c r="EK59" s="55">
        <f t="shared" si="24"/>
        <v>1.8235219648056715</v>
      </c>
      <c r="EL59" s="54">
        <f t="shared" si="25"/>
        <v>0.22825674135966578</v>
      </c>
    </row>
    <row r="60" spans="1:142" ht="28.8" x14ac:dyDescent="0.3">
      <c r="A60" s="29" t="s">
        <v>0</v>
      </c>
      <c r="B60" s="29"/>
      <c r="C60" s="30">
        <v>10706</v>
      </c>
      <c r="D60" s="30">
        <v>0</v>
      </c>
      <c r="E60" s="30">
        <v>0</v>
      </c>
      <c r="F60" s="30">
        <v>8200</v>
      </c>
      <c r="H60" s="2">
        <f t="shared" si="26"/>
        <v>8200</v>
      </c>
      <c r="I60" s="1">
        <f t="shared" si="0"/>
        <v>0.76592564916869044</v>
      </c>
      <c r="J60" s="31">
        <v>132771</v>
      </c>
      <c r="K60" s="31">
        <v>46721</v>
      </c>
      <c r="L60" s="31">
        <v>179492</v>
      </c>
      <c r="M60" s="45">
        <f t="shared" si="1"/>
        <v>16.765552026900803</v>
      </c>
      <c r="N60" s="31">
        <v>14414</v>
      </c>
      <c r="O60" s="31">
        <v>3000</v>
      </c>
      <c r="P60" s="31">
        <v>1397</v>
      </c>
      <c r="Q60" s="31">
        <v>18811</v>
      </c>
      <c r="R60" s="45">
        <f t="shared" si="2"/>
        <v>1.7570521203063703</v>
      </c>
      <c r="S60" s="31">
        <v>73057</v>
      </c>
      <c r="T60" s="31">
        <v>271360</v>
      </c>
      <c r="U60" s="31">
        <v>0</v>
      </c>
      <c r="V60" s="31">
        <v>271360</v>
      </c>
      <c r="W60" s="45">
        <f t="shared" si="3"/>
        <v>25.346534653465348</v>
      </c>
      <c r="X60" s="4">
        <f t="shared" si="4"/>
        <v>0.66145341981132078</v>
      </c>
      <c r="Y60" s="4">
        <f t="shared" si="5"/>
        <v>6.932119693396227E-2</v>
      </c>
      <c r="Z60" s="4">
        <f t="shared" si="6"/>
        <v>0.26922538325471695</v>
      </c>
      <c r="AA60" s="4">
        <f t="shared" si="7"/>
        <v>0</v>
      </c>
      <c r="AB60" s="31">
        <v>23320</v>
      </c>
      <c r="AC60" s="31">
        <v>18811</v>
      </c>
      <c r="AD60" s="31">
        <v>271360</v>
      </c>
      <c r="AE60" s="31">
        <v>271360</v>
      </c>
      <c r="AF60" s="31">
        <v>225783</v>
      </c>
      <c r="AG60" s="31">
        <v>45577</v>
      </c>
      <c r="AH60" s="31">
        <v>0</v>
      </c>
      <c r="AI60" s="31">
        <v>271360</v>
      </c>
      <c r="AJ60" s="45">
        <f t="shared" si="8"/>
        <v>25.346534653465348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2010</v>
      </c>
      <c r="AQ60" s="31">
        <v>2010</v>
      </c>
      <c r="AR60" s="31">
        <v>273370</v>
      </c>
      <c r="AS60" s="46">
        <f t="shared" si="9"/>
        <v>25.534279843078647</v>
      </c>
      <c r="AT60" s="31">
        <v>23320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23320</v>
      </c>
      <c r="BC60" s="33" t="s">
        <v>25</v>
      </c>
      <c r="BD60" s="47">
        <v>35667</v>
      </c>
      <c r="BE60" s="47">
        <v>36827</v>
      </c>
      <c r="BF60" s="45">
        <f t="shared" si="10"/>
        <v>3.4398468148701662</v>
      </c>
      <c r="BG60" s="30">
        <v>1560</v>
      </c>
      <c r="BH60" s="30">
        <v>1560</v>
      </c>
      <c r="BI60" s="30">
        <v>4750</v>
      </c>
      <c r="BJ60" s="30">
        <v>1032</v>
      </c>
      <c r="BK60" s="30">
        <v>1032</v>
      </c>
      <c r="BL60" s="30">
        <v>0</v>
      </c>
      <c r="BM60" s="30">
        <v>9167</v>
      </c>
      <c r="BN60" s="30">
        <v>0</v>
      </c>
      <c r="BO60" s="30">
        <v>0</v>
      </c>
      <c r="BP60" s="30">
        <v>0</v>
      </c>
      <c r="BQ60" s="30">
        <v>0</v>
      </c>
      <c r="BR60" s="47">
        <v>38259</v>
      </c>
      <c r="BS60" s="47">
        <v>53336</v>
      </c>
      <c r="BT60" s="1">
        <f t="shared" si="11"/>
        <v>4.9818793200074722</v>
      </c>
      <c r="BU60" s="30">
        <v>20</v>
      </c>
      <c r="BV60" s="30">
        <v>0</v>
      </c>
      <c r="BW60" s="47">
        <v>6438</v>
      </c>
      <c r="BX60" s="52">
        <f t="shared" si="12"/>
        <v>0.60134504016439383</v>
      </c>
      <c r="BY60" s="47">
        <v>10761</v>
      </c>
      <c r="BZ60" s="47">
        <v>0</v>
      </c>
      <c r="CA60" s="47">
        <v>26882</v>
      </c>
      <c r="CB60" s="47">
        <v>1534</v>
      </c>
      <c r="CC60" s="47">
        <v>39177</v>
      </c>
      <c r="CD60" s="55">
        <f t="shared" si="13"/>
        <v>3.6593498972538763</v>
      </c>
      <c r="CE60" s="3">
        <f t="shared" si="14"/>
        <v>8853.5593220338978</v>
      </c>
      <c r="CF60" s="55">
        <f t="shared" si="15"/>
        <v>17.063153310104529</v>
      </c>
      <c r="CG60" s="55">
        <f t="shared" si="16"/>
        <v>0.89437037713450829</v>
      </c>
      <c r="CH60" s="55">
        <f t="shared" si="17"/>
        <v>0.70577096145192741</v>
      </c>
      <c r="CI60" s="30">
        <v>113</v>
      </c>
      <c r="CJ60" s="30">
        <v>0</v>
      </c>
      <c r="CK60" s="30">
        <v>25</v>
      </c>
      <c r="CL60" s="30">
        <v>138</v>
      </c>
      <c r="CM60" s="30">
        <v>2973</v>
      </c>
      <c r="CN60" s="30">
        <v>0</v>
      </c>
      <c r="CO60" s="30">
        <v>304</v>
      </c>
      <c r="CP60" s="30">
        <v>3277</v>
      </c>
      <c r="CQ60" s="1">
        <f t="shared" si="27"/>
        <v>0.30609004296656078</v>
      </c>
      <c r="CR60" s="47">
        <v>43804</v>
      </c>
      <c r="CS60" s="55">
        <f t="shared" si="18"/>
        <v>4.0915374556323556</v>
      </c>
      <c r="CT60" s="59">
        <v>6589</v>
      </c>
      <c r="CU60" s="29" t="s">
        <v>25</v>
      </c>
      <c r="CV60" s="29" t="s">
        <v>25</v>
      </c>
      <c r="CW60" s="29" t="s">
        <v>25</v>
      </c>
      <c r="CX60" s="35">
        <v>1</v>
      </c>
      <c r="CY60" s="49">
        <f t="shared" si="19"/>
        <v>10706</v>
      </c>
      <c r="CZ60" s="35">
        <v>1</v>
      </c>
      <c r="DA60" s="35">
        <v>2.4249999999999998</v>
      </c>
      <c r="DB60" s="35">
        <v>4.4249999999999998</v>
      </c>
      <c r="DC60" s="49">
        <f t="shared" si="20"/>
        <v>2419.4350282485875</v>
      </c>
      <c r="DD60" s="30">
        <v>115</v>
      </c>
      <c r="DE60" s="31">
        <v>50800</v>
      </c>
      <c r="DF60" s="35">
        <v>40</v>
      </c>
      <c r="DG60" s="29" t="s">
        <v>25</v>
      </c>
      <c r="DH60" s="29" t="s">
        <v>25</v>
      </c>
      <c r="DI60" s="29" t="s">
        <v>25</v>
      </c>
      <c r="DJ60" s="47">
        <v>639</v>
      </c>
      <c r="DK60" s="47">
        <v>657</v>
      </c>
      <c r="DL60" s="47">
        <v>13</v>
      </c>
      <c r="DM60" s="47">
        <v>5795</v>
      </c>
      <c r="DN60" s="47">
        <v>2337</v>
      </c>
      <c r="DO60" s="47">
        <v>4258</v>
      </c>
      <c r="DP60" s="29" t="s">
        <v>2028</v>
      </c>
      <c r="DQ60" s="47">
        <v>0</v>
      </c>
      <c r="DR60" s="47">
        <v>2296</v>
      </c>
      <c r="DS60" s="30">
        <v>52</v>
      </c>
      <c r="DT60" s="30">
        <v>46</v>
      </c>
      <c r="DU60" s="30">
        <v>46</v>
      </c>
      <c r="DV60" s="30">
        <v>46</v>
      </c>
      <c r="DX60" s="2">
        <f t="shared" si="21"/>
        <v>2296</v>
      </c>
      <c r="DY60" s="33" t="s">
        <v>2181</v>
      </c>
      <c r="DZ60" s="33" t="s">
        <v>207</v>
      </c>
      <c r="EA60" s="33" t="s">
        <v>2034</v>
      </c>
      <c r="EB60" s="33" t="s">
        <v>2027</v>
      </c>
      <c r="EC60" s="36">
        <v>47</v>
      </c>
      <c r="ED60" s="29" t="s">
        <v>205</v>
      </c>
      <c r="EE60" s="29" t="s">
        <v>206</v>
      </c>
      <c r="EF60" s="37">
        <v>41548</v>
      </c>
      <c r="EG60" s="37">
        <v>41912</v>
      </c>
      <c r="EH60" s="29" t="s">
        <v>205</v>
      </c>
      <c r="EI60" s="55">
        <f t="shared" si="22"/>
        <v>1.0051373061834485</v>
      </c>
      <c r="EJ60" s="54">
        <f t="shared" si="23"/>
        <v>0</v>
      </c>
      <c r="EK60" s="55">
        <f t="shared" si="24"/>
        <v>2.5109284513356998</v>
      </c>
      <c r="EL60" s="54">
        <f t="shared" si="25"/>
        <v>0.1432841397347282</v>
      </c>
    </row>
    <row r="61" spans="1:142" ht="28.8" x14ac:dyDescent="0.3">
      <c r="A61" s="29" t="s">
        <v>208</v>
      </c>
      <c r="B61" s="29"/>
      <c r="C61" s="30">
        <v>12743</v>
      </c>
      <c r="D61" s="30">
        <v>0</v>
      </c>
      <c r="E61" s="30">
        <v>0</v>
      </c>
      <c r="F61" s="30">
        <v>7056</v>
      </c>
      <c r="H61" s="2">
        <f t="shared" si="26"/>
        <v>7056</v>
      </c>
      <c r="I61" s="1">
        <f t="shared" si="0"/>
        <v>0.5537157655183238</v>
      </c>
      <c r="J61" s="31">
        <v>94282</v>
      </c>
      <c r="K61" s="31">
        <v>41655</v>
      </c>
      <c r="L61" s="31">
        <v>135937</v>
      </c>
      <c r="M61" s="45">
        <f t="shared" si="1"/>
        <v>10.667582201993252</v>
      </c>
      <c r="N61" s="31">
        <v>17505</v>
      </c>
      <c r="O61" s="31">
        <v>3000</v>
      </c>
      <c r="P61" s="31">
        <v>2929</v>
      </c>
      <c r="Q61" s="31">
        <v>23434</v>
      </c>
      <c r="R61" s="45">
        <f t="shared" si="2"/>
        <v>1.8389704151298751</v>
      </c>
      <c r="S61" s="31">
        <v>8612</v>
      </c>
      <c r="T61" s="31">
        <v>167983</v>
      </c>
      <c r="U61" s="31">
        <v>0</v>
      </c>
      <c r="V61" s="31">
        <v>167983</v>
      </c>
      <c r="W61" s="45">
        <f t="shared" si="3"/>
        <v>13.182374637055638</v>
      </c>
      <c r="X61" s="4">
        <f t="shared" si="4"/>
        <v>0.80923069596328201</v>
      </c>
      <c r="Y61" s="4">
        <f t="shared" si="5"/>
        <v>0.13950221153330991</v>
      </c>
      <c r="Z61" s="4">
        <f t="shared" si="6"/>
        <v>5.1267092503408086E-2</v>
      </c>
      <c r="AA61" s="4">
        <f t="shared" si="7"/>
        <v>0</v>
      </c>
      <c r="AB61" s="31">
        <v>860</v>
      </c>
      <c r="AC61" s="31">
        <v>23434</v>
      </c>
      <c r="AD61" s="31">
        <v>164911</v>
      </c>
      <c r="AE61" s="31">
        <v>164911</v>
      </c>
      <c r="AF61" s="31">
        <v>7500</v>
      </c>
      <c r="AG61" s="31">
        <v>157411</v>
      </c>
      <c r="AH61" s="31">
        <v>0</v>
      </c>
      <c r="AI61" s="31">
        <v>164911</v>
      </c>
      <c r="AJ61" s="45">
        <f t="shared" si="8"/>
        <v>12.941301106489838</v>
      </c>
      <c r="AK61" s="31"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4958</v>
      </c>
      <c r="AQ61" s="31">
        <v>4958</v>
      </c>
      <c r="AR61" s="31">
        <v>169869</v>
      </c>
      <c r="AS61" s="46">
        <f t="shared" si="9"/>
        <v>13.330377462136076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10474</v>
      </c>
      <c r="BB61" s="31">
        <v>10474</v>
      </c>
      <c r="BC61" s="33" t="s">
        <v>25</v>
      </c>
      <c r="BD61" s="47">
        <v>35487</v>
      </c>
      <c r="BE61" s="47">
        <v>36955</v>
      </c>
      <c r="BF61" s="45">
        <f t="shared" si="10"/>
        <v>2.9000235423369691</v>
      </c>
      <c r="BG61" s="30">
        <v>1085</v>
      </c>
      <c r="BH61" s="30">
        <v>1183</v>
      </c>
      <c r="BI61" s="30">
        <v>0</v>
      </c>
      <c r="BJ61" s="30">
        <v>1105</v>
      </c>
      <c r="BK61" s="30">
        <v>1133</v>
      </c>
      <c r="BL61" s="30">
        <v>0</v>
      </c>
      <c r="BM61" s="30">
        <v>938</v>
      </c>
      <c r="BN61" s="30">
        <v>1</v>
      </c>
      <c r="BO61" s="30">
        <v>51</v>
      </c>
      <c r="BP61" s="30">
        <v>0</v>
      </c>
      <c r="BQ61" s="30">
        <v>52</v>
      </c>
      <c r="BR61" s="47">
        <v>37677</v>
      </c>
      <c r="BS61" s="47">
        <v>40210</v>
      </c>
      <c r="BT61" s="1">
        <f t="shared" si="11"/>
        <v>3.1554578984540531</v>
      </c>
      <c r="BU61" s="30">
        <v>37</v>
      </c>
      <c r="BV61" s="30">
        <v>0</v>
      </c>
      <c r="BW61" s="47">
        <v>447</v>
      </c>
      <c r="BX61" s="52">
        <f t="shared" si="12"/>
        <v>3.5078082084281564E-2</v>
      </c>
      <c r="BY61" s="47">
        <v>5116</v>
      </c>
      <c r="BZ61" s="47">
        <v>37</v>
      </c>
      <c r="CA61" s="47">
        <v>18386</v>
      </c>
      <c r="CB61" s="47">
        <v>901</v>
      </c>
      <c r="CC61" s="47">
        <v>24440</v>
      </c>
      <c r="CD61" s="55">
        <f t="shared" si="13"/>
        <v>1.9179157184336499</v>
      </c>
      <c r="CE61" s="3">
        <f t="shared" si="14"/>
        <v>12220</v>
      </c>
      <c r="CF61" s="55">
        <f t="shared" si="15"/>
        <v>13.517699115044248</v>
      </c>
      <c r="CG61" s="55">
        <f t="shared" si="16"/>
        <v>2.9459980713596914</v>
      </c>
      <c r="CH61" s="55">
        <f t="shared" si="17"/>
        <v>0.58448147227057945</v>
      </c>
      <c r="CI61" s="30">
        <v>5</v>
      </c>
      <c r="CJ61" s="30">
        <v>0</v>
      </c>
      <c r="CK61" s="30">
        <v>0</v>
      </c>
      <c r="CL61" s="30">
        <v>5</v>
      </c>
      <c r="CM61" s="30">
        <v>20</v>
      </c>
      <c r="CN61" s="30">
        <v>0</v>
      </c>
      <c r="CO61" s="30">
        <v>0</v>
      </c>
      <c r="CP61" s="30">
        <v>20</v>
      </c>
      <c r="CQ61" s="1">
        <f t="shared" si="27"/>
        <v>1.5694891312877659E-3</v>
      </c>
      <c r="CR61" s="47">
        <v>8296</v>
      </c>
      <c r="CS61" s="55">
        <f t="shared" si="18"/>
        <v>0.65102409165816522</v>
      </c>
      <c r="CT61" s="59">
        <v>2986</v>
      </c>
      <c r="CU61" s="29" t="s">
        <v>25</v>
      </c>
      <c r="CV61" s="29" t="s">
        <v>25</v>
      </c>
      <c r="CW61" s="29" t="s">
        <v>25</v>
      </c>
      <c r="CX61" s="35">
        <v>0</v>
      </c>
      <c r="CY61" s="49">
        <v>0</v>
      </c>
      <c r="CZ61" s="35">
        <v>1</v>
      </c>
      <c r="DA61" s="35">
        <v>1</v>
      </c>
      <c r="DB61" s="35">
        <v>2</v>
      </c>
      <c r="DC61" s="49">
        <f t="shared" si="20"/>
        <v>6371.5</v>
      </c>
      <c r="DD61" s="30">
        <v>184</v>
      </c>
      <c r="DE61" s="31">
        <v>35165</v>
      </c>
      <c r="DF61" s="35">
        <v>40</v>
      </c>
      <c r="DG61" s="29" t="s">
        <v>25</v>
      </c>
      <c r="DH61" s="29" t="s">
        <v>25</v>
      </c>
      <c r="DI61" s="29" t="s">
        <v>25</v>
      </c>
      <c r="DJ61" s="47">
        <v>0</v>
      </c>
      <c r="DK61" s="47">
        <v>7</v>
      </c>
      <c r="DL61" s="47">
        <v>4</v>
      </c>
      <c r="DM61" s="47">
        <v>4435</v>
      </c>
      <c r="DN61" s="47">
        <v>3</v>
      </c>
      <c r="DO61" s="47">
        <v>970</v>
      </c>
      <c r="DP61" s="29" t="s">
        <v>2028</v>
      </c>
      <c r="DQ61" s="47">
        <v>0</v>
      </c>
      <c r="DR61" s="47">
        <v>1808</v>
      </c>
      <c r="DS61" s="30">
        <v>52</v>
      </c>
      <c r="DT61" s="30">
        <v>40</v>
      </c>
      <c r="DU61" s="30">
        <v>40</v>
      </c>
      <c r="DV61" s="30">
        <v>40</v>
      </c>
      <c r="DX61" s="2">
        <f t="shared" si="21"/>
        <v>1808</v>
      </c>
      <c r="DY61" s="33" t="s">
        <v>2178</v>
      </c>
      <c r="DZ61" s="33" t="s">
        <v>211</v>
      </c>
      <c r="EA61" s="33" t="s">
        <v>2031</v>
      </c>
      <c r="EB61" s="33" t="s">
        <v>2027</v>
      </c>
      <c r="EC61" s="36">
        <v>48</v>
      </c>
      <c r="ED61" s="29" t="s">
        <v>209</v>
      </c>
      <c r="EE61" s="29" t="s">
        <v>210</v>
      </c>
      <c r="EF61" s="37">
        <v>41640</v>
      </c>
      <c r="EG61" s="37">
        <v>42004</v>
      </c>
      <c r="EH61" s="29" t="s">
        <v>209</v>
      </c>
      <c r="EI61" s="55">
        <f t="shared" si="22"/>
        <v>0.4014753197834105</v>
      </c>
      <c r="EJ61" s="54">
        <f t="shared" si="23"/>
        <v>2.9035548928823666E-3</v>
      </c>
      <c r="EK61" s="55">
        <f t="shared" si="24"/>
        <v>1.4428313583928432</v>
      </c>
      <c r="EL61" s="54">
        <f t="shared" si="25"/>
        <v>7.0705485364513848E-2</v>
      </c>
    </row>
    <row r="62" spans="1:142" ht="28.8" x14ac:dyDescent="0.3">
      <c r="A62" s="29" t="s">
        <v>212</v>
      </c>
      <c r="B62" s="29"/>
      <c r="C62" s="30">
        <v>256357</v>
      </c>
      <c r="D62" s="30">
        <v>1</v>
      </c>
      <c r="E62" s="30">
        <v>0</v>
      </c>
      <c r="F62" s="30">
        <v>46365</v>
      </c>
      <c r="G62">
        <v>20000</v>
      </c>
      <c r="H62" s="2">
        <f t="shared" si="26"/>
        <v>66365</v>
      </c>
      <c r="I62" s="1">
        <f t="shared" si="0"/>
        <v>0.25887726880873158</v>
      </c>
      <c r="J62" s="31">
        <v>1385223</v>
      </c>
      <c r="K62" s="31">
        <v>512927</v>
      </c>
      <c r="L62" s="31">
        <v>1898150</v>
      </c>
      <c r="M62" s="45">
        <f t="shared" si="1"/>
        <v>7.4043228778617323</v>
      </c>
      <c r="N62" s="31">
        <v>512455</v>
      </c>
      <c r="O62" s="31">
        <v>293439</v>
      </c>
      <c r="P62" s="31">
        <v>76106</v>
      </c>
      <c r="Q62" s="31">
        <v>882000</v>
      </c>
      <c r="R62" s="45">
        <f t="shared" si="2"/>
        <v>3.4405145948813569</v>
      </c>
      <c r="S62" s="31">
        <v>1296228</v>
      </c>
      <c r="T62" s="31">
        <v>4076378</v>
      </c>
      <c r="U62" s="31">
        <v>0</v>
      </c>
      <c r="V62" s="31">
        <v>4076378</v>
      </c>
      <c r="W62" s="45">
        <f t="shared" si="3"/>
        <v>15.901176874436821</v>
      </c>
      <c r="X62" s="4">
        <f t="shared" si="4"/>
        <v>0.46564621828495789</v>
      </c>
      <c r="Y62" s="4">
        <f t="shared" si="5"/>
        <v>0.21636855070849662</v>
      </c>
      <c r="Z62" s="4">
        <f t="shared" si="6"/>
        <v>0.31798523100654552</v>
      </c>
      <c r="AA62" s="4">
        <f t="shared" si="7"/>
        <v>0</v>
      </c>
      <c r="AB62" s="31">
        <v>0</v>
      </c>
      <c r="AC62" s="31">
        <v>882000</v>
      </c>
      <c r="AD62" s="31">
        <v>4076378</v>
      </c>
      <c r="AE62" s="31">
        <v>4076378</v>
      </c>
      <c r="AF62" s="31">
        <v>4076378</v>
      </c>
      <c r="AG62" s="31">
        <v>30353</v>
      </c>
      <c r="AH62" s="31">
        <v>0</v>
      </c>
      <c r="AI62" s="31">
        <v>4106731</v>
      </c>
      <c r="AJ62" s="45">
        <f t="shared" si="8"/>
        <v>16.019578166385159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4106731</v>
      </c>
      <c r="AS62" s="46">
        <f t="shared" si="9"/>
        <v>16.019578166385159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169377</v>
      </c>
      <c r="BB62" s="31">
        <v>169377</v>
      </c>
      <c r="BC62" s="33" t="s">
        <v>25</v>
      </c>
      <c r="BD62" s="47">
        <v>226081</v>
      </c>
      <c r="BE62" s="47">
        <v>288283</v>
      </c>
      <c r="BF62" s="45">
        <f t="shared" si="10"/>
        <v>1.1245372663902293</v>
      </c>
      <c r="BG62" s="30">
        <v>5148</v>
      </c>
      <c r="BH62" s="30">
        <v>5450</v>
      </c>
      <c r="BI62" s="30">
        <v>0</v>
      </c>
      <c r="BJ62" s="30">
        <v>15954</v>
      </c>
      <c r="BK62" s="30">
        <v>22354</v>
      </c>
      <c r="BL62" s="30">
        <v>0</v>
      </c>
      <c r="BM62" s="30">
        <v>10494</v>
      </c>
      <c r="BN62" s="30">
        <v>15</v>
      </c>
      <c r="BO62" s="30">
        <v>51</v>
      </c>
      <c r="BP62" s="30">
        <v>0</v>
      </c>
      <c r="BQ62" s="30">
        <v>66</v>
      </c>
      <c r="BR62" s="47">
        <v>247183</v>
      </c>
      <c r="BS62" s="47">
        <v>326596</v>
      </c>
      <c r="BT62" s="1">
        <f t="shared" si="11"/>
        <v>1.2739890075168612</v>
      </c>
      <c r="BU62" s="30">
        <v>491</v>
      </c>
      <c r="BV62" s="30">
        <v>0</v>
      </c>
      <c r="BW62" s="47">
        <v>227666</v>
      </c>
      <c r="BX62" s="52">
        <f t="shared" si="12"/>
        <v>0.8880818546012007</v>
      </c>
      <c r="BY62" s="47">
        <v>100498</v>
      </c>
      <c r="BZ62" s="47">
        <v>88205</v>
      </c>
      <c r="CA62" s="47">
        <v>232345</v>
      </c>
      <c r="CB62" s="47">
        <v>71429</v>
      </c>
      <c r="CC62" s="47">
        <v>492477</v>
      </c>
      <c r="CD62" s="55">
        <f t="shared" si="13"/>
        <v>1.9210593040174444</v>
      </c>
      <c r="CE62" s="3">
        <f t="shared" si="14"/>
        <v>9119.9444444444453</v>
      </c>
      <c r="CF62" s="55">
        <f t="shared" si="15"/>
        <v>83.202736948808919</v>
      </c>
      <c r="CG62" s="55">
        <f t="shared" si="16"/>
        <v>0.45236115997248044</v>
      </c>
      <c r="CH62" s="55">
        <f t="shared" si="17"/>
        <v>1.0191276071966588</v>
      </c>
      <c r="CI62" s="30">
        <v>490</v>
      </c>
      <c r="CJ62" s="30">
        <v>102</v>
      </c>
      <c r="CK62" s="30">
        <v>43</v>
      </c>
      <c r="CL62" s="30">
        <v>635</v>
      </c>
      <c r="CM62" s="30">
        <v>30808</v>
      </c>
      <c r="CN62" s="30">
        <v>948</v>
      </c>
      <c r="CO62" s="30">
        <v>418</v>
      </c>
      <c r="CP62" s="30">
        <v>32174</v>
      </c>
      <c r="CQ62" s="1">
        <f t="shared" si="27"/>
        <v>0.12550466731940224</v>
      </c>
      <c r="CR62" s="47">
        <v>1088681</v>
      </c>
      <c r="CS62" s="55">
        <f t="shared" si="18"/>
        <v>4.24673794747169</v>
      </c>
      <c r="CT62" s="59">
        <v>220142</v>
      </c>
      <c r="CU62" s="29" t="s">
        <v>25</v>
      </c>
      <c r="CV62" s="29" t="s">
        <v>25</v>
      </c>
      <c r="CW62" s="29" t="s">
        <v>25</v>
      </c>
      <c r="CX62" s="35">
        <v>9</v>
      </c>
      <c r="CY62" s="49">
        <f t="shared" si="19"/>
        <v>28484.111111111109</v>
      </c>
      <c r="CZ62" s="35">
        <v>0</v>
      </c>
      <c r="DA62" s="35">
        <v>45</v>
      </c>
      <c r="DB62" s="35">
        <v>54</v>
      </c>
      <c r="DC62" s="49">
        <f t="shared" si="20"/>
        <v>4747.3518518518522</v>
      </c>
      <c r="DD62" s="30">
        <v>13092</v>
      </c>
      <c r="DE62" s="31">
        <v>55619</v>
      </c>
      <c r="DF62" s="35">
        <v>40</v>
      </c>
      <c r="DG62" s="29" t="s">
        <v>25</v>
      </c>
      <c r="DH62" s="29" t="s">
        <v>26</v>
      </c>
      <c r="DI62" s="29" t="s">
        <v>26</v>
      </c>
      <c r="DJ62" s="47">
        <v>1017</v>
      </c>
      <c r="DK62" s="47">
        <v>67</v>
      </c>
      <c r="DL62" s="47">
        <v>289</v>
      </c>
      <c r="DM62" s="47">
        <v>228783</v>
      </c>
      <c r="DN62" s="47">
        <v>188</v>
      </c>
      <c r="DO62" s="47">
        <v>372488</v>
      </c>
      <c r="DP62" s="29" t="s">
        <v>25</v>
      </c>
      <c r="DQ62" s="47">
        <v>1431188</v>
      </c>
      <c r="DR62" s="47">
        <v>3317</v>
      </c>
      <c r="DS62" s="30">
        <v>52</v>
      </c>
      <c r="DT62" s="30">
        <v>67</v>
      </c>
      <c r="DU62" s="30">
        <v>67</v>
      </c>
      <c r="DV62" s="30">
        <v>67</v>
      </c>
      <c r="DW62">
        <f>VLOOKUP(EC62,branch!$I$4:$K$77,3,0)</f>
        <v>2602</v>
      </c>
      <c r="DX62" s="2">
        <f t="shared" si="21"/>
        <v>5919</v>
      </c>
      <c r="DY62" s="33" t="s">
        <v>2180</v>
      </c>
      <c r="DZ62" s="33" t="s">
        <v>215</v>
      </c>
      <c r="EA62" s="33" t="s">
        <v>2030</v>
      </c>
      <c r="EB62" s="33" t="s">
        <v>2027</v>
      </c>
      <c r="EC62" s="36">
        <v>49</v>
      </c>
      <c r="ED62" s="29" t="s">
        <v>213</v>
      </c>
      <c r="EE62" s="29" t="s">
        <v>214</v>
      </c>
      <c r="EF62" s="37">
        <v>41548</v>
      </c>
      <c r="EG62" s="37">
        <v>41912</v>
      </c>
      <c r="EH62" s="29" t="s">
        <v>213</v>
      </c>
      <c r="EI62" s="55">
        <f t="shared" si="22"/>
        <v>0.39202362330656076</v>
      </c>
      <c r="EJ62" s="54">
        <f t="shared" si="23"/>
        <v>0.34407096353912708</v>
      </c>
      <c r="EK62" s="55">
        <f t="shared" si="24"/>
        <v>0.9063337455189443</v>
      </c>
      <c r="EL62" s="54">
        <f t="shared" si="25"/>
        <v>0.27863097165281231</v>
      </c>
    </row>
    <row r="63" spans="1:142" ht="28.8" x14ac:dyDescent="0.3">
      <c r="A63" s="29" t="s">
        <v>216</v>
      </c>
      <c r="B63" s="29"/>
      <c r="C63" s="30">
        <v>37749</v>
      </c>
      <c r="D63" s="30">
        <v>1</v>
      </c>
      <c r="E63" s="30">
        <v>0</v>
      </c>
      <c r="F63" s="30">
        <v>10000</v>
      </c>
      <c r="G63">
        <v>1550</v>
      </c>
      <c r="H63" s="2">
        <f t="shared" si="26"/>
        <v>11550</v>
      </c>
      <c r="I63" s="1">
        <f t="shared" si="0"/>
        <v>0.30596837002304694</v>
      </c>
      <c r="J63" s="31">
        <v>158461</v>
      </c>
      <c r="K63" s="31">
        <v>25639</v>
      </c>
      <c r="L63" s="31">
        <v>184100</v>
      </c>
      <c r="M63" s="45">
        <f t="shared" si="1"/>
        <v>4.8769503827915974</v>
      </c>
      <c r="N63" s="31">
        <v>30819</v>
      </c>
      <c r="O63" s="31">
        <v>4000</v>
      </c>
      <c r="P63" s="31">
        <v>0</v>
      </c>
      <c r="Q63" s="31">
        <v>34819</v>
      </c>
      <c r="R63" s="45">
        <f t="shared" si="2"/>
        <v>0.92238204985562533</v>
      </c>
      <c r="S63" s="31">
        <v>55679</v>
      </c>
      <c r="T63" s="31">
        <v>274598</v>
      </c>
      <c r="U63" s="31">
        <v>0</v>
      </c>
      <c r="V63" s="31">
        <v>274598</v>
      </c>
      <c r="W63" s="45">
        <f t="shared" si="3"/>
        <v>7.2743119023020482</v>
      </c>
      <c r="X63" s="4">
        <f t="shared" si="4"/>
        <v>0.67043459894099744</v>
      </c>
      <c r="Y63" s="4">
        <f t="shared" si="5"/>
        <v>0.12679990385946002</v>
      </c>
      <c r="Z63" s="4">
        <f t="shared" si="6"/>
        <v>0.20276549719954259</v>
      </c>
      <c r="AA63" s="4">
        <f t="shared" si="7"/>
        <v>0</v>
      </c>
      <c r="AB63" s="31">
        <v>0</v>
      </c>
      <c r="AC63" s="31">
        <v>34819</v>
      </c>
      <c r="AD63" s="31">
        <v>274598</v>
      </c>
      <c r="AE63" s="31">
        <v>238002</v>
      </c>
      <c r="AF63" s="31">
        <v>208002</v>
      </c>
      <c r="AG63" s="31">
        <v>30000</v>
      </c>
      <c r="AH63" s="31">
        <v>0</v>
      </c>
      <c r="AI63" s="31">
        <v>238002</v>
      </c>
      <c r="AJ63" s="45">
        <f t="shared" si="8"/>
        <v>6.3048557577684177</v>
      </c>
      <c r="AK63" s="31">
        <v>0</v>
      </c>
      <c r="AL63" s="31">
        <v>0</v>
      </c>
      <c r="AM63" s="31">
        <v>0</v>
      </c>
      <c r="AN63" s="31">
        <v>0</v>
      </c>
      <c r="AO63" s="31">
        <v>8000</v>
      </c>
      <c r="AP63" s="31">
        <v>22286</v>
      </c>
      <c r="AQ63" s="31">
        <v>30286</v>
      </c>
      <c r="AR63" s="31">
        <v>268288</v>
      </c>
      <c r="AS63" s="46">
        <f t="shared" si="9"/>
        <v>7.1071551564279849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3" t="s">
        <v>25</v>
      </c>
      <c r="BD63" s="47">
        <v>48206</v>
      </c>
      <c r="BE63" s="47">
        <v>58392</v>
      </c>
      <c r="BF63" s="45">
        <f t="shared" si="10"/>
        <v>1.5468489231502822</v>
      </c>
      <c r="BG63" s="30">
        <v>793</v>
      </c>
      <c r="BH63" s="30">
        <v>880</v>
      </c>
      <c r="BI63" s="30">
        <v>758</v>
      </c>
      <c r="BJ63" s="30">
        <v>351</v>
      </c>
      <c r="BK63" s="30">
        <v>388</v>
      </c>
      <c r="BL63" s="30">
        <v>4</v>
      </c>
      <c r="BM63" s="30">
        <v>2317</v>
      </c>
      <c r="BN63" s="30">
        <v>0</v>
      </c>
      <c r="BO63" s="30">
        <v>51</v>
      </c>
      <c r="BP63" s="30">
        <v>0</v>
      </c>
      <c r="BQ63" s="30">
        <v>51</v>
      </c>
      <c r="BR63" s="47">
        <v>49350</v>
      </c>
      <c r="BS63" s="47">
        <v>62739</v>
      </c>
      <c r="BT63" s="1">
        <f t="shared" si="11"/>
        <v>1.6620042915044106</v>
      </c>
      <c r="BU63" s="30">
        <v>37</v>
      </c>
      <c r="BV63" s="30">
        <v>0</v>
      </c>
      <c r="BW63" s="47">
        <v>1316</v>
      </c>
      <c r="BX63" s="52">
        <f t="shared" si="12"/>
        <v>3.4861850645050201E-2</v>
      </c>
      <c r="BY63" s="47">
        <v>15906</v>
      </c>
      <c r="BZ63" s="47">
        <v>281</v>
      </c>
      <c r="CA63" s="47">
        <v>30396</v>
      </c>
      <c r="CB63" s="47">
        <v>2270</v>
      </c>
      <c r="CC63" s="47">
        <v>48853</v>
      </c>
      <c r="CD63" s="55">
        <f t="shared" si="13"/>
        <v>1.2941534875096028</v>
      </c>
      <c r="CE63" s="3">
        <f t="shared" si="14"/>
        <v>4619.6690307328608</v>
      </c>
      <c r="CF63" s="55">
        <f t="shared" si="15"/>
        <v>11.546442921295203</v>
      </c>
      <c r="CG63" s="55">
        <f t="shared" si="16"/>
        <v>0.55296101779327211</v>
      </c>
      <c r="CH63" s="55">
        <f t="shared" si="17"/>
        <v>0.73800985033232913</v>
      </c>
      <c r="CI63" s="30">
        <v>48</v>
      </c>
      <c r="CJ63" s="30">
        <v>0</v>
      </c>
      <c r="CK63" s="30">
        <v>0</v>
      </c>
      <c r="CL63" s="30">
        <v>48</v>
      </c>
      <c r="CM63" s="30">
        <v>1216</v>
      </c>
      <c r="CN63" s="30">
        <v>0</v>
      </c>
      <c r="CO63" s="30">
        <v>0</v>
      </c>
      <c r="CP63" s="30">
        <v>1216</v>
      </c>
      <c r="CQ63" s="1">
        <f t="shared" si="27"/>
        <v>3.2212773848313864E-2</v>
      </c>
      <c r="CR63" s="47">
        <v>88348</v>
      </c>
      <c r="CS63" s="55">
        <f t="shared" si="18"/>
        <v>2.3404063683806196</v>
      </c>
      <c r="CT63" s="59">
        <v>22378</v>
      </c>
      <c r="CU63" s="29" t="s">
        <v>25</v>
      </c>
      <c r="CV63" s="29" t="s">
        <v>25</v>
      </c>
      <c r="CW63" s="29" t="s">
        <v>25</v>
      </c>
      <c r="CX63" s="35">
        <v>1</v>
      </c>
      <c r="CY63" s="49">
        <f t="shared" si="19"/>
        <v>37749</v>
      </c>
      <c r="CZ63" s="35">
        <v>0</v>
      </c>
      <c r="DA63" s="35">
        <v>9.5749999999999993</v>
      </c>
      <c r="DB63" s="35">
        <v>10.574999999999999</v>
      </c>
      <c r="DC63" s="49">
        <f t="shared" si="20"/>
        <v>3569.6453900709221</v>
      </c>
      <c r="DD63" s="30">
        <v>3433</v>
      </c>
      <c r="DE63" s="31">
        <v>42000</v>
      </c>
      <c r="DF63" s="35">
        <v>40</v>
      </c>
      <c r="DG63" s="29" t="s">
        <v>25</v>
      </c>
      <c r="DH63" s="29" t="s">
        <v>25</v>
      </c>
      <c r="DI63" s="29" t="s">
        <v>25</v>
      </c>
      <c r="DJ63" s="47">
        <v>32</v>
      </c>
      <c r="DK63" s="47">
        <v>78</v>
      </c>
      <c r="DL63" s="47">
        <v>28</v>
      </c>
      <c r="DM63" s="47">
        <v>20843</v>
      </c>
      <c r="DN63" s="47">
        <v>367</v>
      </c>
      <c r="DO63" s="47">
        <v>960</v>
      </c>
      <c r="DP63" s="29" t="s">
        <v>2028</v>
      </c>
      <c r="DQ63" s="47">
        <v>0</v>
      </c>
      <c r="DR63" s="47">
        <v>2620</v>
      </c>
      <c r="DS63" s="30">
        <v>52</v>
      </c>
      <c r="DT63" s="30">
        <v>53</v>
      </c>
      <c r="DU63" s="30">
        <v>53</v>
      </c>
      <c r="DV63" s="30">
        <v>53</v>
      </c>
      <c r="DW63">
        <f>VLOOKUP(EC63,branch!$I$4:$K$77,3,0)</f>
        <v>1611</v>
      </c>
      <c r="DX63" s="2">
        <f t="shared" si="21"/>
        <v>4231</v>
      </c>
      <c r="DY63" s="33" t="s">
        <v>2179</v>
      </c>
      <c r="DZ63" s="33" t="s">
        <v>218</v>
      </c>
      <c r="EA63" s="33" t="s">
        <v>2032</v>
      </c>
      <c r="EB63" s="33" t="s">
        <v>2027</v>
      </c>
      <c r="EC63" s="36">
        <v>50</v>
      </c>
      <c r="ED63" s="29" t="s">
        <v>217</v>
      </c>
      <c r="EE63" s="29" t="s">
        <v>32</v>
      </c>
      <c r="EF63" s="37">
        <v>41548</v>
      </c>
      <c r="EG63" s="37">
        <v>41912</v>
      </c>
      <c r="EH63" s="29" t="s">
        <v>217</v>
      </c>
      <c r="EI63" s="55">
        <f t="shared" si="22"/>
        <v>0.42136215528888182</v>
      </c>
      <c r="EJ63" s="54">
        <f t="shared" si="23"/>
        <v>7.4439057988291077E-3</v>
      </c>
      <c r="EK63" s="55">
        <f t="shared" si="24"/>
        <v>0.80521338313597712</v>
      </c>
      <c r="EL63" s="54">
        <f t="shared" si="25"/>
        <v>6.0134043285914859E-2</v>
      </c>
    </row>
    <row r="64" spans="1:142" ht="43.2" x14ac:dyDescent="0.3">
      <c r="A64" s="29" t="s">
        <v>219</v>
      </c>
      <c r="B64" s="29"/>
      <c r="C64" s="30">
        <v>178759</v>
      </c>
      <c r="D64" s="30">
        <v>3</v>
      </c>
      <c r="E64" s="30">
        <v>0</v>
      </c>
      <c r="F64" s="30">
        <v>25500</v>
      </c>
      <c r="G64">
        <v>47500</v>
      </c>
      <c r="H64" s="2">
        <f t="shared" si="26"/>
        <v>73000</v>
      </c>
      <c r="I64" s="1">
        <f t="shared" si="0"/>
        <v>0.40837104705217642</v>
      </c>
      <c r="J64" s="31">
        <v>1387861</v>
      </c>
      <c r="K64" s="31">
        <v>591584</v>
      </c>
      <c r="L64" s="31">
        <v>1979445</v>
      </c>
      <c r="M64" s="45">
        <f t="shared" si="1"/>
        <v>11.073260647016374</v>
      </c>
      <c r="N64" s="31">
        <v>152923</v>
      </c>
      <c r="O64" s="31">
        <v>28213</v>
      </c>
      <c r="P64" s="31">
        <v>29933</v>
      </c>
      <c r="Q64" s="31">
        <v>211069</v>
      </c>
      <c r="R64" s="45">
        <f t="shared" si="2"/>
        <v>1.1807461442500797</v>
      </c>
      <c r="S64" s="31">
        <v>133917</v>
      </c>
      <c r="T64" s="31">
        <v>2324431</v>
      </c>
      <c r="U64" s="31">
        <v>305731</v>
      </c>
      <c r="V64" s="31">
        <v>2630162</v>
      </c>
      <c r="W64" s="45">
        <f t="shared" si="3"/>
        <v>14.713452189819813</v>
      </c>
      <c r="X64" s="4">
        <f t="shared" si="4"/>
        <v>0.75259432688937034</v>
      </c>
      <c r="Y64" s="4">
        <f t="shared" si="5"/>
        <v>8.0249429502821504E-2</v>
      </c>
      <c r="Z64" s="4">
        <f t="shared" si="6"/>
        <v>5.0915875143812434E-2</v>
      </c>
      <c r="AA64" s="4">
        <f t="shared" si="7"/>
        <v>0.11624036846399576</v>
      </c>
      <c r="AB64" s="31">
        <v>50780</v>
      </c>
      <c r="AC64" s="31">
        <v>210007</v>
      </c>
      <c r="AD64" s="31">
        <v>2629100</v>
      </c>
      <c r="AE64" s="31">
        <v>2606100</v>
      </c>
      <c r="AF64" s="31">
        <v>2608038</v>
      </c>
      <c r="AG64" s="31">
        <v>0</v>
      </c>
      <c r="AH64" s="31">
        <v>0</v>
      </c>
      <c r="AI64" s="31">
        <v>2608038</v>
      </c>
      <c r="AJ64" s="45">
        <f t="shared" si="8"/>
        <v>14.589687791943343</v>
      </c>
      <c r="AK64" s="31">
        <v>0</v>
      </c>
      <c r="AL64" s="31">
        <v>0</v>
      </c>
      <c r="AM64" s="31">
        <v>0</v>
      </c>
      <c r="AN64" s="31">
        <v>0</v>
      </c>
      <c r="AO64" s="31">
        <v>21062</v>
      </c>
      <c r="AP64" s="31">
        <v>25465</v>
      </c>
      <c r="AQ64" s="31">
        <v>46527</v>
      </c>
      <c r="AR64" s="31">
        <v>2654565</v>
      </c>
      <c r="AS64" s="46">
        <f t="shared" si="9"/>
        <v>14.849965596137817</v>
      </c>
      <c r="AT64" s="31">
        <v>50780</v>
      </c>
      <c r="AU64" s="31">
        <v>0</v>
      </c>
      <c r="AV64" s="31">
        <v>0</v>
      </c>
      <c r="AW64" s="31">
        <v>0</v>
      </c>
      <c r="AX64" s="31">
        <v>0</v>
      </c>
      <c r="AY64" s="31">
        <v>0</v>
      </c>
      <c r="AZ64" s="31">
        <v>0</v>
      </c>
      <c r="BA64" s="31">
        <v>0</v>
      </c>
      <c r="BB64" s="31">
        <v>50780</v>
      </c>
      <c r="BC64" s="33" t="s">
        <v>25</v>
      </c>
      <c r="BD64" s="47">
        <v>150442</v>
      </c>
      <c r="BE64" s="47">
        <v>195114</v>
      </c>
      <c r="BF64" s="45">
        <f t="shared" si="10"/>
        <v>1.0914918969114842</v>
      </c>
      <c r="BG64" s="30">
        <v>5185</v>
      </c>
      <c r="BH64" s="30">
        <v>6303</v>
      </c>
      <c r="BI64" s="30">
        <v>5583</v>
      </c>
      <c r="BJ64" s="30">
        <v>7434</v>
      </c>
      <c r="BK64" s="30">
        <v>9002</v>
      </c>
      <c r="BL64" s="30">
        <v>0</v>
      </c>
      <c r="BM64" s="30">
        <v>1804</v>
      </c>
      <c r="BN64" s="30">
        <v>3</v>
      </c>
      <c r="BO64" s="30">
        <v>51</v>
      </c>
      <c r="BP64" s="30">
        <v>0</v>
      </c>
      <c r="BQ64" s="30">
        <v>54</v>
      </c>
      <c r="BR64" s="47">
        <v>163061</v>
      </c>
      <c r="BS64" s="47">
        <v>217809</v>
      </c>
      <c r="BT64" s="1">
        <f t="shared" si="11"/>
        <v>1.2184505395532532</v>
      </c>
      <c r="BU64" s="30">
        <v>200</v>
      </c>
      <c r="BV64" s="30">
        <v>0</v>
      </c>
      <c r="BW64" s="47">
        <v>42699</v>
      </c>
      <c r="BX64" s="52">
        <f t="shared" si="12"/>
        <v>0.23886349778192986</v>
      </c>
      <c r="BY64" s="47">
        <v>285315</v>
      </c>
      <c r="BZ64" s="47">
        <v>0</v>
      </c>
      <c r="CA64" s="47">
        <v>343276</v>
      </c>
      <c r="CB64" s="47">
        <v>41790</v>
      </c>
      <c r="CC64" s="47">
        <v>670381</v>
      </c>
      <c r="CD64" s="55">
        <f t="shared" si="13"/>
        <v>3.7501943958066448</v>
      </c>
      <c r="CE64" s="3">
        <f t="shared" si="14"/>
        <v>17189.25641025641</v>
      </c>
      <c r="CF64" s="55">
        <f t="shared" si="15"/>
        <v>61.940404693707848</v>
      </c>
      <c r="CG64" s="55">
        <f t="shared" si="16"/>
        <v>1.5396015387265316</v>
      </c>
      <c r="CH64" s="55">
        <f t="shared" si="17"/>
        <v>2.8859734905352856</v>
      </c>
      <c r="CI64" s="30">
        <v>396</v>
      </c>
      <c r="CJ64" s="30">
        <v>116</v>
      </c>
      <c r="CK64" s="30">
        <v>330</v>
      </c>
      <c r="CL64" s="30">
        <v>842</v>
      </c>
      <c r="CM64" s="30">
        <v>29593</v>
      </c>
      <c r="CN64" s="30">
        <v>1337</v>
      </c>
      <c r="CO64" s="30">
        <v>4885</v>
      </c>
      <c r="CP64" s="30">
        <v>35815</v>
      </c>
      <c r="CQ64" s="1">
        <f t="shared" si="27"/>
        <v>0.20035354863251639</v>
      </c>
      <c r="CR64" s="47">
        <v>435425</v>
      </c>
      <c r="CS64" s="55">
        <f t="shared" si="18"/>
        <v>2.4358214131875879</v>
      </c>
      <c r="CT64" s="59">
        <v>30423</v>
      </c>
      <c r="CU64" s="29" t="s">
        <v>25</v>
      </c>
      <c r="CV64" s="29" t="s">
        <v>25</v>
      </c>
      <c r="CW64" s="29" t="s">
        <v>25</v>
      </c>
      <c r="CX64" s="35">
        <v>15</v>
      </c>
      <c r="CY64" s="49">
        <f t="shared" si="19"/>
        <v>11917.266666666666</v>
      </c>
      <c r="CZ64" s="35">
        <v>3</v>
      </c>
      <c r="DA64" s="35">
        <v>21</v>
      </c>
      <c r="DB64" s="35">
        <v>39</v>
      </c>
      <c r="DC64" s="49">
        <f t="shared" si="20"/>
        <v>4583.5641025641025</v>
      </c>
      <c r="DD64" s="30">
        <v>5766</v>
      </c>
      <c r="DE64" s="31">
        <v>84414</v>
      </c>
      <c r="DF64" s="35">
        <v>40</v>
      </c>
      <c r="DG64" s="29" t="s">
        <v>25</v>
      </c>
      <c r="DH64" s="29" t="s">
        <v>25</v>
      </c>
      <c r="DI64" s="29" t="s">
        <v>25</v>
      </c>
      <c r="DJ64" s="47">
        <v>373</v>
      </c>
      <c r="DK64" s="47">
        <v>359</v>
      </c>
      <c r="DL64" s="47">
        <v>54</v>
      </c>
      <c r="DM64" s="47">
        <v>69271</v>
      </c>
      <c r="DN64" s="47">
        <v>528</v>
      </c>
      <c r="DO64" s="47">
        <v>0</v>
      </c>
      <c r="DP64" s="29" t="s">
        <v>25</v>
      </c>
      <c r="DQ64" s="47">
        <v>190144</v>
      </c>
      <c r="DR64" s="47">
        <v>2895</v>
      </c>
      <c r="DS64" s="30">
        <v>52</v>
      </c>
      <c r="DT64" s="30">
        <v>64</v>
      </c>
      <c r="DU64" s="30">
        <v>56</v>
      </c>
      <c r="DV64" s="30">
        <v>56</v>
      </c>
      <c r="DW64">
        <f>VLOOKUP(EC64,branch!$I$4:$K$77,3,0)</f>
        <v>7928</v>
      </c>
      <c r="DX64" s="2">
        <f t="shared" si="21"/>
        <v>10823</v>
      </c>
      <c r="DY64" s="33" t="s">
        <v>2186</v>
      </c>
      <c r="DZ64" s="33" t="s">
        <v>222</v>
      </c>
      <c r="EA64" s="33" t="s">
        <v>2030</v>
      </c>
      <c r="EB64" s="33" t="s">
        <v>2027</v>
      </c>
      <c r="EC64" s="36">
        <v>51</v>
      </c>
      <c r="ED64" s="29" t="s">
        <v>220</v>
      </c>
      <c r="EE64" s="29" t="s">
        <v>221</v>
      </c>
      <c r="EF64" s="37">
        <v>41548</v>
      </c>
      <c r="EG64" s="37">
        <v>41912</v>
      </c>
      <c r="EH64" s="29" t="s">
        <v>220</v>
      </c>
      <c r="EI64" s="55">
        <f t="shared" si="22"/>
        <v>1.5960874697218042</v>
      </c>
      <c r="EJ64" s="54">
        <f t="shared" si="23"/>
        <v>0</v>
      </c>
      <c r="EK64" s="55">
        <f t="shared" si="24"/>
        <v>1.9203284869573001</v>
      </c>
      <c r="EL64" s="54">
        <f t="shared" si="25"/>
        <v>0.23377843912754043</v>
      </c>
    </row>
    <row r="65" spans="1:142" ht="28.8" x14ac:dyDescent="0.3">
      <c r="A65" s="29" t="s">
        <v>1377</v>
      </c>
      <c r="B65" s="29"/>
      <c r="C65" s="30">
        <v>13184</v>
      </c>
      <c r="D65" s="30">
        <v>0</v>
      </c>
      <c r="E65" s="30">
        <v>0</v>
      </c>
      <c r="F65" s="30">
        <v>5200</v>
      </c>
      <c r="H65" s="2">
        <f t="shared" si="26"/>
        <v>5200</v>
      </c>
      <c r="I65" s="1">
        <f t="shared" ref="I65:I126" si="28">H65/C65</f>
        <v>0.39441747572815533</v>
      </c>
      <c r="J65" s="31">
        <v>210881</v>
      </c>
      <c r="K65" s="31">
        <v>64820</v>
      </c>
      <c r="L65" s="31">
        <v>275701</v>
      </c>
      <c r="M65" s="45">
        <f t="shared" si="1"/>
        <v>20.911787014563107</v>
      </c>
      <c r="N65" s="31">
        <v>19659</v>
      </c>
      <c r="O65" s="31">
        <v>4500</v>
      </c>
      <c r="P65" s="31">
        <v>5661</v>
      </c>
      <c r="Q65" s="31">
        <v>29820</v>
      </c>
      <c r="R65" s="45">
        <f t="shared" si="2"/>
        <v>2.2618325242718447</v>
      </c>
      <c r="S65" s="31">
        <v>51244</v>
      </c>
      <c r="T65" s="31">
        <v>356765</v>
      </c>
      <c r="U65" s="31">
        <v>0</v>
      </c>
      <c r="V65" s="31">
        <v>356765</v>
      </c>
      <c r="W65" s="45">
        <f t="shared" si="3"/>
        <v>27.060452063106798</v>
      </c>
      <c r="X65" s="4">
        <f t="shared" si="4"/>
        <v>0.77278040166496154</v>
      </c>
      <c r="Y65" s="4">
        <f t="shared" si="5"/>
        <v>8.3584432329404504E-2</v>
      </c>
      <c r="Z65" s="4">
        <f t="shared" si="6"/>
        <v>0.14363516600563397</v>
      </c>
      <c r="AA65" s="4">
        <f t="shared" si="7"/>
        <v>0</v>
      </c>
      <c r="AB65" s="31">
        <v>0</v>
      </c>
      <c r="AC65" s="31">
        <v>29820</v>
      </c>
      <c r="AD65" s="31">
        <v>356765</v>
      </c>
      <c r="AE65" s="31">
        <v>345399</v>
      </c>
      <c r="AF65" s="31">
        <v>315399</v>
      </c>
      <c r="AG65" s="31">
        <v>30000</v>
      </c>
      <c r="AH65" s="31">
        <v>0</v>
      </c>
      <c r="AI65" s="31">
        <v>345399</v>
      </c>
      <c r="AJ65" s="45">
        <f t="shared" si="8"/>
        <v>26.198346480582526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24044</v>
      </c>
      <c r="AQ65" s="31">
        <v>24044</v>
      </c>
      <c r="AR65" s="31">
        <v>369443</v>
      </c>
      <c r="AS65" s="46">
        <f t="shared" si="9"/>
        <v>28.022072208737864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0</v>
      </c>
      <c r="BA65" s="31">
        <v>0</v>
      </c>
      <c r="BB65" s="31">
        <v>0</v>
      </c>
      <c r="BC65" s="33" t="s">
        <v>25</v>
      </c>
      <c r="BD65" s="47">
        <v>23419</v>
      </c>
      <c r="BE65" s="47">
        <v>24163</v>
      </c>
      <c r="BF65" s="45">
        <f t="shared" si="10"/>
        <v>1.8327518203883495</v>
      </c>
      <c r="BG65" s="30">
        <v>2222</v>
      </c>
      <c r="BH65" s="30">
        <v>2311</v>
      </c>
      <c r="BI65" s="30">
        <v>1729</v>
      </c>
      <c r="BJ65" s="30">
        <v>1373</v>
      </c>
      <c r="BK65" s="30">
        <v>1487</v>
      </c>
      <c r="BL65" s="30">
        <v>126</v>
      </c>
      <c r="BM65" s="30">
        <v>9513</v>
      </c>
      <c r="BN65" s="30">
        <v>3</v>
      </c>
      <c r="BO65" s="30">
        <v>51</v>
      </c>
      <c r="BP65" s="30">
        <v>0</v>
      </c>
      <c r="BQ65" s="30">
        <v>54</v>
      </c>
      <c r="BR65" s="47">
        <v>27014</v>
      </c>
      <c r="BS65" s="47">
        <v>39332</v>
      </c>
      <c r="BT65" s="1">
        <f t="shared" si="11"/>
        <v>2.9833131067961167</v>
      </c>
      <c r="BU65" s="30">
        <v>62</v>
      </c>
      <c r="BV65" s="30">
        <v>33</v>
      </c>
      <c r="BW65" s="47">
        <v>731</v>
      </c>
      <c r="BX65" s="52">
        <f t="shared" si="12"/>
        <v>5.5445995145631068E-2</v>
      </c>
      <c r="BY65" s="47">
        <v>56634</v>
      </c>
      <c r="BZ65" s="47">
        <v>341</v>
      </c>
      <c r="CA65" s="47">
        <v>38324</v>
      </c>
      <c r="CB65" s="47">
        <v>5283</v>
      </c>
      <c r="CC65" s="47">
        <v>100582</v>
      </c>
      <c r="CD65" s="55">
        <f t="shared" si="13"/>
        <v>7.6290958737864081</v>
      </c>
      <c r="CE65" s="3">
        <f t="shared" si="14"/>
        <v>18540.460829493088</v>
      </c>
      <c r="CF65" s="55">
        <f t="shared" si="15"/>
        <v>37.586696562032884</v>
      </c>
      <c r="CG65" s="55">
        <f t="shared" si="16"/>
        <v>1.630363250287715</v>
      </c>
      <c r="CH65" s="55">
        <f t="shared" si="17"/>
        <v>2.4142682802806874</v>
      </c>
      <c r="CI65" s="30">
        <v>265</v>
      </c>
      <c r="CJ65" s="30">
        <v>18</v>
      </c>
      <c r="CK65" s="30">
        <v>56</v>
      </c>
      <c r="CL65" s="30">
        <v>339</v>
      </c>
      <c r="CM65" s="30">
        <v>11672</v>
      </c>
      <c r="CN65" s="30">
        <v>238</v>
      </c>
      <c r="CO65" s="30">
        <v>419</v>
      </c>
      <c r="CP65" s="30">
        <v>12329</v>
      </c>
      <c r="CQ65" s="1">
        <f t="shared" si="27"/>
        <v>0.93514866504854366</v>
      </c>
      <c r="CR65" s="47">
        <v>61693</v>
      </c>
      <c r="CS65" s="55">
        <f t="shared" si="18"/>
        <v>4.6793841019417473</v>
      </c>
      <c r="CT65" s="59">
        <v>9040</v>
      </c>
      <c r="CU65" s="29" t="s">
        <v>25</v>
      </c>
      <c r="CV65" s="29" t="s">
        <v>25</v>
      </c>
      <c r="CW65" s="29" t="s">
        <v>25</v>
      </c>
      <c r="CX65" s="35">
        <v>2</v>
      </c>
      <c r="CY65" s="49">
        <f t="shared" si="19"/>
        <v>6592</v>
      </c>
      <c r="CZ65" s="35">
        <v>0</v>
      </c>
      <c r="DA65" s="35">
        <v>3.4249999999999998</v>
      </c>
      <c r="DB65" s="35">
        <v>5.4249999999999998</v>
      </c>
      <c r="DC65" s="49">
        <f t="shared" si="20"/>
        <v>2430.2304147465438</v>
      </c>
      <c r="DD65" s="30">
        <v>1117</v>
      </c>
      <c r="DE65" s="31">
        <v>61610</v>
      </c>
      <c r="DF65" s="35">
        <v>40</v>
      </c>
      <c r="DG65" s="29" t="s">
        <v>25</v>
      </c>
      <c r="DH65" s="29" t="s">
        <v>25</v>
      </c>
      <c r="DI65" s="29" t="s">
        <v>25</v>
      </c>
      <c r="DJ65" s="47">
        <v>189</v>
      </c>
      <c r="DK65" s="47">
        <v>57</v>
      </c>
      <c r="DL65" s="47">
        <v>16</v>
      </c>
      <c r="DM65" s="47">
        <v>15945</v>
      </c>
      <c r="DN65" s="47">
        <v>398</v>
      </c>
      <c r="DO65" s="47">
        <v>14535</v>
      </c>
      <c r="DP65" s="29" t="s">
        <v>25</v>
      </c>
      <c r="DQ65" s="47">
        <v>21377</v>
      </c>
      <c r="DR65" s="47">
        <v>2676</v>
      </c>
      <c r="DS65" s="30">
        <v>52</v>
      </c>
      <c r="DT65" s="30">
        <v>54</v>
      </c>
      <c r="DU65" s="30">
        <v>54</v>
      </c>
      <c r="DV65" s="30">
        <v>54</v>
      </c>
      <c r="DX65" s="2">
        <f t="shared" si="21"/>
        <v>2676</v>
      </c>
      <c r="DY65" s="33" t="s">
        <v>2186</v>
      </c>
      <c r="DZ65" s="33" t="s">
        <v>1379</v>
      </c>
      <c r="EA65" s="33" t="s">
        <v>2030</v>
      </c>
      <c r="EB65" s="33" t="s">
        <v>2027</v>
      </c>
      <c r="EC65" s="36">
        <v>424</v>
      </c>
      <c r="ED65" s="29" t="s">
        <v>1378</v>
      </c>
      <c r="EE65" s="29" t="s">
        <v>776</v>
      </c>
      <c r="EF65" s="37">
        <v>41548</v>
      </c>
      <c r="EG65" s="37">
        <v>41912</v>
      </c>
      <c r="EH65" s="29" t="s">
        <v>1378</v>
      </c>
      <c r="EI65" s="55">
        <f t="shared" si="22"/>
        <v>4.2956614077669899</v>
      </c>
      <c r="EJ65" s="54">
        <f t="shared" si="23"/>
        <v>2.5864684466019416E-2</v>
      </c>
      <c r="EK65" s="55">
        <f t="shared" si="24"/>
        <v>2.906856796116505</v>
      </c>
      <c r="EL65" s="54">
        <f t="shared" si="25"/>
        <v>0.40071298543689321</v>
      </c>
    </row>
    <row r="66" spans="1:142" ht="28.8" x14ac:dyDescent="0.3">
      <c r="A66" s="29" t="s">
        <v>223</v>
      </c>
      <c r="B66" s="29"/>
      <c r="C66" s="30">
        <v>1846</v>
      </c>
      <c r="D66" s="30">
        <v>0</v>
      </c>
      <c r="E66" s="30">
        <v>0</v>
      </c>
      <c r="F66" s="30">
        <v>3000</v>
      </c>
      <c r="H66" s="2">
        <f t="shared" ref="H66:H127" si="29">G66+F66</f>
        <v>3000</v>
      </c>
      <c r="I66" s="1">
        <f t="shared" si="28"/>
        <v>1.6251354279523293</v>
      </c>
      <c r="J66" s="31">
        <v>44790</v>
      </c>
      <c r="K66" s="31">
        <v>8520</v>
      </c>
      <c r="L66" s="31">
        <v>53310</v>
      </c>
      <c r="M66" s="45">
        <f t="shared" si="1"/>
        <v>28.878656554712894</v>
      </c>
      <c r="N66" s="31">
        <v>6000</v>
      </c>
      <c r="O66" s="31">
        <v>0</v>
      </c>
      <c r="P66" s="31">
        <v>0</v>
      </c>
      <c r="Q66" s="31">
        <v>6000</v>
      </c>
      <c r="R66" s="45">
        <f t="shared" si="2"/>
        <v>3.2502708559046587</v>
      </c>
      <c r="S66" s="31">
        <v>22710</v>
      </c>
      <c r="T66" s="31">
        <v>82020</v>
      </c>
      <c r="U66" s="31">
        <v>0</v>
      </c>
      <c r="V66" s="31">
        <v>82020</v>
      </c>
      <c r="W66" s="45">
        <f t="shared" si="3"/>
        <v>44.431202600216686</v>
      </c>
      <c r="X66" s="4">
        <f t="shared" si="4"/>
        <v>0.6499634235552304</v>
      </c>
      <c r="Y66" s="4">
        <f t="shared" si="5"/>
        <v>7.3152889539136789E-2</v>
      </c>
      <c r="Z66" s="4">
        <f t="shared" si="6"/>
        <v>0.27688368690563275</v>
      </c>
      <c r="AA66" s="4">
        <f t="shared" si="7"/>
        <v>0</v>
      </c>
      <c r="AB66" s="31">
        <v>0</v>
      </c>
      <c r="AC66" s="31">
        <v>6000</v>
      </c>
      <c r="AD66" s="31">
        <v>82020</v>
      </c>
      <c r="AE66" s="31">
        <v>82020</v>
      </c>
      <c r="AF66" s="31">
        <v>82020</v>
      </c>
      <c r="AG66" s="31">
        <v>0</v>
      </c>
      <c r="AH66" s="31">
        <v>0</v>
      </c>
      <c r="AI66" s="31">
        <v>82020</v>
      </c>
      <c r="AJ66" s="45">
        <f t="shared" si="8"/>
        <v>44.431202600216686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82020</v>
      </c>
      <c r="AS66" s="46">
        <f t="shared" si="9"/>
        <v>44.431202600216686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</v>
      </c>
      <c r="BA66" s="31">
        <v>0</v>
      </c>
      <c r="BB66" s="31">
        <v>0</v>
      </c>
      <c r="BC66" s="33" t="s">
        <v>25</v>
      </c>
      <c r="BD66" s="47">
        <v>22713</v>
      </c>
      <c r="BE66" s="47">
        <v>23942</v>
      </c>
      <c r="BF66" s="45">
        <f t="shared" si="10"/>
        <v>12.969664138678223</v>
      </c>
      <c r="BG66" s="30">
        <v>120</v>
      </c>
      <c r="BH66" s="30">
        <v>140</v>
      </c>
      <c r="BI66" s="30">
        <v>0</v>
      </c>
      <c r="BJ66" s="30">
        <v>320</v>
      </c>
      <c r="BK66" s="30">
        <v>326</v>
      </c>
      <c r="BL66" s="30">
        <v>0</v>
      </c>
      <c r="BM66" s="30">
        <v>0</v>
      </c>
      <c r="BN66" s="30">
        <v>0</v>
      </c>
      <c r="BO66" s="30">
        <v>51</v>
      </c>
      <c r="BP66" s="30">
        <v>0</v>
      </c>
      <c r="BQ66" s="30">
        <v>51</v>
      </c>
      <c r="BR66" s="47">
        <v>23153</v>
      </c>
      <c r="BS66" s="47">
        <v>24408</v>
      </c>
      <c r="BT66" s="1">
        <f t="shared" si="11"/>
        <v>13.222101841820152</v>
      </c>
      <c r="BU66" s="30">
        <v>3</v>
      </c>
      <c r="BV66" s="30">
        <v>0</v>
      </c>
      <c r="BW66" s="47">
        <v>10</v>
      </c>
      <c r="BX66" s="52">
        <f t="shared" si="12"/>
        <v>5.4171180931744311E-3</v>
      </c>
      <c r="BY66" s="47">
        <v>800</v>
      </c>
      <c r="BZ66" s="47">
        <v>0</v>
      </c>
      <c r="CA66" s="47">
        <v>1009</v>
      </c>
      <c r="CB66" s="47">
        <v>0</v>
      </c>
      <c r="CC66" s="47">
        <v>1809</v>
      </c>
      <c r="CD66" s="55">
        <f t="shared" si="13"/>
        <v>0.97995666305525464</v>
      </c>
      <c r="CE66" s="3">
        <f t="shared" si="14"/>
        <v>1292.1428571428573</v>
      </c>
      <c r="CF66" s="55">
        <f t="shared" si="15"/>
        <v>1.1746753246753248</v>
      </c>
      <c r="CG66" s="55">
        <f t="shared" si="16"/>
        <v>0.45601209982354424</v>
      </c>
      <c r="CH66" s="55">
        <f t="shared" si="17"/>
        <v>7.4115044247787615E-2</v>
      </c>
      <c r="CI66" s="30">
        <v>4</v>
      </c>
      <c r="CJ66" s="30">
        <v>0</v>
      </c>
      <c r="CK66" s="30">
        <v>0</v>
      </c>
      <c r="CL66" s="30">
        <v>4</v>
      </c>
      <c r="CM66" s="30">
        <v>56</v>
      </c>
      <c r="CN66" s="30">
        <v>0</v>
      </c>
      <c r="CO66" s="30">
        <v>0</v>
      </c>
      <c r="CP66" s="30">
        <v>56</v>
      </c>
      <c r="CQ66" s="1">
        <f t="shared" si="27"/>
        <v>3.0335861321776816E-2</v>
      </c>
      <c r="CR66" s="47">
        <v>3967</v>
      </c>
      <c r="CS66" s="55">
        <f t="shared" si="18"/>
        <v>2.1489707475622968</v>
      </c>
      <c r="CT66" s="59">
        <v>2304</v>
      </c>
      <c r="CU66" s="29" t="s">
        <v>25</v>
      </c>
      <c r="CV66" s="29" t="s">
        <v>25</v>
      </c>
      <c r="CW66" s="29" t="s">
        <v>25</v>
      </c>
      <c r="CX66" s="35">
        <v>0</v>
      </c>
      <c r="CY66" s="49">
        <v>0</v>
      </c>
      <c r="CZ66" s="35">
        <v>1</v>
      </c>
      <c r="DA66" s="35">
        <v>0.4</v>
      </c>
      <c r="DB66" s="35">
        <v>1.4</v>
      </c>
      <c r="DC66" s="49">
        <f t="shared" si="20"/>
        <v>1318.5714285714287</v>
      </c>
      <c r="DD66" s="30">
        <v>40</v>
      </c>
      <c r="DE66" s="31">
        <v>35642</v>
      </c>
      <c r="DF66" s="35">
        <v>40</v>
      </c>
      <c r="DG66" s="29" t="s">
        <v>25</v>
      </c>
      <c r="DH66" s="29" t="s">
        <v>26</v>
      </c>
      <c r="DI66" s="29" t="s">
        <v>26</v>
      </c>
      <c r="DJ66" s="47">
        <v>0</v>
      </c>
      <c r="DK66" s="47">
        <v>0</v>
      </c>
      <c r="DL66" s="47">
        <v>13</v>
      </c>
      <c r="DM66" s="47">
        <v>3214</v>
      </c>
      <c r="DN66" s="47">
        <v>0</v>
      </c>
      <c r="DO66" s="47">
        <v>8</v>
      </c>
      <c r="DP66" s="29" t="s">
        <v>2028</v>
      </c>
      <c r="DQ66" s="47">
        <v>0</v>
      </c>
      <c r="DR66" s="47">
        <v>1540</v>
      </c>
      <c r="DS66" s="30">
        <v>50</v>
      </c>
      <c r="DT66" s="30">
        <v>36</v>
      </c>
      <c r="DU66" s="30">
        <v>36</v>
      </c>
      <c r="DV66" s="30">
        <v>36</v>
      </c>
      <c r="DX66" s="2">
        <f t="shared" si="21"/>
        <v>1540</v>
      </c>
      <c r="DY66" s="33" t="s">
        <v>2186</v>
      </c>
      <c r="DZ66" s="33" t="s">
        <v>226</v>
      </c>
      <c r="EA66" s="33" t="s">
        <v>2030</v>
      </c>
      <c r="EB66" s="33" t="s">
        <v>2027</v>
      </c>
      <c r="EC66" s="36">
        <v>52</v>
      </c>
      <c r="ED66" s="29" t="s">
        <v>224</v>
      </c>
      <c r="EE66" s="29" t="s">
        <v>225</v>
      </c>
      <c r="EF66" s="37">
        <v>41548</v>
      </c>
      <c r="EG66" s="37">
        <v>41912</v>
      </c>
      <c r="EH66" s="29" t="s">
        <v>224</v>
      </c>
      <c r="EI66" s="55">
        <f t="shared" si="22"/>
        <v>0.4333694474539545</v>
      </c>
      <c r="EJ66" s="54">
        <f t="shared" si="23"/>
        <v>0</v>
      </c>
      <c r="EK66" s="55">
        <f t="shared" si="24"/>
        <v>0.54658721560130008</v>
      </c>
      <c r="EL66" s="54">
        <f t="shared" si="25"/>
        <v>0</v>
      </c>
    </row>
    <row r="67" spans="1:142" ht="43.2" x14ac:dyDescent="0.3">
      <c r="A67" s="29" t="s">
        <v>227</v>
      </c>
      <c r="B67" s="29"/>
      <c r="C67" s="30">
        <v>2658</v>
      </c>
      <c r="D67" s="30">
        <v>0</v>
      </c>
      <c r="E67" s="30">
        <v>0</v>
      </c>
      <c r="F67" s="30">
        <v>3000</v>
      </c>
      <c r="H67" s="2">
        <f t="shared" si="29"/>
        <v>3000</v>
      </c>
      <c r="I67" s="1">
        <f t="shared" si="28"/>
        <v>1.1286681715575622</v>
      </c>
      <c r="J67" s="31">
        <v>19904</v>
      </c>
      <c r="K67" s="31">
        <v>1523</v>
      </c>
      <c r="L67" s="31">
        <v>21427</v>
      </c>
      <c r="M67" s="45">
        <f t="shared" si="1"/>
        <v>8.061324303987961</v>
      </c>
      <c r="N67" s="31">
        <v>8186</v>
      </c>
      <c r="O67" s="31">
        <v>1500</v>
      </c>
      <c r="P67" s="31">
        <v>0</v>
      </c>
      <c r="Q67" s="31">
        <v>9686</v>
      </c>
      <c r="R67" s="45">
        <f t="shared" si="2"/>
        <v>3.6440933032355156</v>
      </c>
      <c r="S67" s="31">
        <v>21048</v>
      </c>
      <c r="T67" s="31">
        <v>52161</v>
      </c>
      <c r="U67" s="31">
        <v>0</v>
      </c>
      <c r="V67" s="31">
        <v>52161</v>
      </c>
      <c r="W67" s="45">
        <f t="shared" si="3"/>
        <v>19.624153498871333</v>
      </c>
      <c r="X67" s="4">
        <f t="shared" si="4"/>
        <v>0.41078583616111652</v>
      </c>
      <c r="Y67" s="4">
        <f t="shared" si="5"/>
        <v>0.18569429267076934</v>
      </c>
      <c r="Z67" s="4">
        <f t="shared" si="6"/>
        <v>0.40351987116811411</v>
      </c>
      <c r="AA67" s="4">
        <f t="shared" si="7"/>
        <v>0</v>
      </c>
      <c r="AB67" s="31">
        <v>0</v>
      </c>
      <c r="AC67" s="31">
        <v>8177</v>
      </c>
      <c r="AD67" s="31">
        <v>45661</v>
      </c>
      <c r="AE67" s="31">
        <v>10660</v>
      </c>
      <c r="AF67" s="31">
        <v>10660</v>
      </c>
      <c r="AG67" s="31">
        <v>0</v>
      </c>
      <c r="AH67" s="31">
        <v>0</v>
      </c>
      <c r="AI67" s="31">
        <v>10660</v>
      </c>
      <c r="AJ67" s="45">
        <f t="shared" si="8"/>
        <v>4.0105342362678709</v>
      </c>
      <c r="AK67" s="31">
        <v>0</v>
      </c>
      <c r="AL67" s="31">
        <v>0</v>
      </c>
      <c r="AM67" s="31">
        <v>0</v>
      </c>
      <c r="AN67" s="31">
        <v>0</v>
      </c>
      <c r="AO67" s="31">
        <v>20557</v>
      </c>
      <c r="AP67" s="31">
        <v>28590</v>
      </c>
      <c r="AQ67" s="31">
        <v>49147</v>
      </c>
      <c r="AR67" s="31">
        <v>59807</v>
      </c>
      <c r="AS67" s="46">
        <f t="shared" si="9"/>
        <v>22.500752445447706</v>
      </c>
      <c r="AT67" s="31">
        <v>0</v>
      </c>
      <c r="AU67" s="31">
        <v>0</v>
      </c>
      <c r="AV67" s="31">
        <v>0</v>
      </c>
      <c r="AW67" s="31">
        <v>0</v>
      </c>
      <c r="AX67" s="31">
        <v>0</v>
      </c>
      <c r="AY67" s="31">
        <v>0</v>
      </c>
      <c r="AZ67" s="31">
        <v>0</v>
      </c>
      <c r="BA67" s="31">
        <v>2999</v>
      </c>
      <c r="BB67" s="31">
        <v>2999</v>
      </c>
      <c r="BC67" s="33" t="s">
        <v>25</v>
      </c>
      <c r="BD67" s="47">
        <v>13575</v>
      </c>
      <c r="BE67" s="47">
        <v>23734</v>
      </c>
      <c r="BF67" s="45">
        <f t="shared" si="10"/>
        <v>8.9292701279157267</v>
      </c>
      <c r="BG67" s="30">
        <v>966</v>
      </c>
      <c r="BH67" s="30">
        <v>997</v>
      </c>
      <c r="BI67" s="30">
        <v>1042</v>
      </c>
      <c r="BJ67" s="30">
        <v>840</v>
      </c>
      <c r="BK67" s="30">
        <v>878</v>
      </c>
      <c r="BL67" s="30">
        <v>0</v>
      </c>
      <c r="BM67" s="30">
        <v>16960</v>
      </c>
      <c r="BN67" s="30">
        <v>0</v>
      </c>
      <c r="BO67" s="30">
        <v>51</v>
      </c>
      <c r="BP67" s="30">
        <v>0</v>
      </c>
      <c r="BQ67" s="30">
        <v>51</v>
      </c>
      <c r="BR67" s="47">
        <v>15381</v>
      </c>
      <c r="BS67" s="47">
        <v>43611</v>
      </c>
      <c r="BT67" s="1">
        <f t="shared" si="11"/>
        <v>16.407449209932281</v>
      </c>
      <c r="BU67" s="30">
        <v>0</v>
      </c>
      <c r="BV67" s="30">
        <v>0</v>
      </c>
      <c r="BW67" s="47">
        <v>898</v>
      </c>
      <c r="BX67" s="52">
        <f t="shared" si="12"/>
        <v>0.33784800601956361</v>
      </c>
      <c r="BY67" s="47">
        <v>8699</v>
      </c>
      <c r="BZ67" s="47">
        <v>129</v>
      </c>
      <c r="CA67" s="47">
        <v>10299</v>
      </c>
      <c r="CB67" s="47">
        <v>2445</v>
      </c>
      <c r="CC67" s="47">
        <v>21572</v>
      </c>
      <c r="CD67" s="55">
        <f t="shared" si="13"/>
        <v>8.115876598946576</v>
      </c>
      <c r="CE67" s="3">
        <f t="shared" si="14"/>
        <v>17609.795918367345</v>
      </c>
      <c r="CF67" s="55">
        <f t="shared" si="15"/>
        <v>12.963942307692308</v>
      </c>
      <c r="CG67" s="55">
        <f t="shared" si="16"/>
        <v>1.8628670120898101</v>
      </c>
      <c r="CH67" s="55">
        <f t="shared" si="17"/>
        <v>0.43562403980647085</v>
      </c>
      <c r="CI67" s="30">
        <v>60</v>
      </c>
      <c r="CJ67" s="30">
        <v>92</v>
      </c>
      <c r="CK67" s="30">
        <v>117</v>
      </c>
      <c r="CL67" s="30">
        <v>269</v>
      </c>
      <c r="CM67" s="30">
        <v>1042</v>
      </c>
      <c r="CN67" s="30">
        <v>100</v>
      </c>
      <c r="CO67" s="30">
        <v>776</v>
      </c>
      <c r="CP67" s="30">
        <v>1918</v>
      </c>
      <c r="CQ67" s="1">
        <f t="shared" si="27"/>
        <v>0.72159518434913472</v>
      </c>
      <c r="CR67" s="47">
        <v>11580</v>
      </c>
      <c r="CS67" s="55">
        <f t="shared" si="18"/>
        <v>4.3566591422121892</v>
      </c>
      <c r="CT67" s="59">
        <v>3534</v>
      </c>
      <c r="CU67" s="29" t="s">
        <v>25</v>
      </c>
      <c r="CV67" s="29" t="s">
        <v>25</v>
      </c>
      <c r="CW67" s="29" t="s">
        <v>25</v>
      </c>
      <c r="CX67" s="35">
        <v>0.75</v>
      </c>
      <c r="CY67" s="49">
        <f t="shared" si="19"/>
        <v>3544</v>
      </c>
      <c r="CZ67" s="35">
        <v>0</v>
      </c>
      <c r="DA67" s="35">
        <v>0.47499999999999998</v>
      </c>
      <c r="DB67" s="35">
        <v>1.2250000000000001</v>
      </c>
      <c r="DC67" s="49">
        <f t="shared" si="20"/>
        <v>2169.795918367347</v>
      </c>
      <c r="DD67" s="30">
        <v>2214</v>
      </c>
      <c r="DE67" s="31">
        <v>12465</v>
      </c>
      <c r="DF67" s="35">
        <v>30</v>
      </c>
      <c r="DG67" s="29" t="s">
        <v>25</v>
      </c>
      <c r="DH67" s="29" t="s">
        <v>26</v>
      </c>
      <c r="DI67" s="29" t="s">
        <v>26</v>
      </c>
      <c r="DJ67" s="47">
        <v>0</v>
      </c>
      <c r="DK67" s="47">
        <v>0</v>
      </c>
      <c r="DL67" s="47">
        <v>5</v>
      </c>
      <c r="DM67" s="47">
        <v>1664</v>
      </c>
      <c r="DN67" s="47">
        <v>25</v>
      </c>
      <c r="DO67" s="47">
        <v>848</v>
      </c>
      <c r="DP67" s="29" t="s">
        <v>25</v>
      </c>
      <c r="DQ67" s="47">
        <v>5919</v>
      </c>
      <c r="DR67" s="47">
        <v>1664</v>
      </c>
      <c r="DS67" s="30">
        <v>52</v>
      </c>
      <c r="DT67" s="30">
        <v>32</v>
      </c>
      <c r="DU67" s="30">
        <v>32</v>
      </c>
      <c r="DV67" s="30">
        <v>32</v>
      </c>
      <c r="DX67" s="2">
        <f t="shared" si="21"/>
        <v>1664</v>
      </c>
      <c r="DY67" s="33" t="s">
        <v>2182</v>
      </c>
      <c r="DZ67" s="33" t="s">
        <v>229</v>
      </c>
      <c r="EA67" s="33" t="s">
        <v>2032</v>
      </c>
      <c r="EB67" s="33" t="s">
        <v>2027</v>
      </c>
      <c r="EC67" s="36">
        <v>53</v>
      </c>
      <c r="ED67" s="29" t="s">
        <v>228</v>
      </c>
      <c r="EE67" s="29" t="s">
        <v>123</v>
      </c>
      <c r="EF67" s="37">
        <v>41640</v>
      </c>
      <c r="EG67" s="37">
        <v>42004</v>
      </c>
      <c r="EH67" s="29" t="s">
        <v>228</v>
      </c>
      <c r="EI67" s="55">
        <f t="shared" si="22"/>
        <v>3.2727614747930773</v>
      </c>
      <c r="EJ67" s="54">
        <f t="shared" si="23"/>
        <v>4.8532731376975169E-2</v>
      </c>
      <c r="EK67" s="55">
        <f t="shared" si="24"/>
        <v>3.8747178329571108</v>
      </c>
      <c r="EL67" s="54">
        <f t="shared" si="25"/>
        <v>0.91986455981941306</v>
      </c>
    </row>
    <row r="68" spans="1:142" ht="28.8" x14ac:dyDescent="0.3">
      <c r="A68" s="29" t="s">
        <v>1493</v>
      </c>
      <c r="B68" s="29"/>
      <c r="C68" s="30">
        <v>26692</v>
      </c>
      <c r="D68" s="30">
        <v>0</v>
      </c>
      <c r="E68" s="30">
        <v>0</v>
      </c>
      <c r="F68" s="30">
        <v>19500</v>
      </c>
      <c r="H68" s="2">
        <f t="shared" si="29"/>
        <v>19500</v>
      </c>
      <c r="I68" s="1">
        <f t="shared" si="28"/>
        <v>0.73055597182676457</v>
      </c>
      <c r="J68" s="31">
        <v>269564</v>
      </c>
      <c r="K68" s="31">
        <v>44098</v>
      </c>
      <c r="L68" s="31">
        <v>313662</v>
      </c>
      <c r="M68" s="45">
        <f t="shared" ref="M68:M131" si="30">L68/C68</f>
        <v>11.75116139667316</v>
      </c>
      <c r="N68" s="31">
        <v>40561</v>
      </c>
      <c r="O68" s="31">
        <v>8948</v>
      </c>
      <c r="P68" s="31">
        <v>9720</v>
      </c>
      <c r="Q68" s="31">
        <v>59229</v>
      </c>
      <c r="R68" s="45">
        <f t="shared" ref="R68:R131" si="31">Q68/C68</f>
        <v>2.2189794695039713</v>
      </c>
      <c r="S68" s="31">
        <v>566580</v>
      </c>
      <c r="T68" s="31">
        <v>939471</v>
      </c>
      <c r="U68" s="31">
        <v>0</v>
      </c>
      <c r="V68" s="31">
        <v>939471</v>
      </c>
      <c r="W68" s="45">
        <f t="shared" ref="W68:W131" si="32">V68/C68</f>
        <v>35.196725610669866</v>
      </c>
      <c r="X68" s="4">
        <f t="shared" ref="X68:X131" si="33">L68/V68</f>
        <v>0.33387086988315767</v>
      </c>
      <c r="Y68" s="4">
        <f t="shared" ref="Y68:Y131" si="34">Q68/V68</f>
        <v>6.3045054078305768E-2</v>
      </c>
      <c r="Z68" s="4">
        <f t="shared" ref="Z68:Z131" si="35">S68/V68</f>
        <v>0.60308407603853653</v>
      </c>
      <c r="AA68" s="4">
        <f t="shared" ref="AA68:AA131" si="36">U68/V68</f>
        <v>0</v>
      </c>
      <c r="AB68" s="31">
        <v>311101</v>
      </c>
      <c r="AC68" s="31">
        <v>59229</v>
      </c>
      <c r="AD68" s="31">
        <v>931471</v>
      </c>
      <c r="AE68" s="31">
        <v>861517</v>
      </c>
      <c r="AF68" s="31">
        <v>1091556</v>
      </c>
      <c r="AG68" s="31">
        <v>0</v>
      </c>
      <c r="AH68" s="31">
        <v>0</v>
      </c>
      <c r="AI68" s="31">
        <v>1091556</v>
      </c>
      <c r="AJ68" s="45">
        <f t="shared" ref="AJ68:AJ131" si="37">AI68/C68</f>
        <v>40.894500224786455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77954</v>
      </c>
      <c r="AQ68" s="31">
        <v>77954</v>
      </c>
      <c r="AR68" s="31">
        <v>1169510</v>
      </c>
      <c r="AS68" s="46">
        <f t="shared" ref="AS68:AS131" si="38">AR68/C68</f>
        <v>43.815000749288174</v>
      </c>
      <c r="AT68" s="31">
        <v>311101</v>
      </c>
      <c r="AU68" s="31">
        <v>0</v>
      </c>
      <c r="AV68" s="31">
        <v>0</v>
      </c>
      <c r="AW68" s="31">
        <v>0</v>
      </c>
      <c r="AX68" s="31">
        <v>0</v>
      </c>
      <c r="AY68" s="31">
        <v>0</v>
      </c>
      <c r="AZ68" s="31">
        <v>0</v>
      </c>
      <c r="BA68" s="31">
        <v>0</v>
      </c>
      <c r="BB68" s="31">
        <v>311101</v>
      </c>
      <c r="BC68" s="33" t="s">
        <v>25</v>
      </c>
      <c r="BD68" s="47">
        <v>49260</v>
      </c>
      <c r="BE68" s="47">
        <v>50858</v>
      </c>
      <c r="BF68" s="45">
        <f t="shared" ref="BF68:BF131" si="39">BE68/C68</f>
        <v>1.9053649033418252</v>
      </c>
      <c r="BG68" s="30">
        <v>3904</v>
      </c>
      <c r="BH68" s="30">
        <v>3953</v>
      </c>
      <c r="BI68" s="30">
        <v>4982</v>
      </c>
      <c r="BJ68" s="30">
        <v>6487</v>
      </c>
      <c r="BK68" s="30">
        <v>6617</v>
      </c>
      <c r="BL68" s="30">
        <v>77</v>
      </c>
      <c r="BM68" s="30">
        <v>4559</v>
      </c>
      <c r="BN68" s="30">
        <v>4</v>
      </c>
      <c r="BO68" s="30">
        <v>51</v>
      </c>
      <c r="BP68" s="30">
        <v>0</v>
      </c>
      <c r="BQ68" s="30">
        <v>55</v>
      </c>
      <c r="BR68" s="47">
        <v>59651</v>
      </c>
      <c r="BS68" s="47">
        <v>71050</v>
      </c>
      <c r="BT68" s="1">
        <f t="shared" ref="BT68:BT131" si="40">BS68/C68</f>
        <v>2.6618462460662369</v>
      </c>
      <c r="BU68" s="30">
        <v>68</v>
      </c>
      <c r="BV68" s="30">
        <v>13</v>
      </c>
      <c r="BW68" s="47">
        <v>8535</v>
      </c>
      <c r="BX68" s="52">
        <f t="shared" ref="BX68:BX131" si="41">BW68/C68</f>
        <v>0.31975872920725312</v>
      </c>
      <c r="BY68" s="47">
        <v>129107</v>
      </c>
      <c r="BZ68" s="47">
        <v>1199</v>
      </c>
      <c r="CA68" s="47">
        <v>144003</v>
      </c>
      <c r="CB68" s="47">
        <v>24614</v>
      </c>
      <c r="CC68" s="47">
        <v>298923</v>
      </c>
      <c r="CD68" s="55">
        <f t="shared" ref="CD68:CD131" si="42">CC68/C68</f>
        <v>11.198973475198562</v>
      </c>
      <c r="CE68" s="3">
        <f t="shared" ref="CE68:CE131" si="43">CC68/DB68</f>
        <v>35375.502958579884</v>
      </c>
      <c r="CF68" s="55">
        <f t="shared" ref="CF68:CF131" si="44">CC68/DX68</f>
        <v>105.55190677966101</v>
      </c>
      <c r="CG68" s="55">
        <f t="shared" ref="CG68:CG131" si="45">CC68/CR68</f>
        <v>2.201897508047467</v>
      </c>
      <c r="CH68" s="55">
        <f t="shared" ref="CH68:CH131" si="46">(BY68+CA68)/BS68</f>
        <v>3.8439127375087967</v>
      </c>
      <c r="CI68" s="30">
        <v>219</v>
      </c>
      <c r="CJ68" s="30">
        <v>10</v>
      </c>
      <c r="CK68" s="30">
        <v>325</v>
      </c>
      <c r="CL68" s="30">
        <v>554</v>
      </c>
      <c r="CM68" s="30">
        <v>8418</v>
      </c>
      <c r="CN68" s="30">
        <v>126</v>
      </c>
      <c r="CO68" s="30">
        <v>5940</v>
      </c>
      <c r="CP68" s="30">
        <v>14484</v>
      </c>
      <c r="CQ68" s="1">
        <f t="shared" si="27"/>
        <v>0.54263449722763379</v>
      </c>
      <c r="CR68" s="47">
        <v>135757</v>
      </c>
      <c r="CS68" s="55">
        <f t="shared" ref="CS68:CS131" si="47">CR68/C68</f>
        <v>5.0860557470403114</v>
      </c>
      <c r="CT68" s="59">
        <v>13998</v>
      </c>
      <c r="CU68" s="29" t="s">
        <v>25</v>
      </c>
      <c r="CV68" s="29" t="s">
        <v>25</v>
      </c>
      <c r="CW68" s="29" t="s">
        <v>25</v>
      </c>
      <c r="CX68" s="35">
        <v>3</v>
      </c>
      <c r="CY68" s="49">
        <f>C68/CX68</f>
        <v>8897.3333333333339</v>
      </c>
      <c r="CZ68" s="35">
        <v>0</v>
      </c>
      <c r="DA68" s="35">
        <v>5.45</v>
      </c>
      <c r="DB68" s="35">
        <v>8.4499999999999993</v>
      </c>
      <c r="DC68" s="49">
        <f t="shared" ref="DC68:DC131" si="48">C68/DB68</f>
        <v>3158.8165680473376</v>
      </c>
      <c r="DD68" s="30">
        <v>12796</v>
      </c>
      <c r="DE68" s="31">
        <v>53375</v>
      </c>
      <c r="DF68" s="35">
        <v>40</v>
      </c>
      <c r="DG68" s="29" t="s">
        <v>25</v>
      </c>
      <c r="DH68" s="29" t="s">
        <v>25</v>
      </c>
      <c r="DI68" s="29" t="s">
        <v>25</v>
      </c>
      <c r="DJ68" s="47">
        <v>415</v>
      </c>
      <c r="DK68" s="47">
        <v>83</v>
      </c>
      <c r="DL68" s="47">
        <v>31</v>
      </c>
      <c r="DM68" s="47">
        <v>17297</v>
      </c>
      <c r="DN68" s="47">
        <v>8685</v>
      </c>
      <c r="DO68" s="47">
        <v>8768</v>
      </c>
      <c r="DP68" s="29" t="s">
        <v>25</v>
      </c>
      <c r="DQ68" s="47">
        <v>150830</v>
      </c>
      <c r="DR68" s="47">
        <v>2832</v>
      </c>
      <c r="DS68" s="30">
        <v>52</v>
      </c>
      <c r="DT68" s="30">
        <v>56</v>
      </c>
      <c r="DU68" s="30">
        <v>56</v>
      </c>
      <c r="DV68" s="30">
        <v>56</v>
      </c>
      <c r="DX68" s="2">
        <f t="shared" ref="DX68:DX131" si="49">DR68+DW68</f>
        <v>2832</v>
      </c>
      <c r="DY68" s="33" t="s">
        <v>2187</v>
      </c>
      <c r="DZ68" s="33" t="s">
        <v>1495</v>
      </c>
      <c r="EA68" s="33" t="s">
        <v>2033</v>
      </c>
      <c r="EB68" s="33" t="s">
        <v>2027</v>
      </c>
      <c r="EC68" s="36">
        <v>478</v>
      </c>
      <c r="ED68" s="29" t="s">
        <v>1494</v>
      </c>
      <c r="EE68" s="29" t="s">
        <v>259</v>
      </c>
      <c r="EF68" s="37">
        <v>41456</v>
      </c>
      <c r="EG68" s="37">
        <v>41820</v>
      </c>
      <c r="EH68" s="29" t="s">
        <v>1494</v>
      </c>
      <c r="EI68" s="55">
        <f t="shared" ref="EI68:EI131" si="50">BY68/C68</f>
        <v>4.8369174284429794</v>
      </c>
      <c r="EJ68" s="54">
        <f t="shared" ref="EJ68:EJ131" si="51">BZ68/C68</f>
        <v>4.4919826165143117E-2</v>
      </c>
      <c r="EK68" s="55">
        <f t="shared" ref="EK68:EK131" si="52">CA68/C68</f>
        <v>5.3949872621010044</v>
      </c>
      <c r="EL68" s="54">
        <f t="shared" ref="EL68:EL131" si="53">CB68/C68</f>
        <v>0.92214895848943501</v>
      </c>
    </row>
    <row r="69" spans="1:142" ht="28.8" x14ac:dyDescent="0.3">
      <c r="A69" s="29" t="s">
        <v>1380</v>
      </c>
      <c r="B69" s="29"/>
      <c r="C69" s="30">
        <v>9507</v>
      </c>
      <c r="D69" s="30">
        <v>0</v>
      </c>
      <c r="E69" s="30">
        <v>0</v>
      </c>
      <c r="F69" s="30">
        <v>7500</v>
      </c>
      <c r="H69" s="2">
        <f t="shared" si="29"/>
        <v>7500</v>
      </c>
      <c r="I69" s="1">
        <f t="shared" si="28"/>
        <v>0.78889239507731146</v>
      </c>
      <c r="J69" s="31">
        <v>13448</v>
      </c>
      <c r="K69" s="31">
        <v>1102</v>
      </c>
      <c r="L69" s="31">
        <v>14550</v>
      </c>
      <c r="M69" s="45">
        <f t="shared" si="30"/>
        <v>1.5304512464499842</v>
      </c>
      <c r="N69" s="31">
        <v>2126</v>
      </c>
      <c r="O69" s="31">
        <v>0</v>
      </c>
      <c r="P69" s="31">
        <v>1210</v>
      </c>
      <c r="Q69" s="31">
        <v>3336</v>
      </c>
      <c r="R69" s="45">
        <f t="shared" si="31"/>
        <v>0.35089933733038814</v>
      </c>
      <c r="S69" s="31">
        <v>12568</v>
      </c>
      <c r="T69" s="31">
        <v>30454</v>
      </c>
      <c r="U69" s="31">
        <v>0</v>
      </c>
      <c r="V69" s="31">
        <v>30454</v>
      </c>
      <c r="W69" s="45">
        <f t="shared" si="32"/>
        <v>3.2033238666245922</v>
      </c>
      <c r="X69" s="4">
        <f t="shared" si="33"/>
        <v>0.47776975110001968</v>
      </c>
      <c r="Y69" s="4">
        <f t="shared" si="34"/>
        <v>0.10954226045839627</v>
      </c>
      <c r="Z69" s="4">
        <f t="shared" si="35"/>
        <v>0.41268798844158405</v>
      </c>
      <c r="AA69" s="4">
        <f t="shared" si="36"/>
        <v>0</v>
      </c>
      <c r="AB69" s="31">
        <v>26181</v>
      </c>
      <c r="AC69" s="31">
        <v>2126</v>
      </c>
      <c r="AD69" s="31">
        <v>29244</v>
      </c>
      <c r="AE69" s="31">
        <v>11600</v>
      </c>
      <c r="AF69" s="31">
        <v>0</v>
      </c>
      <c r="AG69" s="31">
        <v>3600</v>
      </c>
      <c r="AH69" s="31">
        <v>8000</v>
      </c>
      <c r="AI69" s="31">
        <v>11600</v>
      </c>
      <c r="AJ69" s="45">
        <f t="shared" si="37"/>
        <v>1.2201535710529083</v>
      </c>
      <c r="AK69" s="31">
        <v>0</v>
      </c>
      <c r="AL69" s="31">
        <v>0</v>
      </c>
      <c r="AM69" s="31">
        <v>0</v>
      </c>
      <c r="AN69" s="31">
        <v>0</v>
      </c>
      <c r="AO69" s="31">
        <v>2350</v>
      </c>
      <c r="AP69" s="31">
        <v>15451</v>
      </c>
      <c r="AQ69" s="31">
        <v>17801</v>
      </c>
      <c r="AR69" s="31">
        <v>29401</v>
      </c>
      <c r="AS69" s="46">
        <f t="shared" si="38"/>
        <v>3.0925633743557377</v>
      </c>
      <c r="AT69" s="31">
        <v>0</v>
      </c>
      <c r="AU69" s="31">
        <v>0</v>
      </c>
      <c r="AV69" s="31">
        <v>0</v>
      </c>
      <c r="AW69" s="31">
        <v>0</v>
      </c>
      <c r="AX69" s="31">
        <v>0</v>
      </c>
      <c r="AY69" s="31">
        <v>0</v>
      </c>
      <c r="AZ69" s="31">
        <v>0</v>
      </c>
      <c r="BA69" s="31">
        <v>0</v>
      </c>
      <c r="BB69" s="31">
        <v>0</v>
      </c>
      <c r="BC69" s="33" t="s">
        <v>25</v>
      </c>
      <c r="BD69" s="47">
        <v>21250</v>
      </c>
      <c r="BE69" s="47">
        <v>22363</v>
      </c>
      <c r="BF69" s="45">
        <f t="shared" si="39"/>
        <v>2.3522667508151889</v>
      </c>
      <c r="BG69" s="30">
        <v>502</v>
      </c>
      <c r="BH69" s="30">
        <v>502</v>
      </c>
      <c r="BI69" s="30">
        <v>0</v>
      </c>
      <c r="BJ69" s="30">
        <v>1709</v>
      </c>
      <c r="BK69" s="30">
        <v>1717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 s="47">
        <v>23461</v>
      </c>
      <c r="BS69" s="47">
        <v>24582</v>
      </c>
      <c r="BT69" s="1">
        <f t="shared" si="40"/>
        <v>2.585673714105396</v>
      </c>
      <c r="BU69" s="30">
        <v>17</v>
      </c>
      <c r="BV69" s="30">
        <v>0</v>
      </c>
      <c r="BW69" s="47">
        <v>195</v>
      </c>
      <c r="BX69" s="52">
        <f t="shared" si="41"/>
        <v>2.0511202272010098E-2</v>
      </c>
      <c r="BY69" s="47">
        <v>2939</v>
      </c>
      <c r="BZ69" s="47">
        <v>0</v>
      </c>
      <c r="CA69" s="47">
        <v>7483</v>
      </c>
      <c r="CB69" s="47">
        <v>0</v>
      </c>
      <c r="CC69" s="47">
        <v>10422</v>
      </c>
      <c r="CD69" s="55">
        <f t="shared" si="42"/>
        <v>1.096244872199432</v>
      </c>
      <c r="CE69" s="3">
        <f t="shared" si="43"/>
        <v>10689.23076923077</v>
      </c>
      <c r="CF69" s="55">
        <f t="shared" si="44"/>
        <v>7.1875862068965519</v>
      </c>
      <c r="CG69" s="55">
        <f t="shared" si="45"/>
        <v>0.32711864406779662</v>
      </c>
      <c r="CH69" s="55">
        <f t="shared" si="46"/>
        <v>0.42396875762753233</v>
      </c>
      <c r="CI69" s="30">
        <v>43</v>
      </c>
      <c r="CJ69" s="30">
        <v>0</v>
      </c>
      <c r="CK69" s="30">
        <v>0</v>
      </c>
      <c r="CL69" s="30">
        <v>43</v>
      </c>
      <c r="CM69" s="30">
        <v>1202</v>
      </c>
      <c r="CN69" s="30">
        <v>0</v>
      </c>
      <c r="CO69" s="30">
        <v>0</v>
      </c>
      <c r="CP69" s="30">
        <v>1202</v>
      </c>
      <c r="CQ69" s="1">
        <f t="shared" ref="CQ69:CQ132" si="54">CP69/C69</f>
        <v>0.12643315451772377</v>
      </c>
      <c r="CR69" s="47">
        <v>31860</v>
      </c>
      <c r="CS69" s="55">
        <f t="shared" si="47"/>
        <v>3.351214894288419</v>
      </c>
      <c r="CT69" s="59">
        <v>3777</v>
      </c>
      <c r="CU69" s="29" t="s">
        <v>25</v>
      </c>
      <c r="CV69" s="29" t="s">
        <v>25</v>
      </c>
      <c r="CW69" s="29" t="s">
        <v>25</v>
      </c>
      <c r="CX69" s="35">
        <v>0</v>
      </c>
      <c r="CY69" s="49">
        <v>0</v>
      </c>
      <c r="CZ69" s="35">
        <v>0.97499999999999998</v>
      </c>
      <c r="DA69" s="35">
        <v>0</v>
      </c>
      <c r="DB69" s="35">
        <v>0.97499999999999998</v>
      </c>
      <c r="DC69" s="49">
        <f t="shared" si="48"/>
        <v>9750.7692307692305</v>
      </c>
      <c r="DD69" s="30">
        <v>2147</v>
      </c>
      <c r="DE69" s="31">
        <v>14400</v>
      </c>
      <c r="DF69" s="35">
        <v>39</v>
      </c>
      <c r="DG69" s="29" t="s">
        <v>25</v>
      </c>
      <c r="DH69" s="29" t="s">
        <v>25</v>
      </c>
      <c r="DI69" s="29" t="s">
        <v>25</v>
      </c>
      <c r="DJ69" s="47">
        <v>0</v>
      </c>
      <c r="DK69" s="47">
        <v>0</v>
      </c>
      <c r="DL69" s="47">
        <v>6</v>
      </c>
      <c r="DM69" s="47">
        <v>3349</v>
      </c>
      <c r="DN69" s="47">
        <v>25</v>
      </c>
      <c r="DO69" s="47">
        <v>156</v>
      </c>
      <c r="DP69" s="29" t="s">
        <v>2028</v>
      </c>
      <c r="DQ69" s="47">
        <v>0</v>
      </c>
      <c r="DR69" s="47">
        <v>1450</v>
      </c>
      <c r="DS69" s="30">
        <v>52</v>
      </c>
      <c r="DT69" s="30">
        <v>35</v>
      </c>
      <c r="DU69" s="30">
        <v>35</v>
      </c>
      <c r="DV69" s="30">
        <v>35</v>
      </c>
      <c r="DX69" s="2">
        <f t="shared" si="49"/>
        <v>1450</v>
      </c>
      <c r="DY69" s="33" t="s">
        <v>2185</v>
      </c>
      <c r="DZ69" s="33" t="s">
        <v>1382</v>
      </c>
      <c r="EA69" s="33" t="s">
        <v>2032</v>
      </c>
      <c r="EB69" s="33" t="s">
        <v>2026</v>
      </c>
      <c r="EC69" s="36">
        <v>425</v>
      </c>
      <c r="ED69" s="29" t="s">
        <v>1381</v>
      </c>
      <c r="EE69" s="29" t="s">
        <v>717</v>
      </c>
      <c r="EF69" s="37">
        <v>41640</v>
      </c>
      <c r="EG69" s="37">
        <v>42004</v>
      </c>
      <c r="EH69" s="29" t="s">
        <v>1381</v>
      </c>
      <c r="EI69" s="55">
        <f t="shared" si="50"/>
        <v>0.30914063321762913</v>
      </c>
      <c r="EJ69" s="54">
        <f t="shared" si="51"/>
        <v>0</v>
      </c>
      <c r="EK69" s="55">
        <f t="shared" si="52"/>
        <v>0.78710423898180293</v>
      </c>
      <c r="EL69" s="54">
        <f t="shared" si="53"/>
        <v>0</v>
      </c>
    </row>
    <row r="70" spans="1:142" ht="28.8" x14ac:dyDescent="0.3">
      <c r="A70" s="29" t="s">
        <v>230</v>
      </c>
      <c r="B70" s="29"/>
      <c r="C70" s="30">
        <v>10992</v>
      </c>
      <c r="D70" s="30">
        <v>0</v>
      </c>
      <c r="E70" s="30">
        <v>0</v>
      </c>
      <c r="F70" s="30">
        <v>5950</v>
      </c>
      <c r="H70" s="2">
        <f t="shared" si="29"/>
        <v>5950</v>
      </c>
      <c r="I70" s="1">
        <f t="shared" si="28"/>
        <v>0.54130276564774382</v>
      </c>
      <c r="J70" s="31">
        <v>69579</v>
      </c>
      <c r="K70" s="31">
        <v>27847</v>
      </c>
      <c r="L70" s="31">
        <v>97426</v>
      </c>
      <c r="M70" s="45">
        <f t="shared" si="30"/>
        <v>8.8633551673944684</v>
      </c>
      <c r="N70" s="31">
        <v>20204</v>
      </c>
      <c r="O70" s="31">
        <v>0</v>
      </c>
      <c r="P70" s="31">
        <v>3552</v>
      </c>
      <c r="Q70" s="31">
        <v>23756</v>
      </c>
      <c r="R70" s="45">
        <f t="shared" si="31"/>
        <v>2.1612081513828238</v>
      </c>
      <c r="S70" s="31">
        <v>25282</v>
      </c>
      <c r="T70" s="31">
        <v>146464</v>
      </c>
      <c r="U70" s="31">
        <v>0</v>
      </c>
      <c r="V70" s="31">
        <v>146464</v>
      </c>
      <c r="W70" s="45">
        <f t="shared" si="32"/>
        <v>13.324599708879186</v>
      </c>
      <c r="X70" s="4">
        <f t="shared" si="33"/>
        <v>0.66518734979244043</v>
      </c>
      <c r="Y70" s="4">
        <f t="shared" si="34"/>
        <v>0.16219685383438934</v>
      </c>
      <c r="Z70" s="4">
        <f t="shared" si="35"/>
        <v>0.1726157963731702</v>
      </c>
      <c r="AA70" s="4">
        <f t="shared" si="36"/>
        <v>0</v>
      </c>
      <c r="AB70" s="31">
        <v>0</v>
      </c>
      <c r="AC70" s="31">
        <v>23756</v>
      </c>
      <c r="AD70" s="31">
        <v>146464</v>
      </c>
      <c r="AE70" s="31">
        <v>146464</v>
      </c>
      <c r="AF70" s="31">
        <v>146464</v>
      </c>
      <c r="AG70" s="31">
        <v>0</v>
      </c>
      <c r="AH70" s="31">
        <v>0</v>
      </c>
      <c r="AI70" s="31">
        <v>146464</v>
      </c>
      <c r="AJ70" s="45">
        <f t="shared" si="37"/>
        <v>13.324599708879186</v>
      </c>
      <c r="AK70" s="31"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0</v>
      </c>
      <c r="AQ70" s="31">
        <v>0</v>
      </c>
      <c r="AR70" s="31">
        <v>146464</v>
      </c>
      <c r="AS70" s="46">
        <f t="shared" si="38"/>
        <v>13.324599708879186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0</v>
      </c>
      <c r="BB70" s="31">
        <v>0</v>
      </c>
      <c r="BC70" s="33" t="s">
        <v>25</v>
      </c>
      <c r="BD70" s="47">
        <v>32121</v>
      </c>
      <c r="BE70" s="47">
        <v>32121</v>
      </c>
      <c r="BF70" s="45">
        <f t="shared" si="39"/>
        <v>2.9222161572052401</v>
      </c>
      <c r="BG70" s="30">
        <v>1770</v>
      </c>
      <c r="BH70" s="30">
        <v>1770</v>
      </c>
      <c r="BI70" s="30">
        <v>0</v>
      </c>
      <c r="BJ70" s="30">
        <v>2188</v>
      </c>
      <c r="BK70" s="30">
        <v>2188</v>
      </c>
      <c r="BL70" s="30">
        <v>0</v>
      </c>
      <c r="BM70" s="30">
        <v>680</v>
      </c>
      <c r="BN70" s="30">
        <v>0</v>
      </c>
      <c r="BO70" s="30">
        <v>51</v>
      </c>
      <c r="BP70" s="30">
        <v>0</v>
      </c>
      <c r="BQ70" s="30">
        <v>51</v>
      </c>
      <c r="BR70" s="47">
        <v>36079</v>
      </c>
      <c r="BS70" s="47">
        <v>36759</v>
      </c>
      <c r="BT70" s="1">
        <f t="shared" si="40"/>
        <v>3.3441593886462884</v>
      </c>
      <c r="BU70" s="30">
        <v>15</v>
      </c>
      <c r="BV70" s="30">
        <v>0</v>
      </c>
      <c r="BW70" s="47">
        <v>7726</v>
      </c>
      <c r="BX70" s="52">
        <f t="shared" si="41"/>
        <v>0.70287481804949059</v>
      </c>
      <c r="BY70" s="47">
        <v>12355</v>
      </c>
      <c r="BZ70" s="47">
        <v>18</v>
      </c>
      <c r="CA70" s="47">
        <v>30877</v>
      </c>
      <c r="CB70" s="47">
        <v>295</v>
      </c>
      <c r="CC70" s="47">
        <v>43545</v>
      </c>
      <c r="CD70" s="55">
        <f t="shared" si="42"/>
        <v>3.9615174672489082</v>
      </c>
      <c r="CE70" s="3">
        <f t="shared" si="43"/>
        <v>15979.816513761467</v>
      </c>
      <c r="CF70" s="55">
        <f t="shared" si="44"/>
        <v>21.610421836228287</v>
      </c>
      <c r="CG70" s="55">
        <f t="shared" si="45"/>
        <v>1.2000165348471905</v>
      </c>
      <c r="CH70" s="55">
        <f t="shared" si="46"/>
        <v>1.1760929296226774</v>
      </c>
      <c r="CI70" s="30">
        <v>239</v>
      </c>
      <c r="CJ70" s="30">
        <v>9</v>
      </c>
      <c r="CK70" s="30">
        <v>30</v>
      </c>
      <c r="CL70" s="30">
        <v>278</v>
      </c>
      <c r="CM70" s="30">
        <v>2370</v>
      </c>
      <c r="CN70" s="30">
        <v>101</v>
      </c>
      <c r="CO70" s="30">
        <v>237</v>
      </c>
      <c r="CP70" s="30">
        <v>2708</v>
      </c>
      <c r="CQ70" s="1">
        <f t="shared" si="54"/>
        <v>0.24636098981077148</v>
      </c>
      <c r="CR70" s="47">
        <v>36287</v>
      </c>
      <c r="CS70" s="55">
        <f t="shared" si="47"/>
        <v>3.3012190684133915</v>
      </c>
      <c r="CT70" s="59">
        <v>10052</v>
      </c>
      <c r="CU70" s="29" t="s">
        <v>25</v>
      </c>
      <c r="CV70" s="29" t="s">
        <v>25</v>
      </c>
      <c r="CW70" s="29" t="s">
        <v>25</v>
      </c>
      <c r="CX70" s="35">
        <v>0</v>
      </c>
      <c r="CY70" s="49">
        <v>0</v>
      </c>
      <c r="CZ70" s="35">
        <v>2</v>
      </c>
      <c r="DA70" s="35">
        <v>0.72499999999999998</v>
      </c>
      <c r="DB70" s="35">
        <v>2.7250000000000001</v>
      </c>
      <c r="DC70" s="49">
        <f t="shared" si="48"/>
        <v>4033.7614678899081</v>
      </c>
      <c r="DD70" s="30">
        <v>117</v>
      </c>
      <c r="DE70" s="31">
        <v>30000</v>
      </c>
      <c r="DF70" s="35">
        <v>40</v>
      </c>
      <c r="DG70" s="29" t="s">
        <v>25</v>
      </c>
      <c r="DH70" s="29" t="s">
        <v>25</v>
      </c>
      <c r="DI70" s="29" t="s">
        <v>25</v>
      </c>
      <c r="DJ70" s="47">
        <v>287</v>
      </c>
      <c r="DK70" s="47">
        <v>58</v>
      </c>
      <c r="DL70" s="47">
        <v>10</v>
      </c>
      <c r="DM70" s="47">
        <v>4202</v>
      </c>
      <c r="DN70" s="47">
        <v>181</v>
      </c>
      <c r="DO70" s="47">
        <v>309</v>
      </c>
      <c r="DP70" s="29" t="s">
        <v>25</v>
      </c>
      <c r="DQ70" s="47">
        <v>5681</v>
      </c>
      <c r="DR70" s="47">
        <v>2015</v>
      </c>
      <c r="DS70" s="30">
        <v>52</v>
      </c>
      <c r="DT70" s="30">
        <v>40</v>
      </c>
      <c r="DU70" s="30">
        <v>40</v>
      </c>
      <c r="DV70" s="30">
        <v>40</v>
      </c>
      <c r="DX70" s="2">
        <f t="shared" si="49"/>
        <v>2015</v>
      </c>
      <c r="DY70" s="33" t="s">
        <v>2181</v>
      </c>
      <c r="DZ70" s="33" t="s">
        <v>233</v>
      </c>
      <c r="EA70" s="33" t="s">
        <v>2030</v>
      </c>
      <c r="EB70" s="33" t="s">
        <v>2027</v>
      </c>
      <c r="EC70" s="36">
        <v>54</v>
      </c>
      <c r="ED70" s="29" t="s">
        <v>231</v>
      </c>
      <c r="EE70" s="29" t="s">
        <v>232</v>
      </c>
      <c r="EF70" s="37">
        <v>41548</v>
      </c>
      <c r="EG70" s="37">
        <v>41912</v>
      </c>
      <c r="EH70" s="29" t="s">
        <v>231</v>
      </c>
      <c r="EI70" s="55">
        <f t="shared" si="50"/>
        <v>1.1239992721979621</v>
      </c>
      <c r="EJ70" s="54">
        <f t="shared" si="51"/>
        <v>1.6375545851528383E-3</v>
      </c>
      <c r="EK70" s="55">
        <f t="shared" si="52"/>
        <v>2.8090429403202331</v>
      </c>
      <c r="EL70" s="54">
        <f t="shared" si="53"/>
        <v>2.6837700145560407E-2</v>
      </c>
    </row>
    <row r="71" spans="1:142" ht="28.8" x14ac:dyDescent="0.3">
      <c r="A71" s="29" t="s">
        <v>234</v>
      </c>
      <c r="B71" s="29"/>
      <c r="C71" s="30">
        <v>40714</v>
      </c>
      <c r="D71" s="30">
        <v>0</v>
      </c>
      <c r="E71" s="30">
        <v>0</v>
      </c>
      <c r="F71" s="30">
        <v>17000</v>
      </c>
      <c r="H71" s="2">
        <f t="shared" si="29"/>
        <v>17000</v>
      </c>
      <c r="I71" s="1">
        <f t="shared" si="28"/>
        <v>0.41754678980203369</v>
      </c>
      <c r="J71" s="31">
        <v>456311</v>
      </c>
      <c r="K71" s="31">
        <v>137305</v>
      </c>
      <c r="L71" s="31">
        <v>593616</v>
      </c>
      <c r="M71" s="45">
        <f t="shared" si="30"/>
        <v>14.58014442206612</v>
      </c>
      <c r="N71" s="31">
        <v>86767</v>
      </c>
      <c r="O71" s="31">
        <v>14090</v>
      </c>
      <c r="P71" s="31">
        <v>12778</v>
      </c>
      <c r="Q71" s="31">
        <v>113635</v>
      </c>
      <c r="R71" s="45">
        <f t="shared" si="31"/>
        <v>2.7910546740678881</v>
      </c>
      <c r="S71" s="31">
        <v>108807</v>
      </c>
      <c r="T71" s="31">
        <v>816058</v>
      </c>
      <c r="U71" s="31">
        <v>0</v>
      </c>
      <c r="V71" s="31">
        <v>816058</v>
      </c>
      <c r="W71" s="45">
        <f t="shared" si="32"/>
        <v>20.043670481898118</v>
      </c>
      <c r="X71" s="4">
        <f t="shared" si="33"/>
        <v>0.72741888444203717</v>
      </c>
      <c r="Y71" s="4">
        <f t="shared" si="34"/>
        <v>0.13924868085356679</v>
      </c>
      <c r="Z71" s="4">
        <f t="shared" si="35"/>
        <v>0.13333243470439601</v>
      </c>
      <c r="AA71" s="4">
        <f t="shared" si="36"/>
        <v>0</v>
      </c>
      <c r="AB71" s="31">
        <v>104513</v>
      </c>
      <c r="AC71" s="31">
        <v>113635</v>
      </c>
      <c r="AD71" s="31">
        <v>816058</v>
      </c>
      <c r="AE71" s="31">
        <v>816058</v>
      </c>
      <c r="AF71" s="31">
        <v>816058</v>
      </c>
      <c r="AG71" s="31">
        <v>0</v>
      </c>
      <c r="AH71" s="31">
        <v>0</v>
      </c>
      <c r="AI71" s="31">
        <v>816058</v>
      </c>
      <c r="AJ71" s="45">
        <f t="shared" si="37"/>
        <v>20.043670481898118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53493</v>
      </c>
      <c r="AQ71" s="31">
        <v>53493</v>
      </c>
      <c r="AR71" s="31">
        <v>869551</v>
      </c>
      <c r="AS71" s="46">
        <f t="shared" si="38"/>
        <v>21.357542859949895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3" t="s">
        <v>25</v>
      </c>
      <c r="BD71" s="47">
        <v>52830</v>
      </c>
      <c r="BE71" s="47">
        <v>55279</v>
      </c>
      <c r="BF71" s="45">
        <f t="shared" si="39"/>
        <v>1.35773935255686</v>
      </c>
      <c r="BG71" s="30">
        <v>3579</v>
      </c>
      <c r="BH71" s="30">
        <v>3579</v>
      </c>
      <c r="BI71" s="30">
        <v>4747</v>
      </c>
      <c r="BJ71" s="30">
        <v>5465</v>
      </c>
      <c r="BK71" s="30">
        <v>5465</v>
      </c>
      <c r="BL71" s="30">
        <v>0</v>
      </c>
      <c r="BM71" s="30">
        <v>9167</v>
      </c>
      <c r="BN71" s="30">
        <v>11</v>
      </c>
      <c r="BO71" s="30">
        <v>51</v>
      </c>
      <c r="BP71" s="30">
        <v>1</v>
      </c>
      <c r="BQ71" s="30">
        <v>63</v>
      </c>
      <c r="BR71" s="47">
        <v>61874</v>
      </c>
      <c r="BS71" s="47">
        <v>78248</v>
      </c>
      <c r="BT71" s="1">
        <f t="shared" si="40"/>
        <v>1.9218941887311489</v>
      </c>
      <c r="BU71" s="30">
        <v>94</v>
      </c>
      <c r="BV71" s="30">
        <v>0</v>
      </c>
      <c r="BW71" s="47">
        <v>30481</v>
      </c>
      <c r="BX71" s="52">
        <f t="shared" si="41"/>
        <v>0.7486613941150464</v>
      </c>
      <c r="BY71" s="47">
        <v>106898</v>
      </c>
      <c r="BZ71" s="47">
        <v>0</v>
      </c>
      <c r="CA71" s="47">
        <v>219272</v>
      </c>
      <c r="CB71" s="47">
        <v>12385</v>
      </c>
      <c r="CC71" s="47">
        <v>338555</v>
      </c>
      <c r="CD71" s="55">
        <f t="shared" si="42"/>
        <v>8.3154443189075007</v>
      </c>
      <c r="CE71" s="3">
        <f t="shared" si="43"/>
        <v>34992.764857881135</v>
      </c>
      <c r="CF71" s="55">
        <f t="shared" si="44"/>
        <v>134.02810768012668</v>
      </c>
      <c r="CG71" s="55">
        <f t="shared" si="45"/>
        <v>2.6532107647215559</v>
      </c>
      <c r="CH71" s="55">
        <f t="shared" si="46"/>
        <v>4.1684132501789186</v>
      </c>
      <c r="CI71" s="30">
        <v>202</v>
      </c>
      <c r="CJ71" s="30">
        <v>179</v>
      </c>
      <c r="CK71" s="30">
        <v>181</v>
      </c>
      <c r="CL71" s="30">
        <v>562</v>
      </c>
      <c r="CM71" s="30">
        <v>5448</v>
      </c>
      <c r="CN71" s="30">
        <v>1522</v>
      </c>
      <c r="CO71" s="30">
        <v>3121</v>
      </c>
      <c r="CP71" s="30">
        <v>10091</v>
      </c>
      <c r="CQ71" s="1">
        <f t="shared" si="54"/>
        <v>0.24785086211131307</v>
      </c>
      <c r="CR71" s="47">
        <v>127602</v>
      </c>
      <c r="CS71" s="55">
        <f t="shared" si="47"/>
        <v>3.1341062042540648</v>
      </c>
      <c r="CT71" s="59">
        <v>22148</v>
      </c>
      <c r="CU71" s="29" t="s">
        <v>25</v>
      </c>
      <c r="CV71" s="29" t="s">
        <v>25</v>
      </c>
      <c r="CW71" s="29" t="s">
        <v>25</v>
      </c>
      <c r="CX71" s="35">
        <v>4.4749999999999996</v>
      </c>
      <c r="CY71" s="49">
        <f>C71/CX71</f>
        <v>9098.1005586592182</v>
      </c>
      <c r="CZ71" s="35">
        <v>0</v>
      </c>
      <c r="DA71" s="35">
        <v>5.2</v>
      </c>
      <c r="DB71" s="35">
        <v>9.6750000000000007</v>
      </c>
      <c r="DC71" s="49">
        <f t="shared" si="48"/>
        <v>4208.1653746770025</v>
      </c>
      <c r="DD71" s="30">
        <v>2350</v>
      </c>
      <c r="DE71" s="31">
        <v>94500</v>
      </c>
      <c r="DF71" s="35">
        <v>40</v>
      </c>
      <c r="DG71" s="29" t="s">
        <v>25</v>
      </c>
      <c r="DH71" s="29" t="s">
        <v>25</v>
      </c>
      <c r="DI71" s="29" t="s">
        <v>25</v>
      </c>
      <c r="DJ71" s="47">
        <v>43889</v>
      </c>
      <c r="DK71" s="47">
        <v>37002</v>
      </c>
      <c r="DL71" s="47">
        <v>23</v>
      </c>
      <c r="DM71" s="47">
        <v>16157</v>
      </c>
      <c r="DN71" s="47">
        <v>12862</v>
      </c>
      <c r="DO71" s="47">
        <v>0</v>
      </c>
      <c r="DP71" s="29" t="s">
        <v>25</v>
      </c>
      <c r="DQ71" s="47">
        <v>82082</v>
      </c>
      <c r="DR71" s="47">
        <v>2526</v>
      </c>
      <c r="DS71" s="30">
        <v>52</v>
      </c>
      <c r="DT71" s="30">
        <v>54</v>
      </c>
      <c r="DU71" s="30">
        <v>54</v>
      </c>
      <c r="DV71" s="30">
        <v>54</v>
      </c>
      <c r="DX71" s="2">
        <f t="shared" si="49"/>
        <v>2526</v>
      </c>
      <c r="DY71" s="33" t="s">
        <v>2181</v>
      </c>
      <c r="DZ71" s="33" t="s">
        <v>237</v>
      </c>
      <c r="EA71" s="33" t="s">
        <v>2030</v>
      </c>
      <c r="EB71" s="33" t="s">
        <v>2027</v>
      </c>
      <c r="EC71" s="36">
        <v>55</v>
      </c>
      <c r="ED71" s="29" t="s">
        <v>235</v>
      </c>
      <c r="EE71" s="29" t="s">
        <v>236</v>
      </c>
      <c r="EF71" s="37">
        <v>41548</v>
      </c>
      <c r="EG71" s="37">
        <v>41912</v>
      </c>
      <c r="EH71" s="29" t="s">
        <v>235</v>
      </c>
      <c r="EI71" s="55">
        <f t="shared" si="50"/>
        <v>2.6255833374269293</v>
      </c>
      <c r="EJ71" s="54">
        <f t="shared" si="51"/>
        <v>0</v>
      </c>
      <c r="EK71" s="55">
        <f t="shared" si="52"/>
        <v>5.3856658643218545</v>
      </c>
      <c r="EL71" s="54">
        <f t="shared" si="53"/>
        <v>0.30419511715871689</v>
      </c>
    </row>
    <row r="72" spans="1:142" ht="28.8" x14ac:dyDescent="0.3">
      <c r="A72" s="29" t="s">
        <v>238</v>
      </c>
      <c r="B72" s="29"/>
      <c r="C72" s="30">
        <v>43823</v>
      </c>
      <c r="D72" s="30">
        <v>4</v>
      </c>
      <c r="E72" s="30">
        <v>0</v>
      </c>
      <c r="F72" s="30">
        <v>10231</v>
      </c>
      <c r="G72">
        <v>34781</v>
      </c>
      <c r="H72" s="2">
        <f t="shared" si="29"/>
        <v>45012</v>
      </c>
      <c r="I72" s="1">
        <f t="shared" si="28"/>
        <v>1.027131871391735</v>
      </c>
      <c r="J72" s="31">
        <v>435859</v>
      </c>
      <c r="K72" s="31">
        <v>165232</v>
      </c>
      <c r="L72" s="31">
        <v>601091</v>
      </c>
      <c r="M72" s="45">
        <f t="shared" si="30"/>
        <v>13.716336170504073</v>
      </c>
      <c r="N72" s="31">
        <v>68425</v>
      </c>
      <c r="O72" s="31">
        <v>11517</v>
      </c>
      <c r="P72" s="31">
        <v>33447</v>
      </c>
      <c r="Q72" s="31">
        <v>113389</v>
      </c>
      <c r="R72" s="45">
        <f t="shared" si="31"/>
        <v>2.5874312575588161</v>
      </c>
      <c r="S72" s="31">
        <v>164952</v>
      </c>
      <c r="T72" s="31">
        <v>879432</v>
      </c>
      <c r="U72" s="31">
        <v>0</v>
      </c>
      <c r="V72" s="31">
        <v>879432</v>
      </c>
      <c r="W72" s="45">
        <f t="shared" si="32"/>
        <v>20.06781826894553</v>
      </c>
      <c r="X72" s="4">
        <f t="shared" si="33"/>
        <v>0.68349912216066733</v>
      </c>
      <c r="Y72" s="4">
        <f t="shared" si="34"/>
        <v>0.12893435763083444</v>
      </c>
      <c r="Z72" s="4">
        <f t="shared" si="35"/>
        <v>0.18756652020849821</v>
      </c>
      <c r="AA72" s="4">
        <f t="shared" si="36"/>
        <v>0</v>
      </c>
      <c r="AB72" s="31">
        <v>34783</v>
      </c>
      <c r="AC72" s="31">
        <v>113389</v>
      </c>
      <c r="AD72" s="31">
        <v>879432</v>
      </c>
      <c r="AE72" s="31">
        <v>704194</v>
      </c>
      <c r="AF72" s="31">
        <v>8400</v>
      </c>
      <c r="AG72" s="31">
        <v>773044</v>
      </c>
      <c r="AH72" s="31">
        <v>0</v>
      </c>
      <c r="AI72" s="31">
        <v>781444</v>
      </c>
      <c r="AJ72" s="45">
        <f t="shared" si="37"/>
        <v>17.831823471692946</v>
      </c>
      <c r="AK72" s="31">
        <v>0</v>
      </c>
      <c r="AL72" s="31">
        <v>0</v>
      </c>
      <c r="AM72" s="31">
        <v>0</v>
      </c>
      <c r="AN72" s="31">
        <v>0</v>
      </c>
      <c r="AO72" s="31">
        <v>58748</v>
      </c>
      <c r="AP72" s="31">
        <v>195848</v>
      </c>
      <c r="AQ72" s="31">
        <v>254596</v>
      </c>
      <c r="AR72" s="31">
        <v>1036040</v>
      </c>
      <c r="AS72" s="46">
        <f t="shared" si="38"/>
        <v>23.641466809666156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50000</v>
      </c>
      <c r="BA72" s="31">
        <v>34783</v>
      </c>
      <c r="BB72" s="31">
        <v>84783</v>
      </c>
      <c r="BC72" s="33" t="s">
        <v>25</v>
      </c>
      <c r="BD72" s="47">
        <v>79206</v>
      </c>
      <c r="BE72" s="47">
        <v>82936</v>
      </c>
      <c r="BF72" s="45">
        <f t="shared" si="39"/>
        <v>1.8925221915432535</v>
      </c>
      <c r="BG72" s="30">
        <v>10532</v>
      </c>
      <c r="BH72" s="30">
        <v>10566</v>
      </c>
      <c r="BI72" s="30">
        <v>4727</v>
      </c>
      <c r="BJ72" s="30">
        <v>7795</v>
      </c>
      <c r="BK72" s="30">
        <v>8046</v>
      </c>
      <c r="BL72" s="30">
        <v>0</v>
      </c>
      <c r="BM72" s="30">
        <v>1004</v>
      </c>
      <c r="BN72" s="30">
        <v>0</v>
      </c>
      <c r="BO72" s="30">
        <v>51</v>
      </c>
      <c r="BP72" s="30">
        <v>3</v>
      </c>
      <c r="BQ72" s="30">
        <v>54</v>
      </c>
      <c r="BR72" s="47">
        <v>97533</v>
      </c>
      <c r="BS72" s="47">
        <v>107279</v>
      </c>
      <c r="BT72" s="1">
        <f t="shared" si="40"/>
        <v>2.4480067544440134</v>
      </c>
      <c r="BU72" s="30">
        <v>88</v>
      </c>
      <c r="BV72" s="30">
        <v>3</v>
      </c>
      <c r="BW72" s="47">
        <v>31500</v>
      </c>
      <c r="BX72" s="52">
        <f t="shared" si="41"/>
        <v>0.71880062980626613</v>
      </c>
      <c r="BY72" s="47">
        <v>77739</v>
      </c>
      <c r="BZ72" s="47">
        <v>193</v>
      </c>
      <c r="CA72" s="47">
        <v>165681</v>
      </c>
      <c r="CB72" s="47">
        <v>4954</v>
      </c>
      <c r="CC72" s="47">
        <v>248567</v>
      </c>
      <c r="CD72" s="55">
        <f t="shared" si="42"/>
        <v>5.6720671793350528</v>
      </c>
      <c r="CE72" s="3">
        <f t="shared" si="43"/>
        <v>19362.570593962999</v>
      </c>
      <c r="CF72" s="55">
        <f t="shared" si="44"/>
        <v>28.188591517350872</v>
      </c>
      <c r="CG72" s="55">
        <f t="shared" si="45"/>
        <v>1.0211445238682113</v>
      </c>
      <c r="CH72" s="55">
        <f t="shared" si="46"/>
        <v>2.2690368105593826</v>
      </c>
      <c r="CI72" s="30">
        <v>367</v>
      </c>
      <c r="CJ72" s="30">
        <v>0</v>
      </c>
      <c r="CK72" s="30">
        <v>101</v>
      </c>
      <c r="CL72" s="30">
        <v>468</v>
      </c>
      <c r="CM72" s="30">
        <v>15103</v>
      </c>
      <c r="CN72" s="30">
        <v>0</v>
      </c>
      <c r="CO72" s="30">
        <v>2240</v>
      </c>
      <c r="CP72" s="30">
        <v>17343</v>
      </c>
      <c r="CQ72" s="1">
        <f t="shared" si="54"/>
        <v>0.3957510896104785</v>
      </c>
      <c r="CR72" s="47">
        <v>243420</v>
      </c>
      <c r="CS72" s="55">
        <f t="shared" si="47"/>
        <v>5.5546174383314701</v>
      </c>
      <c r="CT72" s="59">
        <v>13308</v>
      </c>
      <c r="CU72" s="29" t="s">
        <v>25</v>
      </c>
      <c r="CV72" s="29" t="s">
        <v>25</v>
      </c>
      <c r="CW72" s="29" t="s">
        <v>25</v>
      </c>
      <c r="CX72" s="35">
        <v>2</v>
      </c>
      <c r="CY72" s="49">
        <f>C72/CX72</f>
        <v>21911.5</v>
      </c>
      <c r="CZ72" s="35">
        <v>3</v>
      </c>
      <c r="DA72" s="35">
        <v>7.8375000000000004</v>
      </c>
      <c r="DB72" s="35">
        <v>12.8375</v>
      </c>
      <c r="DC72" s="49">
        <f t="shared" si="48"/>
        <v>3413.6708860759491</v>
      </c>
      <c r="DD72" s="30">
        <v>2104</v>
      </c>
      <c r="DE72" s="31">
        <v>53243</v>
      </c>
      <c r="DF72" s="35">
        <v>40</v>
      </c>
      <c r="DG72" s="29" t="s">
        <v>25</v>
      </c>
      <c r="DH72" s="29" t="s">
        <v>25</v>
      </c>
      <c r="DI72" s="29" t="s">
        <v>25</v>
      </c>
      <c r="DJ72" s="47">
        <v>0</v>
      </c>
      <c r="DK72" s="47">
        <v>0</v>
      </c>
      <c r="DL72" s="47">
        <v>36</v>
      </c>
      <c r="DM72" s="47">
        <v>21840</v>
      </c>
      <c r="DN72" s="47">
        <v>28608</v>
      </c>
      <c r="DO72" s="47">
        <v>7348</v>
      </c>
      <c r="DP72" s="29" t="s">
        <v>25</v>
      </c>
      <c r="DQ72" s="47">
        <v>94508</v>
      </c>
      <c r="DR72" s="47">
        <v>2214</v>
      </c>
      <c r="DS72" s="30">
        <v>52</v>
      </c>
      <c r="DT72" s="30">
        <v>45</v>
      </c>
      <c r="DU72" s="30">
        <v>45</v>
      </c>
      <c r="DV72" s="30">
        <v>45</v>
      </c>
      <c r="DW72">
        <f>VLOOKUP(EC72,branch!$I$4:$K$77,3,0)</f>
        <v>6604</v>
      </c>
      <c r="DX72" s="2">
        <f t="shared" si="49"/>
        <v>8818</v>
      </c>
      <c r="DY72" s="33" t="s">
        <v>2186</v>
      </c>
      <c r="DZ72" s="33" t="s">
        <v>240</v>
      </c>
      <c r="EA72" s="33" t="s">
        <v>2031</v>
      </c>
      <c r="EB72" s="33" t="s">
        <v>2027</v>
      </c>
      <c r="EC72" s="36">
        <v>56</v>
      </c>
      <c r="ED72" s="29" t="s">
        <v>239</v>
      </c>
      <c r="EE72" s="29" t="s">
        <v>238</v>
      </c>
      <c r="EF72" s="37">
        <v>41548</v>
      </c>
      <c r="EG72" s="37">
        <v>41912</v>
      </c>
      <c r="EH72" s="29" t="s">
        <v>239</v>
      </c>
      <c r="EI72" s="55">
        <f t="shared" si="50"/>
        <v>1.7739314971590261</v>
      </c>
      <c r="EJ72" s="54">
        <f t="shared" si="51"/>
        <v>4.4040800492891859E-3</v>
      </c>
      <c r="EK72" s="55">
        <f t="shared" si="52"/>
        <v>3.7806859411724436</v>
      </c>
      <c r="EL72" s="54">
        <f t="shared" si="53"/>
        <v>0.11304566095429341</v>
      </c>
    </row>
    <row r="73" spans="1:142" ht="43.2" x14ac:dyDescent="0.3">
      <c r="A73" s="29" t="s">
        <v>241</v>
      </c>
      <c r="B73" s="29"/>
      <c r="C73" s="30">
        <v>4218</v>
      </c>
      <c r="D73" s="30">
        <v>0</v>
      </c>
      <c r="E73" s="30">
        <v>0</v>
      </c>
      <c r="F73" s="30">
        <v>5200</v>
      </c>
      <c r="H73" s="2">
        <f t="shared" si="29"/>
        <v>5200</v>
      </c>
      <c r="I73" s="1">
        <f t="shared" si="28"/>
        <v>1.2328117591275487</v>
      </c>
      <c r="J73" s="31">
        <v>62101</v>
      </c>
      <c r="K73" s="31">
        <v>33009</v>
      </c>
      <c r="L73" s="31">
        <v>95110</v>
      </c>
      <c r="M73" s="45">
        <f t="shared" si="30"/>
        <v>22.548601232811759</v>
      </c>
      <c r="N73" s="31">
        <v>3920</v>
      </c>
      <c r="O73" s="31">
        <v>0</v>
      </c>
      <c r="P73" s="31">
        <v>0</v>
      </c>
      <c r="Q73" s="31">
        <v>3920</v>
      </c>
      <c r="R73" s="45">
        <f t="shared" si="31"/>
        <v>0.92935040303461358</v>
      </c>
      <c r="S73" s="31">
        <v>23334</v>
      </c>
      <c r="T73" s="31">
        <v>122364</v>
      </c>
      <c r="U73" s="31">
        <v>0</v>
      </c>
      <c r="V73" s="31">
        <v>122364</v>
      </c>
      <c r="W73" s="45">
        <f t="shared" si="32"/>
        <v>29.0099573257468</v>
      </c>
      <c r="X73" s="4">
        <f t="shared" si="33"/>
        <v>0.77727109280507334</v>
      </c>
      <c r="Y73" s="4">
        <f t="shared" si="34"/>
        <v>3.2035566016148542E-2</v>
      </c>
      <c r="Z73" s="4">
        <f t="shared" si="35"/>
        <v>0.19069334117877806</v>
      </c>
      <c r="AA73" s="4">
        <f t="shared" si="36"/>
        <v>0</v>
      </c>
      <c r="AB73" s="31">
        <v>0</v>
      </c>
      <c r="AC73" s="31">
        <v>3920</v>
      </c>
      <c r="AD73" s="31">
        <v>122365</v>
      </c>
      <c r="AE73" s="31">
        <v>122365</v>
      </c>
      <c r="AF73" s="31">
        <v>122365</v>
      </c>
      <c r="AG73" s="31">
        <v>0</v>
      </c>
      <c r="AH73" s="31">
        <v>0</v>
      </c>
      <c r="AI73" s="31">
        <v>122365</v>
      </c>
      <c r="AJ73" s="45">
        <f t="shared" si="37"/>
        <v>29.010194404931248</v>
      </c>
      <c r="AK73" s="31"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10306</v>
      </c>
      <c r="AQ73" s="31">
        <v>10306</v>
      </c>
      <c r="AR73" s="31">
        <v>132671</v>
      </c>
      <c r="AS73" s="46">
        <f t="shared" si="38"/>
        <v>31.45353247984827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3" t="s">
        <v>25</v>
      </c>
      <c r="BD73" s="47">
        <v>18956</v>
      </c>
      <c r="BE73" s="47">
        <v>19147</v>
      </c>
      <c r="BF73" s="45">
        <f t="shared" si="39"/>
        <v>4.5393551446183027</v>
      </c>
      <c r="BG73" s="30">
        <v>141</v>
      </c>
      <c r="BH73" s="30">
        <v>141</v>
      </c>
      <c r="BI73" s="30">
        <v>0</v>
      </c>
      <c r="BJ73" s="30">
        <v>1418</v>
      </c>
      <c r="BK73" s="30">
        <v>1418</v>
      </c>
      <c r="BL73" s="30">
        <v>0</v>
      </c>
      <c r="BM73" s="30">
        <v>0</v>
      </c>
      <c r="BN73" s="30">
        <v>0</v>
      </c>
      <c r="BO73" s="30">
        <v>51</v>
      </c>
      <c r="BP73" s="30">
        <v>0</v>
      </c>
      <c r="BQ73" s="30">
        <v>51</v>
      </c>
      <c r="BR73" s="47">
        <v>20515</v>
      </c>
      <c r="BS73" s="47">
        <v>20706</v>
      </c>
      <c r="BT73" s="1">
        <f t="shared" si="40"/>
        <v>4.9089615931721191</v>
      </c>
      <c r="BU73" s="30">
        <v>12</v>
      </c>
      <c r="BV73" s="30">
        <v>1</v>
      </c>
      <c r="BW73" s="47">
        <v>500</v>
      </c>
      <c r="BX73" s="52">
        <f t="shared" si="41"/>
        <v>0.11853959222380275</v>
      </c>
      <c r="BY73" s="47">
        <v>8746</v>
      </c>
      <c r="BZ73" s="47">
        <v>0</v>
      </c>
      <c r="CA73" s="47">
        <v>10052</v>
      </c>
      <c r="CB73" s="47">
        <v>0</v>
      </c>
      <c r="CC73" s="47">
        <v>18798</v>
      </c>
      <c r="CD73" s="55">
        <f t="shared" si="42"/>
        <v>4.456614509246088</v>
      </c>
      <c r="CE73" s="3">
        <f t="shared" si="43"/>
        <v>7230</v>
      </c>
      <c r="CF73" s="55">
        <f t="shared" si="44"/>
        <v>8.467567567567567</v>
      </c>
      <c r="CG73" s="55">
        <f t="shared" si="45"/>
        <v>1.1792233862367481</v>
      </c>
      <c r="CH73" s="55">
        <f t="shared" si="46"/>
        <v>0.90785279629093019</v>
      </c>
      <c r="CI73" s="30">
        <v>11</v>
      </c>
      <c r="CJ73" s="30">
        <v>1</v>
      </c>
      <c r="CK73" s="30">
        <v>0</v>
      </c>
      <c r="CL73" s="30">
        <v>12</v>
      </c>
      <c r="CM73" s="30">
        <v>348</v>
      </c>
      <c r="CN73" s="30">
        <v>19</v>
      </c>
      <c r="CO73" s="30">
        <v>0</v>
      </c>
      <c r="CP73" s="30">
        <v>367</v>
      </c>
      <c r="CQ73" s="1">
        <f t="shared" si="54"/>
        <v>8.7008060692271225E-2</v>
      </c>
      <c r="CR73" s="47">
        <v>15941</v>
      </c>
      <c r="CS73" s="55">
        <f t="shared" si="47"/>
        <v>3.7792792792792791</v>
      </c>
      <c r="CT73" s="59">
        <v>3581</v>
      </c>
      <c r="CU73" s="29" t="s">
        <v>25</v>
      </c>
      <c r="CV73" s="29" t="s">
        <v>25</v>
      </c>
      <c r="CW73" s="29" t="s">
        <v>25</v>
      </c>
      <c r="CX73" s="35">
        <v>0</v>
      </c>
      <c r="CY73" s="49">
        <v>0</v>
      </c>
      <c r="CZ73" s="35">
        <v>1</v>
      </c>
      <c r="DA73" s="35">
        <v>1.6</v>
      </c>
      <c r="DB73" s="35">
        <v>2.6</v>
      </c>
      <c r="DC73" s="49">
        <f t="shared" si="48"/>
        <v>1622.3076923076922</v>
      </c>
      <c r="DD73" s="30">
        <v>0</v>
      </c>
      <c r="DE73" s="31">
        <v>18000</v>
      </c>
      <c r="DF73" s="35">
        <v>40</v>
      </c>
      <c r="DG73" s="29" t="s">
        <v>25</v>
      </c>
      <c r="DH73" s="29" t="s">
        <v>25</v>
      </c>
      <c r="DI73" s="29" t="s">
        <v>25</v>
      </c>
      <c r="DJ73" s="47">
        <v>3</v>
      </c>
      <c r="DK73" s="47">
        <v>0</v>
      </c>
      <c r="DL73" s="47">
        <v>7</v>
      </c>
      <c r="DM73" s="47">
        <v>8137</v>
      </c>
      <c r="DN73" s="47">
        <v>50</v>
      </c>
      <c r="DO73" s="47">
        <v>1449</v>
      </c>
      <c r="DP73" s="29" t="s">
        <v>2028</v>
      </c>
      <c r="DQ73" s="47">
        <v>0</v>
      </c>
      <c r="DR73" s="47">
        <v>2220</v>
      </c>
      <c r="DS73" s="30">
        <v>52</v>
      </c>
      <c r="DT73" s="30">
        <v>45</v>
      </c>
      <c r="DU73" s="30">
        <v>45</v>
      </c>
      <c r="DV73" s="30">
        <v>45</v>
      </c>
      <c r="DX73" s="2">
        <f t="shared" si="49"/>
        <v>2220</v>
      </c>
      <c r="DY73" s="33" t="s">
        <v>2186</v>
      </c>
      <c r="DZ73" s="33" t="s">
        <v>243</v>
      </c>
      <c r="EA73" s="33" t="s">
        <v>2030</v>
      </c>
      <c r="EB73" s="33" t="s">
        <v>2027</v>
      </c>
      <c r="EC73" s="36">
        <v>57</v>
      </c>
      <c r="ED73" s="29" t="s">
        <v>242</v>
      </c>
      <c r="EE73" s="29" t="s">
        <v>234</v>
      </c>
      <c r="EF73" s="37">
        <v>41306</v>
      </c>
      <c r="EG73" s="37">
        <v>41670</v>
      </c>
      <c r="EH73" s="29" t="s">
        <v>242</v>
      </c>
      <c r="EI73" s="55">
        <f t="shared" si="50"/>
        <v>2.0734945471787576</v>
      </c>
      <c r="EJ73" s="54">
        <f t="shared" si="51"/>
        <v>0</v>
      </c>
      <c r="EK73" s="55">
        <f t="shared" si="52"/>
        <v>2.3831199620673305</v>
      </c>
      <c r="EL73" s="54">
        <f t="shared" si="53"/>
        <v>0</v>
      </c>
    </row>
    <row r="74" spans="1:142" ht="28.8" x14ac:dyDescent="0.3">
      <c r="A74" s="29" t="s">
        <v>214</v>
      </c>
      <c r="B74" s="29"/>
      <c r="C74" s="30">
        <v>12102</v>
      </c>
      <c r="D74" s="30">
        <v>0</v>
      </c>
      <c r="E74" s="30">
        <v>0</v>
      </c>
      <c r="F74" s="30">
        <v>4000</v>
      </c>
      <c r="H74" s="2">
        <f t="shared" si="29"/>
        <v>4000</v>
      </c>
      <c r="I74" s="1">
        <f t="shared" si="28"/>
        <v>0.33052388035035529</v>
      </c>
      <c r="J74" s="31">
        <v>42322</v>
      </c>
      <c r="K74" s="31">
        <v>17642</v>
      </c>
      <c r="L74" s="31">
        <v>59964</v>
      </c>
      <c r="M74" s="45">
        <f t="shared" si="30"/>
        <v>4.9548834903321763</v>
      </c>
      <c r="N74" s="31">
        <v>3695</v>
      </c>
      <c r="O74" s="31">
        <v>0</v>
      </c>
      <c r="P74" s="31">
        <v>0</v>
      </c>
      <c r="Q74" s="31">
        <v>3695</v>
      </c>
      <c r="R74" s="45">
        <f t="shared" si="31"/>
        <v>0.30532143447364074</v>
      </c>
      <c r="S74" s="31">
        <v>18321</v>
      </c>
      <c r="T74" s="31">
        <v>81980</v>
      </c>
      <c r="U74" s="31">
        <v>0</v>
      </c>
      <c r="V74" s="31">
        <v>81980</v>
      </c>
      <c r="W74" s="45">
        <f t="shared" si="32"/>
        <v>6.774086927780532</v>
      </c>
      <c r="X74" s="4">
        <f t="shared" si="33"/>
        <v>0.73144669431568676</v>
      </c>
      <c r="Y74" s="4">
        <f t="shared" si="34"/>
        <v>4.507196877287143E-2</v>
      </c>
      <c r="Z74" s="4">
        <f t="shared" si="35"/>
        <v>0.22348133691144181</v>
      </c>
      <c r="AA74" s="4">
        <f t="shared" si="36"/>
        <v>0</v>
      </c>
      <c r="AB74" s="31">
        <v>0</v>
      </c>
      <c r="AC74" s="31">
        <v>3695</v>
      </c>
      <c r="AD74" s="31">
        <v>81979</v>
      </c>
      <c r="AE74" s="31">
        <v>81979</v>
      </c>
      <c r="AF74" s="31">
        <v>77979</v>
      </c>
      <c r="AG74" s="31">
        <v>4000</v>
      </c>
      <c r="AH74" s="31">
        <v>0</v>
      </c>
      <c r="AI74" s="31">
        <v>81979</v>
      </c>
      <c r="AJ74" s="45">
        <f t="shared" si="37"/>
        <v>6.7740042968104444</v>
      </c>
      <c r="AK74" s="31"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0</v>
      </c>
      <c r="AQ74" s="31">
        <v>0</v>
      </c>
      <c r="AR74" s="31">
        <v>81979</v>
      </c>
      <c r="AS74" s="46">
        <f t="shared" si="38"/>
        <v>6.7740042968104444</v>
      </c>
      <c r="AT74" s="31">
        <v>0</v>
      </c>
      <c r="AU74" s="31"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3" t="s">
        <v>25</v>
      </c>
      <c r="BD74" s="47">
        <v>18929</v>
      </c>
      <c r="BE74" s="47">
        <v>19287</v>
      </c>
      <c r="BF74" s="45">
        <f t="shared" si="39"/>
        <v>1.5937035200793257</v>
      </c>
      <c r="BG74" s="30">
        <v>96</v>
      </c>
      <c r="BH74" s="30">
        <v>96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51</v>
      </c>
      <c r="BP74" s="30">
        <v>0</v>
      </c>
      <c r="BQ74" s="30">
        <v>51</v>
      </c>
      <c r="BR74" s="47">
        <v>19025</v>
      </c>
      <c r="BS74" s="47">
        <v>19383</v>
      </c>
      <c r="BT74" s="1">
        <f t="shared" si="40"/>
        <v>1.6016360932077343</v>
      </c>
      <c r="BU74" s="30">
        <v>15</v>
      </c>
      <c r="BV74" s="30">
        <v>0</v>
      </c>
      <c r="BW74" s="47">
        <v>457</v>
      </c>
      <c r="BX74" s="52">
        <f t="shared" si="41"/>
        <v>3.7762353330028094E-2</v>
      </c>
      <c r="BY74" s="47">
        <v>3300</v>
      </c>
      <c r="BZ74" s="47">
        <v>0</v>
      </c>
      <c r="CA74" s="47">
        <v>16621</v>
      </c>
      <c r="CB74" s="47">
        <v>0</v>
      </c>
      <c r="CC74" s="47">
        <v>19921</v>
      </c>
      <c r="CD74" s="55">
        <f t="shared" si="42"/>
        <v>1.6460915551148569</v>
      </c>
      <c r="CE74" s="3">
        <f t="shared" si="43"/>
        <v>21536.216216216217</v>
      </c>
      <c r="CF74" s="55">
        <f t="shared" si="44"/>
        <v>10.353950103950105</v>
      </c>
      <c r="CG74" s="55">
        <f t="shared" si="45"/>
        <v>2.0087728143591814</v>
      </c>
      <c r="CH74" s="55">
        <f t="shared" si="46"/>
        <v>1.0277562812774081</v>
      </c>
      <c r="CI74" s="30">
        <v>1</v>
      </c>
      <c r="CJ74" s="30">
        <v>0</v>
      </c>
      <c r="CK74" s="30">
        <v>1</v>
      </c>
      <c r="CL74" s="30">
        <v>2</v>
      </c>
      <c r="CM74" s="30">
        <v>75</v>
      </c>
      <c r="CN74" s="30">
        <v>0</v>
      </c>
      <c r="CO74" s="30">
        <v>25</v>
      </c>
      <c r="CP74" s="30">
        <v>100</v>
      </c>
      <c r="CQ74" s="1">
        <f t="shared" si="54"/>
        <v>8.263097008758883E-3</v>
      </c>
      <c r="CR74" s="47">
        <v>9917</v>
      </c>
      <c r="CS74" s="55">
        <f t="shared" si="47"/>
        <v>0.81945133035861839</v>
      </c>
      <c r="CT74" s="59">
        <v>2513</v>
      </c>
      <c r="CU74" s="29" t="s">
        <v>25</v>
      </c>
      <c r="CV74" s="29" t="s">
        <v>25</v>
      </c>
      <c r="CW74" s="29" t="s">
        <v>25</v>
      </c>
      <c r="CX74" s="35">
        <v>0</v>
      </c>
      <c r="CY74" s="49">
        <v>0</v>
      </c>
      <c r="CZ74" s="35">
        <v>0.92500000000000004</v>
      </c>
      <c r="DA74" s="35">
        <v>0</v>
      </c>
      <c r="DB74" s="35">
        <v>0.92500000000000004</v>
      </c>
      <c r="DC74" s="49">
        <f t="shared" si="48"/>
        <v>13083.243243243243</v>
      </c>
      <c r="DD74" s="30">
        <v>35</v>
      </c>
      <c r="DE74" s="31">
        <v>20592</v>
      </c>
      <c r="DF74" s="35">
        <v>35</v>
      </c>
      <c r="DG74" s="29" t="s">
        <v>25</v>
      </c>
      <c r="DH74" s="29" t="s">
        <v>25</v>
      </c>
      <c r="DI74" s="29" t="s">
        <v>25</v>
      </c>
      <c r="DJ74" s="47">
        <v>0</v>
      </c>
      <c r="DK74" s="47">
        <v>0</v>
      </c>
      <c r="DL74" s="47">
        <v>7</v>
      </c>
      <c r="DM74" s="47">
        <v>1944</v>
      </c>
      <c r="DN74" s="47">
        <v>0</v>
      </c>
      <c r="DO74" s="47">
        <v>325</v>
      </c>
      <c r="DP74" s="29" t="s">
        <v>2028</v>
      </c>
      <c r="DQ74" s="47">
        <v>0</v>
      </c>
      <c r="DR74" s="47">
        <v>1924</v>
      </c>
      <c r="DS74" s="30">
        <v>52</v>
      </c>
      <c r="DT74" s="30">
        <v>37</v>
      </c>
      <c r="DU74" s="30">
        <v>37</v>
      </c>
      <c r="DV74" s="30">
        <v>37</v>
      </c>
      <c r="DX74" s="2">
        <f t="shared" si="49"/>
        <v>1924</v>
      </c>
      <c r="DY74" s="33" t="s">
        <v>2186</v>
      </c>
      <c r="DZ74" s="33" t="s">
        <v>246</v>
      </c>
      <c r="EA74" s="33" t="s">
        <v>2030</v>
      </c>
      <c r="EB74" s="33" t="s">
        <v>2027</v>
      </c>
      <c r="EC74" s="36">
        <v>58</v>
      </c>
      <c r="ED74" s="29" t="s">
        <v>244</v>
      </c>
      <c r="EE74" s="29" t="s">
        <v>245</v>
      </c>
      <c r="EF74" s="37">
        <v>41548</v>
      </c>
      <c r="EG74" s="37">
        <v>41912</v>
      </c>
      <c r="EH74" s="29" t="s">
        <v>244</v>
      </c>
      <c r="EI74" s="55">
        <f t="shared" si="50"/>
        <v>0.27268220128904314</v>
      </c>
      <c r="EJ74" s="54">
        <f t="shared" si="51"/>
        <v>0</v>
      </c>
      <c r="EK74" s="55">
        <f t="shared" si="52"/>
        <v>1.3734093538258139</v>
      </c>
      <c r="EL74" s="54">
        <f t="shared" si="53"/>
        <v>0</v>
      </c>
    </row>
    <row r="75" spans="1:142" ht="28.8" x14ac:dyDescent="0.3">
      <c r="A75" s="29" t="s">
        <v>1681</v>
      </c>
      <c r="B75" s="29"/>
      <c r="C75" s="30">
        <v>1801</v>
      </c>
      <c r="D75" s="30">
        <v>0</v>
      </c>
      <c r="E75" s="30">
        <v>0</v>
      </c>
      <c r="F75" s="30">
        <v>2473</v>
      </c>
      <c r="H75" s="2">
        <f t="shared" si="29"/>
        <v>2473</v>
      </c>
      <c r="I75" s="1">
        <f t="shared" si="28"/>
        <v>1.3731260410882842</v>
      </c>
      <c r="J75" s="31">
        <v>0</v>
      </c>
      <c r="K75" s="31">
        <v>0</v>
      </c>
      <c r="L75" s="31">
        <v>0</v>
      </c>
      <c r="M75" s="45">
        <f t="shared" si="30"/>
        <v>0</v>
      </c>
      <c r="N75" s="31">
        <v>5173</v>
      </c>
      <c r="O75" s="31">
        <v>0</v>
      </c>
      <c r="P75" s="31">
        <v>0</v>
      </c>
      <c r="Q75" s="31">
        <v>5173</v>
      </c>
      <c r="R75" s="45">
        <f t="shared" si="31"/>
        <v>2.8722931704608552</v>
      </c>
      <c r="S75" s="31">
        <v>22781</v>
      </c>
      <c r="T75" s="31">
        <v>27954</v>
      </c>
      <c r="U75" s="31">
        <v>0</v>
      </c>
      <c r="V75" s="31">
        <v>27954</v>
      </c>
      <c r="W75" s="45">
        <f t="shared" si="32"/>
        <v>15.521377012770683</v>
      </c>
      <c r="X75" s="4">
        <f t="shared" si="33"/>
        <v>0</v>
      </c>
      <c r="Y75" s="4">
        <f t="shared" si="34"/>
        <v>0.18505401731415896</v>
      </c>
      <c r="Z75" s="4">
        <f t="shared" si="35"/>
        <v>0.81494598268584106</v>
      </c>
      <c r="AA75" s="4">
        <f t="shared" si="36"/>
        <v>0</v>
      </c>
      <c r="AB75" s="31">
        <v>0</v>
      </c>
      <c r="AC75" s="31">
        <v>5173</v>
      </c>
      <c r="AD75" s="31">
        <v>22781</v>
      </c>
      <c r="AE75" s="31">
        <v>5325</v>
      </c>
      <c r="AF75" s="31">
        <v>0</v>
      </c>
      <c r="AG75" s="31">
        <v>5325</v>
      </c>
      <c r="AH75" s="31">
        <v>0</v>
      </c>
      <c r="AI75" s="31">
        <v>5325</v>
      </c>
      <c r="AJ75" s="45">
        <f t="shared" si="37"/>
        <v>2.9566907273736813</v>
      </c>
      <c r="AK75" s="31"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24111</v>
      </c>
      <c r="AQ75" s="31">
        <v>24111</v>
      </c>
      <c r="AR75" s="31">
        <v>29436</v>
      </c>
      <c r="AS75" s="46">
        <f t="shared" si="38"/>
        <v>16.344253192670738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3" t="s">
        <v>25</v>
      </c>
      <c r="BD75" s="47">
        <v>8531</v>
      </c>
      <c r="BE75" s="47">
        <v>8847</v>
      </c>
      <c r="BF75" s="45">
        <f t="shared" si="39"/>
        <v>4.912270960577457</v>
      </c>
      <c r="BG75" s="30">
        <v>345</v>
      </c>
      <c r="BH75" s="30">
        <v>350</v>
      </c>
      <c r="BI75" s="30">
        <v>0</v>
      </c>
      <c r="BJ75" s="30">
        <v>982</v>
      </c>
      <c r="BK75" s="30">
        <v>991</v>
      </c>
      <c r="BL75" s="30">
        <v>0</v>
      </c>
      <c r="BM75" s="30">
        <v>0</v>
      </c>
      <c r="BN75" s="30">
        <v>0</v>
      </c>
      <c r="BO75" s="30">
        <v>51</v>
      </c>
      <c r="BP75" s="30">
        <v>0</v>
      </c>
      <c r="BQ75" s="30">
        <v>51</v>
      </c>
      <c r="BR75" s="47">
        <v>9858</v>
      </c>
      <c r="BS75" s="47">
        <v>10188</v>
      </c>
      <c r="BT75" s="1">
        <f t="shared" si="40"/>
        <v>5.6568573014991674</v>
      </c>
      <c r="BU75" s="30">
        <v>3</v>
      </c>
      <c r="BV75" s="30">
        <v>0</v>
      </c>
      <c r="BW75" s="47">
        <v>520</v>
      </c>
      <c r="BX75" s="52">
        <f t="shared" si="41"/>
        <v>0.2887284841754581</v>
      </c>
      <c r="BY75" s="47">
        <v>384</v>
      </c>
      <c r="BZ75" s="47">
        <v>0</v>
      </c>
      <c r="CA75" s="47">
        <v>2616</v>
      </c>
      <c r="CB75" s="47">
        <v>0</v>
      </c>
      <c r="CC75" s="47">
        <v>3000</v>
      </c>
      <c r="CD75" s="55">
        <f t="shared" si="42"/>
        <v>1.6657412548584121</v>
      </c>
      <c r="CE75" s="3">
        <v>0</v>
      </c>
      <c r="CF75" s="55">
        <f t="shared" si="44"/>
        <v>2.9761904761904763</v>
      </c>
      <c r="CG75" s="55">
        <f t="shared" si="45"/>
        <v>0.55576139310855877</v>
      </c>
      <c r="CH75" s="55">
        <f t="shared" si="46"/>
        <v>0.29446407538280328</v>
      </c>
      <c r="CI75" s="30">
        <v>4</v>
      </c>
      <c r="CJ75" s="30">
        <v>2</v>
      </c>
      <c r="CK75" s="30">
        <v>13</v>
      </c>
      <c r="CL75" s="30">
        <v>19</v>
      </c>
      <c r="CM75" s="30">
        <v>203</v>
      </c>
      <c r="CN75" s="30">
        <v>27</v>
      </c>
      <c r="CO75" s="30">
        <v>342</v>
      </c>
      <c r="CP75" s="30">
        <v>572</v>
      </c>
      <c r="CQ75" s="1">
        <f t="shared" si="54"/>
        <v>0.31760133259300388</v>
      </c>
      <c r="CR75" s="47">
        <v>5398</v>
      </c>
      <c r="CS75" s="55">
        <f t="shared" si="47"/>
        <v>2.997223764575236</v>
      </c>
      <c r="CT75" s="59">
        <v>1207</v>
      </c>
      <c r="CU75" s="29" t="s">
        <v>25</v>
      </c>
      <c r="CV75" s="29" t="s">
        <v>25</v>
      </c>
      <c r="CW75" s="29" t="s">
        <v>25</v>
      </c>
      <c r="CX75" s="35">
        <v>0</v>
      </c>
      <c r="CY75" s="49">
        <v>0</v>
      </c>
      <c r="CZ75" s="35">
        <v>0</v>
      </c>
      <c r="DA75" s="35">
        <v>0</v>
      </c>
      <c r="DB75" s="35">
        <v>0</v>
      </c>
      <c r="DC75" s="49">
        <v>0</v>
      </c>
      <c r="DD75" s="30">
        <v>2669</v>
      </c>
      <c r="DE75" s="31">
        <v>0</v>
      </c>
      <c r="DF75" s="35">
        <v>20</v>
      </c>
      <c r="DG75" s="29" t="s">
        <v>25</v>
      </c>
      <c r="DH75" s="29" t="s">
        <v>25</v>
      </c>
      <c r="DI75" s="29" t="s">
        <v>25</v>
      </c>
      <c r="DJ75" s="47">
        <v>20</v>
      </c>
      <c r="DK75" s="47">
        <v>5</v>
      </c>
      <c r="DL75" s="47">
        <v>6</v>
      </c>
      <c r="DM75" s="47">
        <v>1731</v>
      </c>
      <c r="DN75" s="47">
        <v>20</v>
      </c>
      <c r="DO75" s="47">
        <v>150</v>
      </c>
      <c r="DP75" s="29" t="s">
        <v>2028</v>
      </c>
      <c r="DQ75" s="47">
        <v>0</v>
      </c>
      <c r="DR75" s="47">
        <v>1008</v>
      </c>
      <c r="DS75" s="30">
        <v>51</v>
      </c>
      <c r="DT75" s="30">
        <v>20</v>
      </c>
      <c r="DU75" s="30">
        <v>20</v>
      </c>
      <c r="DV75" s="30">
        <v>20</v>
      </c>
      <c r="DX75" s="2">
        <f t="shared" si="49"/>
        <v>1008</v>
      </c>
      <c r="DY75" s="33" t="s">
        <v>2187</v>
      </c>
      <c r="DZ75" s="33" t="s">
        <v>1683</v>
      </c>
      <c r="EA75" s="33" t="s">
        <v>2032</v>
      </c>
      <c r="EB75" s="33" t="s">
        <v>2027</v>
      </c>
      <c r="EC75" s="36">
        <v>572</v>
      </c>
      <c r="ED75" s="29" t="s">
        <v>1680</v>
      </c>
      <c r="EE75" s="29" t="s">
        <v>1616</v>
      </c>
      <c r="EF75" s="37">
        <v>41518</v>
      </c>
      <c r="EG75" s="37">
        <v>41882</v>
      </c>
      <c r="EH75" s="29" t="s">
        <v>1680</v>
      </c>
      <c r="EI75" s="55">
        <f t="shared" si="50"/>
        <v>0.21321488062187674</v>
      </c>
      <c r="EJ75" s="54">
        <f t="shared" si="51"/>
        <v>0</v>
      </c>
      <c r="EK75" s="55">
        <f t="shared" si="52"/>
        <v>1.4525263742365353</v>
      </c>
      <c r="EL75" s="54">
        <f t="shared" si="53"/>
        <v>0</v>
      </c>
    </row>
    <row r="76" spans="1:142" ht="28.8" x14ac:dyDescent="0.3">
      <c r="A76" s="29" t="s">
        <v>247</v>
      </c>
      <c r="B76" s="29"/>
      <c r="C76" s="30">
        <v>4158</v>
      </c>
      <c r="D76" s="30">
        <v>0</v>
      </c>
      <c r="E76" s="30">
        <v>0</v>
      </c>
      <c r="F76" s="30">
        <v>12700</v>
      </c>
      <c r="H76" s="2">
        <f t="shared" si="29"/>
        <v>12700</v>
      </c>
      <c r="I76" s="1">
        <f t="shared" si="28"/>
        <v>3.0543530543530544</v>
      </c>
      <c r="J76" s="31">
        <v>152172</v>
      </c>
      <c r="K76" s="31">
        <v>55416</v>
      </c>
      <c r="L76" s="31">
        <v>207588</v>
      </c>
      <c r="M76" s="45">
        <f t="shared" si="30"/>
        <v>49.924963924963926</v>
      </c>
      <c r="N76" s="31">
        <v>24748</v>
      </c>
      <c r="O76" s="31">
        <v>2789</v>
      </c>
      <c r="P76" s="31">
        <v>6308</v>
      </c>
      <c r="Q76" s="31">
        <v>33845</v>
      </c>
      <c r="R76" s="45">
        <f t="shared" si="31"/>
        <v>8.1397306397306401</v>
      </c>
      <c r="S76" s="31">
        <v>43987</v>
      </c>
      <c r="T76" s="31">
        <v>285420</v>
      </c>
      <c r="U76" s="31">
        <v>0</v>
      </c>
      <c r="V76" s="31">
        <v>285420</v>
      </c>
      <c r="W76" s="45">
        <f t="shared" si="32"/>
        <v>68.64357864357865</v>
      </c>
      <c r="X76" s="4">
        <f t="shared" si="33"/>
        <v>0.72730712634013028</v>
      </c>
      <c r="Y76" s="4">
        <f t="shared" si="34"/>
        <v>0.11857963702613693</v>
      </c>
      <c r="Z76" s="4">
        <f t="shared" si="35"/>
        <v>0.15411323663373275</v>
      </c>
      <c r="AA76" s="4">
        <f t="shared" si="36"/>
        <v>0</v>
      </c>
      <c r="AB76" s="31">
        <v>0</v>
      </c>
      <c r="AC76" s="31">
        <v>33845</v>
      </c>
      <c r="AD76" s="31">
        <v>285420</v>
      </c>
      <c r="AE76" s="31">
        <v>285420</v>
      </c>
      <c r="AF76" s="31">
        <v>8000</v>
      </c>
      <c r="AG76" s="31">
        <v>277420</v>
      </c>
      <c r="AH76" s="31">
        <v>0</v>
      </c>
      <c r="AI76" s="31">
        <v>285420</v>
      </c>
      <c r="AJ76" s="45">
        <f t="shared" si="37"/>
        <v>68.64357864357865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285420</v>
      </c>
      <c r="AS76" s="46">
        <f t="shared" si="38"/>
        <v>68.64357864357865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3" t="s">
        <v>25</v>
      </c>
      <c r="BD76" s="47">
        <v>35483</v>
      </c>
      <c r="BE76" s="47">
        <v>38877</v>
      </c>
      <c r="BF76" s="45">
        <f t="shared" si="39"/>
        <v>9.34992784992785</v>
      </c>
      <c r="BG76" s="30">
        <v>2240</v>
      </c>
      <c r="BH76" s="30">
        <v>2469</v>
      </c>
      <c r="BI76" s="30">
        <v>803</v>
      </c>
      <c r="BJ76" s="30">
        <v>1244</v>
      </c>
      <c r="BK76" s="30">
        <v>1270</v>
      </c>
      <c r="BL76" s="30">
        <v>23</v>
      </c>
      <c r="BM76" s="30">
        <v>3348</v>
      </c>
      <c r="BN76" s="30">
        <v>2</v>
      </c>
      <c r="BO76" s="30">
        <v>51</v>
      </c>
      <c r="BP76" s="30">
        <v>16</v>
      </c>
      <c r="BQ76" s="30">
        <v>69</v>
      </c>
      <c r="BR76" s="47">
        <v>38967</v>
      </c>
      <c r="BS76" s="47">
        <v>46792</v>
      </c>
      <c r="BT76" s="1">
        <f t="shared" si="40"/>
        <v>11.253487253487254</v>
      </c>
      <c r="BU76" s="30">
        <v>73</v>
      </c>
      <c r="BV76" s="30">
        <v>0</v>
      </c>
      <c r="BW76" s="47">
        <v>2474</v>
      </c>
      <c r="BX76" s="52">
        <f t="shared" si="41"/>
        <v>0.59499759499759497</v>
      </c>
      <c r="BY76" s="47">
        <v>2713</v>
      </c>
      <c r="BZ76" s="47">
        <v>53</v>
      </c>
      <c r="CA76" s="47">
        <v>20842</v>
      </c>
      <c r="CB76" s="47">
        <v>310</v>
      </c>
      <c r="CC76" s="47">
        <v>23918</v>
      </c>
      <c r="CD76" s="55">
        <f t="shared" si="42"/>
        <v>5.7522847522847522</v>
      </c>
      <c r="CE76" s="3">
        <f t="shared" si="43"/>
        <v>5374.8314606741569</v>
      </c>
      <c r="CF76" s="55">
        <f t="shared" si="44"/>
        <v>10.38558402084238</v>
      </c>
      <c r="CG76" s="55">
        <f t="shared" si="45"/>
        <v>0.72626241156287008</v>
      </c>
      <c r="CH76" s="55">
        <f t="shared" si="46"/>
        <v>0.50339801675500084</v>
      </c>
      <c r="CI76" s="30">
        <v>170</v>
      </c>
      <c r="CJ76" s="30">
        <v>0</v>
      </c>
      <c r="CK76" s="30">
        <v>2</v>
      </c>
      <c r="CL76" s="30">
        <v>172</v>
      </c>
      <c r="CM76" s="30">
        <v>1915</v>
      </c>
      <c r="CN76" s="30">
        <v>0</v>
      </c>
      <c r="CO76" s="30">
        <v>5</v>
      </c>
      <c r="CP76" s="30">
        <v>1920</v>
      </c>
      <c r="CQ76" s="1">
        <f t="shared" si="54"/>
        <v>0.46176046176046176</v>
      </c>
      <c r="CR76" s="47">
        <v>32933</v>
      </c>
      <c r="CS76" s="55">
        <f t="shared" si="47"/>
        <v>7.9203944203944205</v>
      </c>
      <c r="CT76" s="59">
        <v>2502</v>
      </c>
      <c r="CU76" s="29" t="s">
        <v>25</v>
      </c>
      <c r="CV76" s="29" t="s">
        <v>25</v>
      </c>
      <c r="CW76" s="29" t="s">
        <v>25</v>
      </c>
      <c r="CX76" s="35">
        <v>1</v>
      </c>
      <c r="CY76" s="49">
        <f>C76/CX76</f>
        <v>4158</v>
      </c>
      <c r="CZ76" s="35">
        <v>3.45</v>
      </c>
      <c r="DA76" s="35">
        <v>0</v>
      </c>
      <c r="DB76" s="35">
        <v>4.45</v>
      </c>
      <c r="DC76" s="49">
        <f t="shared" si="48"/>
        <v>934.38202247191009</v>
      </c>
      <c r="DD76" s="30">
        <v>364</v>
      </c>
      <c r="DE76" s="31">
        <v>51000</v>
      </c>
      <c r="DF76" s="35">
        <v>40</v>
      </c>
      <c r="DG76" s="29" t="s">
        <v>25</v>
      </c>
      <c r="DH76" s="29" t="s">
        <v>25</v>
      </c>
      <c r="DI76" s="29" t="s">
        <v>25</v>
      </c>
      <c r="DJ76" s="47">
        <v>11</v>
      </c>
      <c r="DK76" s="47">
        <v>110</v>
      </c>
      <c r="DL76" s="47">
        <v>6</v>
      </c>
      <c r="DM76" s="47">
        <v>2713</v>
      </c>
      <c r="DN76" s="47">
        <v>239</v>
      </c>
      <c r="DO76" s="47">
        <v>427</v>
      </c>
      <c r="DP76" s="29" t="s">
        <v>25</v>
      </c>
      <c r="DQ76" s="47">
        <v>2868</v>
      </c>
      <c r="DR76" s="47">
        <v>2303</v>
      </c>
      <c r="DS76" s="30">
        <v>52</v>
      </c>
      <c r="DT76" s="30">
        <v>48</v>
      </c>
      <c r="DU76" s="30">
        <v>48</v>
      </c>
      <c r="DV76" s="30">
        <v>48</v>
      </c>
      <c r="DX76" s="2">
        <f t="shared" si="49"/>
        <v>2303</v>
      </c>
      <c r="DY76" s="33" t="s">
        <v>2184</v>
      </c>
      <c r="DZ76" s="33" t="s">
        <v>250</v>
      </c>
      <c r="EA76" s="33" t="s">
        <v>2031</v>
      </c>
      <c r="EB76" s="33" t="s">
        <v>2027</v>
      </c>
      <c r="EC76" s="36">
        <v>59</v>
      </c>
      <c r="ED76" s="29" t="s">
        <v>248</v>
      </c>
      <c r="EE76" s="29" t="s">
        <v>249</v>
      </c>
      <c r="EF76" s="37">
        <v>41548</v>
      </c>
      <c r="EG76" s="37">
        <v>41912</v>
      </c>
      <c r="EH76" s="29" t="s">
        <v>248</v>
      </c>
      <c r="EI76" s="55">
        <f t="shared" si="50"/>
        <v>0.65247715247715243</v>
      </c>
      <c r="EJ76" s="54">
        <f t="shared" si="51"/>
        <v>1.2746512746512747E-2</v>
      </c>
      <c r="EK76" s="55">
        <f t="shared" si="52"/>
        <v>5.0125060125060124</v>
      </c>
      <c r="EL76" s="54">
        <f t="shared" si="53"/>
        <v>7.4555074555074555E-2</v>
      </c>
    </row>
    <row r="77" spans="1:142" ht="28.8" x14ac:dyDescent="0.3">
      <c r="A77" s="29" t="s">
        <v>1</v>
      </c>
      <c r="B77" s="29"/>
      <c r="C77" s="30">
        <v>14471</v>
      </c>
      <c r="D77" s="30">
        <v>0</v>
      </c>
      <c r="E77" s="30">
        <v>0</v>
      </c>
      <c r="F77" s="30">
        <v>10000</v>
      </c>
      <c r="H77" s="2">
        <f t="shared" si="29"/>
        <v>10000</v>
      </c>
      <c r="I77" s="1">
        <f t="shared" si="28"/>
        <v>0.69103724690760837</v>
      </c>
      <c r="J77" s="31">
        <v>68927</v>
      </c>
      <c r="K77" s="31">
        <v>26872</v>
      </c>
      <c r="L77" s="31">
        <v>95799</v>
      </c>
      <c r="M77" s="45">
        <f t="shared" si="30"/>
        <v>6.6200677216501971</v>
      </c>
      <c r="N77" s="31">
        <v>12413</v>
      </c>
      <c r="O77" s="31">
        <v>500</v>
      </c>
      <c r="P77" s="31">
        <v>1301</v>
      </c>
      <c r="Q77" s="31">
        <v>14214</v>
      </c>
      <c r="R77" s="45">
        <f t="shared" si="31"/>
        <v>0.98224034275447447</v>
      </c>
      <c r="S77" s="31">
        <v>23989</v>
      </c>
      <c r="T77" s="31">
        <v>134002</v>
      </c>
      <c r="U77" s="31">
        <v>0</v>
      </c>
      <c r="V77" s="31">
        <v>134002</v>
      </c>
      <c r="W77" s="45">
        <f t="shared" si="32"/>
        <v>9.2600373160113332</v>
      </c>
      <c r="X77" s="4">
        <f t="shared" si="33"/>
        <v>0.71490724019044494</v>
      </c>
      <c r="Y77" s="4">
        <f t="shared" si="34"/>
        <v>0.10607304368591514</v>
      </c>
      <c r="Z77" s="4">
        <f t="shared" si="35"/>
        <v>0.17901971612363995</v>
      </c>
      <c r="AA77" s="4">
        <f t="shared" si="36"/>
        <v>0</v>
      </c>
      <c r="AB77" s="31">
        <v>1650</v>
      </c>
      <c r="AC77" s="31">
        <v>14214</v>
      </c>
      <c r="AD77" s="31">
        <v>134002</v>
      </c>
      <c r="AE77" s="31">
        <v>112319</v>
      </c>
      <c r="AF77" s="31">
        <v>0</v>
      </c>
      <c r="AG77" s="31">
        <v>112319</v>
      </c>
      <c r="AH77" s="31">
        <v>0</v>
      </c>
      <c r="AI77" s="31">
        <v>112319</v>
      </c>
      <c r="AJ77" s="45">
        <f t="shared" si="37"/>
        <v>7.7616612535415657</v>
      </c>
      <c r="AK77" s="31">
        <v>0</v>
      </c>
      <c r="AL77" s="31">
        <v>0</v>
      </c>
      <c r="AM77" s="31">
        <v>0</v>
      </c>
      <c r="AN77" s="31">
        <v>0</v>
      </c>
      <c r="AO77" s="31">
        <v>2000</v>
      </c>
      <c r="AP77" s="31">
        <v>13033</v>
      </c>
      <c r="AQ77" s="31">
        <v>15033</v>
      </c>
      <c r="AR77" s="31">
        <v>127352</v>
      </c>
      <c r="AS77" s="46">
        <f t="shared" si="38"/>
        <v>8.8004975468177733</v>
      </c>
      <c r="AT77" s="31">
        <v>0</v>
      </c>
      <c r="AU77" s="31">
        <v>0</v>
      </c>
      <c r="AV77" s="31">
        <v>0</v>
      </c>
      <c r="AW77" s="31">
        <v>0</v>
      </c>
      <c r="AX77" s="31">
        <v>0</v>
      </c>
      <c r="AY77" s="31">
        <v>0</v>
      </c>
      <c r="AZ77" s="31">
        <v>0</v>
      </c>
      <c r="BA77" s="31">
        <v>0</v>
      </c>
      <c r="BB77" s="31">
        <v>0</v>
      </c>
      <c r="BC77" s="33" t="s">
        <v>25</v>
      </c>
      <c r="BD77" s="47">
        <v>35656</v>
      </c>
      <c r="BE77" s="47">
        <v>35656</v>
      </c>
      <c r="BF77" s="45">
        <f t="shared" si="39"/>
        <v>2.4639624075737681</v>
      </c>
      <c r="BG77" s="30">
        <v>848</v>
      </c>
      <c r="BH77" s="30">
        <v>848</v>
      </c>
      <c r="BI77" s="30">
        <v>0</v>
      </c>
      <c r="BJ77" s="30">
        <v>895</v>
      </c>
      <c r="BK77" s="30">
        <v>895</v>
      </c>
      <c r="BL77" s="30">
        <v>0</v>
      </c>
      <c r="BM77" s="30">
        <v>0</v>
      </c>
      <c r="BN77" s="30">
        <v>1</v>
      </c>
      <c r="BO77" s="30">
        <v>51</v>
      </c>
      <c r="BP77" s="30">
        <v>0</v>
      </c>
      <c r="BQ77" s="30">
        <v>52</v>
      </c>
      <c r="BR77" s="47">
        <v>37399</v>
      </c>
      <c r="BS77" s="47">
        <v>37400</v>
      </c>
      <c r="BT77" s="1">
        <f t="shared" si="40"/>
        <v>2.5844793034344553</v>
      </c>
      <c r="BU77" s="30">
        <v>27</v>
      </c>
      <c r="BV77" s="30">
        <v>0</v>
      </c>
      <c r="BW77" s="47">
        <v>3100</v>
      </c>
      <c r="BX77" s="52">
        <f t="shared" si="41"/>
        <v>0.21422154654135858</v>
      </c>
      <c r="BY77" s="47">
        <v>11675</v>
      </c>
      <c r="BZ77" s="47">
        <v>0</v>
      </c>
      <c r="CA77" s="47">
        <v>25464</v>
      </c>
      <c r="CB77" s="47">
        <v>0</v>
      </c>
      <c r="CC77" s="47">
        <v>37139</v>
      </c>
      <c r="CD77" s="55">
        <f t="shared" si="42"/>
        <v>2.5664432312901666</v>
      </c>
      <c r="CE77" s="3">
        <f t="shared" si="43"/>
        <v>12379.666666666666</v>
      </c>
      <c r="CF77" s="55">
        <f t="shared" si="44"/>
        <v>23.565355329949238</v>
      </c>
      <c r="CG77" s="55">
        <f t="shared" si="45"/>
        <v>1.5081827411167512</v>
      </c>
      <c r="CH77" s="55">
        <f t="shared" si="46"/>
        <v>0.99302139037433157</v>
      </c>
      <c r="CI77" s="30">
        <v>56</v>
      </c>
      <c r="CJ77" s="30">
        <v>0</v>
      </c>
      <c r="CK77" s="30">
        <v>71</v>
      </c>
      <c r="CL77" s="30">
        <v>127</v>
      </c>
      <c r="CM77" s="30">
        <v>1442</v>
      </c>
      <c r="CN77" s="30">
        <v>0</v>
      </c>
      <c r="CO77" s="30">
        <v>1169</v>
      </c>
      <c r="CP77" s="30">
        <v>2611</v>
      </c>
      <c r="CQ77" s="1">
        <f t="shared" si="54"/>
        <v>0.18042982516757652</v>
      </c>
      <c r="CR77" s="47">
        <v>24625</v>
      </c>
      <c r="CS77" s="55">
        <f t="shared" si="47"/>
        <v>1.7016792205099855</v>
      </c>
      <c r="CT77" s="59">
        <v>3588</v>
      </c>
      <c r="CU77" s="29" t="s">
        <v>25</v>
      </c>
      <c r="CV77" s="29" t="s">
        <v>25</v>
      </c>
      <c r="CW77" s="29" t="s">
        <v>25</v>
      </c>
      <c r="CX77" s="35">
        <v>0</v>
      </c>
      <c r="CY77" s="49">
        <v>0</v>
      </c>
      <c r="CZ77" s="35">
        <v>3</v>
      </c>
      <c r="DA77" s="35">
        <v>0</v>
      </c>
      <c r="DB77" s="35">
        <v>3</v>
      </c>
      <c r="DC77" s="49">
        <f t="shared" si="48"/>
        <v>4823.666666666667</v>
      </c>
      <c r="DD77" s="30">
        <v>1844</v>
      </c>
      <c r="DE77" s="31">
        <v>25503</v>
      </c>
      <c r="DF77" s="35">
        <v>40</v>
      </c>
      <c r="DG77" s="29" t="s">
        <v>25</v>
      </c>
      <c r="DH77" s="29" t="s">
        <v>26</v>
      </c>
      <c r="DI77" s="29" t="s">
        <v>26</v>
      </c>
      <c r="DJ77" s="47">
        <v>0</v>
      </c>
      <c r="DK77" s="47">
        <v>0</v>
      </c>
      <c r="DL77" s="47">
        <v>14</v>
      </c>
      <c r="DM77" s="47">
        <v>5737</v>
      </c>
      <c r="DN77" s="47">
        <v>1970</v>
      </c>
      <c r="DO77" s="47">
        <v>985</v>
      </c>
      <c r="DP77" s="29" t="s">
        <v>2028</v>
      </c>
      <c r="DQ77" s="47">
        <v>0</v>
      </c>
      <c r="DR77" s="47">
        <v>1576</v>
      </c>
      <c r="DS77" s="30">
        <v>50</v>
      </c>
      <c r="DT77" s="30">
        <v>31</v>
      </c>
      <c r="DU77" s="30">
        <v>31</v>
      </c>
      <c r="DV77" s="30">
        <v>31</v>
      </c>
      <c r="DX77" s="2">
        <f t="shared" si="49"/>
        <v>1576</v>
      </c>
      <c r="DY77" s="33" t="s">
        <v>2182</v>
      </c>
      <c r="DZ77" s="33" t="s">
        <v>253</v>
      </c>
      <c r="EA77" s="33" t="s">
        <v>2031</v>
      </c>
      <c r="EB77" s="33" t="s">
        <v>2027</v>
      </c>
      <c r="EC77" s="36">
        <v>60</v>
      </c>
      <c r="ED77" s="29" t="s">
        <v>251</v>
      </c>
      <c r="EE77" s="29" t="s">
        <v>252</v>
      </c>
      <c r="EF77" s="37">
        <v>41548</v>
      </c>
      <c r="EG77" s="37">
        <v>41912</v>
      </c>
      <c r="EH77" s="29" t="s">
        <v>251</v>
      </c>
      <c r="EI77" s="55">
        <f t="shared" si="50"/>
        <v>0.80678598576463267</v>
      </c>
      <c r="EJ77" s="54">
        <f t="shared" si="51"/>
        <v>0</v>
      </c>
      <c r="EK77" s="55">
        <f t="shared" si="52"/>
        <v>1.7596572455255339</v>
      </c>
      <c r="EL77" s="54">
        <f t="shared" si="53"/>
        <v>0</v>
      </c>
    </row>
    <row r="78" spans="1:142" ht="28.8" x14ac:dyDescent="0.3">
      <c r="A78" s="29" t="s">
        <v>254</v>
      </c>
      <c r="B78" s="29"/>
      <c r="C78" s="30">
        <v>36442</v>
      </c>
      <c r="D78" s="30">
        <v>0</v>
      </c>
      <c r="E78" s="30">
        <v>0</v>
      </c>
      <c r="F78" s="30">
        <v>10500</v>
      </c>
      <c r="H78" s="2">
        <f t="shared" si="29"/>
        <v>10500</v>
      </c>
      <c r="I78" s="1">
        <f t="shared" si="28"/>
        <v>0.28812908182865926</v>
      </c>
      <c r="J78" s="31">
        <v>206719</v>
      </c>
      <c r="K78" s="31">
        <v>73057</v>
      </c>
      <c r="L78" s="31">
        <v>279776</v>
      </c>
      <c r="M78" s="45">
        <f t="shared" si="30"/>
        <v>7.6772954283519015</v>
      </c>
      <c r="N78" s="31">
        <v>26093</v>
      </c>
      <c r="O78" s="31">
        <v>4148</v>
      </c>
      <c r="P78" s="31">
        <v>13876</v>
      </c>
      <c r="Q78" s="31">
        <v>44117</v>
      </c>
      <c r="R78" s="45">
        <f t="shared" si="31"/>
        <v>1.2106086383842818</v>
      </c>
      <c r="S78" s="31">
        <v>69346</v>
      </c>
      <c r="T78" s="31">
        <v>393239</v>
      </c>
      <c r="U78" s="31">
        <v>0</v>
      </c>
      <c r="V78" s="31">
        <v>393239</v>
      </c>
      <c r="W78" s="45">
        <f t="shared" si="32"/>
        <v>10.790818286592394</v>
      </c>
      <c r="X78" s="4">
        <f t="shared" si="33"/>
        <v>0.71146554639799209</v>
      </c>
      <c r="Y78" s="4">
        <f t="shared" si="34"/>
        <v>0.11218877069670098</v>
      </c>
      <c r="Z78" s="4">
        <f t="shared" si="35"/>
        <v>0.17634568290530694</v>
      </c>
      <c r="AA78" s="4">
        <f t="shared" si="36"/>
        <v>0</v>
      </c>
      <c r="AB78" s="31">
        <v>0</v>
      </c>
      <c r="AC78" s="31">
        <v>44117</v>
      </c>
      <c r="AD78" s="31">
        <v>393239</v>
      </c>
      <c r="AE78" s="31">
        <v>385895</v>
      </c>
      <c r="AF78" s="31">
        <v>335895</v>
      </c>
      <c r="AG78" s="31">
        <v>50000</v>
      </c>
      <c r="AH78" s="31">
        <v>0</v>
      </c>
      <c r="AI78" s="31">
        <v>385895</v>
      </c>
      <c r="AJ78" s="45">
        <f t="shared" si="37"/>
        <v>10.589292574501949</v>
      </c>
      <c r="AK78" s="31"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7344</v>
      </c>
      <c r="AQ78" s="31">
        <v>7344</v>
      </c>
      <c r="AR78" s="31">
        <v>393239</v>
      </c>
      <c r="AS78" s="46">
        <f t="shared" si="38"/>
        <v>10.790818286592394</v>
      </c>
      <c r="AT78" s="31">
        <v>0</v>
      </c>
      <c r="AU78" s="31">
        <v>0</v>
      </c>
      <c r="AV78" s="31">
        <v>0</v>
      </c>
      <c r="AW78" s="31">
        <v>0</v>
      </c>
      <c r="AX78" s="31">
        <v>0</v>
      </c>
      <c r="AY78" s="31">
        <v>0</v>
      </c>
      <c r="AZ78" s="31">
        <v>0</v>
      </c>
      <c r="BA78" s="31">
        <v>0</v>
      </c>
      <c r="BB78" s="31">
        <v>0</v>
      </c>
      <c r="BC78" s="33" t="s">
        <v>25</v>
      </c>
      <c r="BD78" s="47">
        <v>44273</v>
      </c>
      <c r="BE78" s="47">
        <v>48332</v>
      </c>
      <c r="BF78" s="45">
        <f t="shared" si="39"/>
        <v>1.3262718840897865</v>
      </c>
      <c r="BG78" s="30">
        <v>2703</v>
      </c>
      <c r="BH78" s="30">
        <v>2764</v>
      </c>
      <c r="BI78" s="30">
        <v>803</v>
      </c>
      <c r="BJ78" s="30">
        <v>2314</v>
      </c>
      <c r="BK78" s="30">
        <v>2710</v>
      </c>
      <c r="BL78" s="30">
        <v>23</v>
      </c>
      <c r="BM78" s="30">
        <v>3348</v>
      </c>
      <c r="BN78" s="30">
        <v>3</v>
      </c>
      <c r="BO78" s="30">
        <v>51</v>
      </c>
      <c r="BP78" s="30">
        <v>14</v>
      </c>
      <c r="BQ78" s="30">
        <v>68</v>
      </c>
      <c r="BR78" s="47">
        <v>49290</v>
      </c>
      <c r="BS78" s="47">
        <v>57983</v>
      </c>
      <c r="BT78" s="1">
        <f t="shared" si="40"/>
        <v>1.5911036715877285</v>
      </c>
      <c r="BU78" s="30">
        <v>65</v>
      </c>
      <c r="BV78" s="30">
        <v>18</v>
      </c>
      <c r="BW78" s="47">
        <v>540</v>
      </c>
      <c r="BX78" s="52">
        <f t="shared" si="41"/>
        <v>1.4818067065473903E-2</v>
      </c>
      <c r="BY78" s="47">
        <v>41217</v>
      </c>
      <c r="BZ78" s="47">
        <v>565</v>
      </c>
      <c r="CA78" s="47">
        <v>43577</v>
      </c>
      <c r="CB78" s="47">
        <v>3409</v>
      </c>
      <c r="CC78" s="47">
        <v>88768</v>
      </c>
      <c r="CD78" s="55">
        <f t="shared" si="42"/>
        <v>2.4358706986444214</v>
      </c>
      <c r="CE78" s="3">
        <f t="shared" si="43"/>
        <v>14389.949341438703</v>
      </c>
      <c r="CF78" s="55">
        <f t="shared" si="44"/>
        <v>37.250524548887959</v>
      </c>
      <c r="CG78" s="55">
        <f t="shared" si="45"/>
        <v>2.1261796407185627</v>
      </c>
      <c r="CH78" s="55">
        <f t="shared" si="46"/>
        <v>1.4623941500094855</v>
      </c>
      <c r="CI78" s="30">
        <v>55</v>
      </c>
      <c r="CJ78" s="30">
        <v>1</v>
      </c>
      <c r="CK78" s="30">
        <v>15</v>
      </c>
      <c r="CL78" s="30">
        <v>71</v>
      </c>
      <c r="CM78" s="30">
        <v>3510</v>
      </c>
      <c r="CN78" s="30">
        <v>5</v>
      </c>
      <c r="CO78" s="30">
        <v>86</v>
      </c>
      <c r="CP78" s="30">
        <v>3601</v>
      </c>
      <c r="CQ78" s="1">
        <f t="shared" si="54"/>
        <v>9.8814554634762089E-2</v>
      </c>
      <c r="CR78" s="47">
        <v>41750</v>
      </c>
      <c r="CS78" s="55">
        <f t="shared" si="47"/>
        <v>1.1456561110806212</v>
      </c>
      <c r="CT78" s="59">
        <v>10897</v>
      </c>
      <c r="CU78" s="29" t="s">
        <v>25</v>
      </c>
      <c r="CV78" s="29" t="s">
        <v>25</v>
      </c>
      <c r="CW78" s="29" t="s">
        <v>25</v>
      </c>
      <c r="CX78" s="35">
        <v>2</v>
      </c>
      <c r="CY78" s="49">
        <f>C78/CX78</f>
        <v>18221</v>
      </c>
      <c r="CZ78" s="35">
        <v>1</v>
      </c>
      <c r="DA78" s="35">
        <v>3.1687500000000002</v>
      </c>
      <c r="DB78" s="35">
        <v>6.1687500000000002</v>
      </c>
      <c r="DC78" s="49">
        <f t="shared" si="48"/>
        <v>5907.5177304964536</v>
      </c>
      <c r="DD78" s="30">
        <v>453</v>
      </c>
      <c r="DE78" s="31">
        <v>52000</v>
      </c>
      <c r="DF78" s="35">
        <v>40</v>
      </c>
      <c r="DG78" s="29" t="s">
        <v>25</v>
      </c>
      <c r="DH78" s="29" t="s">
        <v>25</v>
      </c>
      <c r="DI78" s="29" t="s">
        <v>25</v>
      </c>
      <c r="DJ78" s="47">
        <v>642</v>
      </c>
      <c r="DK78" s="47">
        <v>553</v>
      </c>
      <c r="DL78" s="47">
        <v>20</v>
      </c>
      <c r="DM78" s="47">
        <v>8173</v>
      </c>
      <c r="DN78" s="47">
        <v>32</v>
      </c>
      <c r="DO78" s="47">
        <v>-1</v>
      </c>
      <c r="DP78" s="29" t="s">
        <v>25</v>
      </c>
      <c r="DQ78" s="47">
        <v>25302</v>
      </c>
      <c r="DR78" s="47">
        <v>2383</v>
      </c>
      <c r="DS78" s="30">
        <v>52</v>
      </c>
      <c r="DT78" s="30">
        <v>48</v>
      </c>
      <c r="DU78" s="30">
        <v>48</v>
      </c>
      <c r="DV78" s="30">
        <v>48</v>
      </c>
      <c r="DX78" s="2">
        <f t="shared" si="49"/>
        <v>2383</v>
      </c>
      <c r="DY78" s="33" t="s">
        <v>2184</v>
      </c>
      <c r="DZ78" s="33" t="s">
        <v>257</v>
      </c>
      <c r="EA78" s="33" t="s">
        <v>2030</v>
      </c>
      <c r="EB78" s="33" t="s">
        <v>2027</v>
      </c>
      <c r="EC78" s="36">
        <v>61</v>
      </c>
      <c r="ED78" s="29" t="s">
        <v>255</v>
      </c>
      <c r="EE78" s="29" t="s">
        <v>256</v>
      </c>
      <c r="EF78" s="37">
        <v>41548</v>
      </c>
      <c r="EG78" s="37">
        <v>41912</v>
      </c>
      <c r="EH78" s="29" t="s">
        <v>255</v>
      </c>
      <c r="EI78" s="55">
        <f t="shared" si="50"/>
        <v>1.1310301300696999</v>
      </c>
      <c r="EJ78" s="54">
        <f t="shared" si="51"/>
        <v>1.5504088688875473E-2</v>
      </c>
      <c r="EK78" s="55">
        <f t="shared" si="52"/>
        <v>1.1957905713188079</v>
      </c>
      <c r="EL78" s="54">
        <f t="shared" si="53"/>
        <v>9.3545908567038039E-2</v>
      </c>
    </row>
    <row r="79" spans="1:142" ht="28.8" x14ac:dyDescent="0.3">
      <c r="A79" s="29" t="s">
        <v>260</v>
      </c>
      <c r="B79" s="29"/>
      <c r="C79" s="30">
        <v>23575</v>
      </c>
      <c r="D79" s="30">
        <v>0</v>
      </c>
      <c r="E79" s="30">
        <v>0</v>
      </c>
      <c r="F79" s="30">
        <v>18000</v>
      </c>
      <c r="H79" s="2">
        <f t="shared" si="29"/>
        <v>18000</v>
      </c>
      <c r="I79" s="1">
        <f t="shared" si="28"/>
        <v>0.76352067868504769</v>
      </c>
      <c r="J79" s="31">
        <v>216561</v>
      </c>
      <c r="K79" s="31">
        <v>40127</v>
      </c>
      <c r="L79" s="31">
        <v>256688</v>
      </c>
      <c r="M79" s="45">
        <f t="shared" si="30"/>
        <v>10.88814422057264</v>
      </c>
      <c r="N79" s="31">
        <v>22313</v>
      </c>
      <c r="O79" s="31">
        <v>12738</v>
      </c>
      <c r="P79" s="31">
        <v>5625</v>
      </c>
      <c r="Q79" s="31">
        <v>40676</v>
      </c>
      <c r="R79" s="45">
        <f t="shared" si="31"/>
        <v>1.7253870625662779</v>
      </c>
      <c r="S79" s="31">
        <v>296198</v>
      </c>
      <c r="T79" s="31">
        <v>593562</v>
      </c>
      <c r="U79" s="31">
        <v>0</v>
      </c>
      <c r="V79" s="31">
        <v>593562</v>
      </c>
      <c r="W79" s="45">
        <f t="shared" si="32"/>
        <v>25.17760339342524</v>
      </c>
      <c r="X79" s="4">
        <f t="shared" si="33"/>
        <v>0.43245356003248187</v>
      </c>
      <c r="Y79" s="4">
        <f t="shared" si="34"/>
        <v>6.8528645701712715E-2</v>
      </c>
      <c r="Z79" s="4">
        <f t="shared" si="35"/>
        <v>0.49901779426580545</v>
      </c>
      <c r="AA79" s="4">
        <f t="shared" si="36"/>
        <v>0</v>
      </c>
      <c r="AB79" s="31">
        <v>0</v>
      </c>
      <c r="AC79" s="31">
        <v>40676</v>
      </c>
      <c r="AD79" s="31">
        <v>592162</v>
      </c>
      <c r="AE79" s="31">
        <v>556284</v>
      </c>
      <c r="AF79" s="31">
        <v>556284</v>
      </c>
      <c r="AG79" s="31">
        <v>0</v>
      </c>
      <c r="AH79" s="31">
        <v>0</v>
      </c>
      <c r="AI79" s="31">
        <v>556284</v>
      </c>
      <c r="AJ79" s="45">
        <f t="shared" si="37"/>
        <v>23.596352067868505</v>
      </c>
      <c r="AK79" s="31">
        <v>0</v>
      </c>
      <c r="AL79" s="31">
        <v>0</v>
      </c>
      <c r="AM79" s="31">
        <v>0</v>
      </c>
      <c r="AN79" s="31">
        <v>0</v>
      </c>
      <c r="AO79" s="31">
        <v>1400</v>
      </c>
      <c r="AP79" s="31">
        <v>57482</v>
      </c>
      <c r="AQ79" s="31">
        <v>58882</v>
      </c>
      <c r="AR79" s="31">
        <v>615166</v>
      </c>
      <c r="AS79" s="46">
        <f t="shared" si="38"/>
        <v>26.093997879109224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</v>
      </c>
      <c r="BA79" s="31">
        <v>0</v>
      </c>
      <c r="BB79" s="31">
        <v>0</v>
      </c>
      <c r="BC79" s="33" t="s">
        <v>25</v>
      </c>
      <c r="BD79" s="47">
        <v>33090</v>
      </c>
      <c r="BE79" s="47">
        <v>34184</v>
      </c>
      <c r="BF79" s="45">
        <f t="shared" si="39"/>
        <v>1.4500106044538705</v>
      </c>
      <c r="BG79" s="30">
        <v>1630</v>
      </c>
      <c r="BH79" s="30">
        <v>1673</v>
      </c>
      <c r="BI79" s="30">
        <v>1018</v>
      </c>
      <c r="BJ79" s="30">
        <v>3600</v>
      </c>
      <c r="BK79" s="30">
        <v>3762</v>
      </c>
      <c r="BL79" s="30">
        <v>98</v>
      </c>
      <c r="BM79" s="30">
        <v>3552</v>
      </c>
      <c r="BN79" s="30">
        <v>8</v>
      </c>
      <c r="BO79" s="30">
        <v>51</v>
      </c>
      <c r="BP79" s="30">
        <v>1</v>
      </c>
      <c r="BQ79" s="30">
        <v>60</v>
      </c>
      <c r="BR79" s="47">
        <v>38320</v>
      </c>
      <c r="BS79" s="47">
        <v>44295</v>
      </c>
      <c r="BT79" s="1">
        <f t="shared" si="40"/>
        <v>1.878897136797455</v>
      </c>
      <c r="BU79" s="30">
        <v>52</v>
      </c>
      <c r="BV79" s="30">
        <v>1</v>
      </c>
      <c r="BW79" s="47">
        <v>404</v>
      </c>
      <c r="BX79" s="52">
        <f t="shared" si="41"/>
        <v>1.7136797454931071E-2</v>
      </c>
      <c r="BY79" s="47">
        <v>26355</v>
      </c>
      <c r="BZ79" s="47">
        <v>208</v>
      </c>
      <c r="CA79" s="47">
        <v>85076</v>
      </c>
      <c r="CB79" s="47">
        <v>6356</v>
      </c>
      <c r="CC79" s="47">
        <v>117995</v>
      </c>
      <c r="CD79" s="55">
        <f t="shared" si="42"/>
        <v>5.0050901378579002</v>
      </c>
      <c r="CE79" s="3">
        <f t="shared" si="43"/>
        <v>15628.476821192053</v>
      </c>
      <c r="CF79" s="55">
        <f t="shared" si="44"/>
        <v>38.149046233430326</v>
      </c>
      <c r="CG79" s="55">
        <f t="shared" si="45"/>
        <v>1.702080087704114</v>
      </c>
      <c r="CH79" s="55">
        <f t="shared" si="46"/>
        <v>2.5156563946269332</v>
      </c>
      <c r="CI79" s="30">
        <v>160</v>
      </c>
      <c r="CJ79" s="30">
        <v>3</v>
      </c>
      <c r="CK79" s="30">
        <v>202</v>
      </c>
      <c r="CL79" s="30">
        <v>365</v>
      </c>
      <c r="CM79" s="30">
        <v>3531</v>
      </c>
      <c r="CN79" s="30">
        <v>33</v>
      </c>
      <c r="CO79" s="30">
        <v>2873</v>
      </c>
      <c r="CP79" s="30">
        <v>6437</v>
      </c>
      <c r="CQ79" s="1">
        <f t="shared" si="54"/>
        <v>0.27304347826086955</v>
      </c>
      <c r="CR79" s="47">
        <v>69324</v>
      </c>
      <c r="CS79" s="55">
        <f t="shared" si="47"/>
        <v>2.9405726405090138</v>
      </c>
      <c r="CT79" s="59">
        <v>11625</v>
      </c>
      <c r="CU79" s="29" t="s">
        <v>25</v>
      </c>
      <c r="CV79" s="29" t="s">
        <v>25</v>
      </c>
      <c r="CW79" s="29" t="s">
        <v>25</v>
      </c>
      <c r="CX79" s="35">
        <v>0</v>
      </c>
      <c r="CY79" s="49">
        <v>0</v>
      </c>
      <c r="CZ79" s="35">
        <v>5.8</v>
      </c>
      <c r="DA79" s="35">
        <v>1.75</v>
      </c>
      <c r="DB79" s="35">
        <v>7.55</v>
      </c>
      <c r="DC79" s="49">
        <f t="shared" si="48"/>
        <v>3122.5165562913908</v>
      </c>
      <c r="DD79" s="30">
        <v>11737</v>
      </c>
      <c r="DE79" s="31">
        <v>42000</v>
      </c>
      <c r="DF79" s="35">
        <v>40</v>
      </c>
      <c r="DG79" s="29" t="s">
        <v>25</v>
      </c>
      <c r="DH79" s="29" t="s">
        <v>25</v>
      </c>
      <c r="DI79" s="29" t="s">
        <v>25</v>
      </c>
      <c r="DJ79" s="47">
        <v>1255</v>
      </c>
      <c r="DK79" s="47">
        <v>120</v>
      </c>
      <c r="DL79" s="47">
        <v>26</v>
      </c>
      <c r="DM79" s="47">
        <v>19019</v>
      </c>
      <c r="DN79" s="47">
        <v>950</v>
      </c>
      <c r="DO79" s="47">
        <v>7160</v>
      </c>
      <c r="DP79" s="29" t="s">
        <v>25</v>
      </c>
      <c r="DQ79" s="47">
        <v>41502</v>
      </c>
      <c r="DR79" s="47">
        <v>3093</v>
      </c>
      <c r="DS79" s="30">
        <v>52</v>
      </c>
      <c r="DT79" s="30">
        <v>60</v>
      </c>
      <c r="DU79" s="30">
        <v>60</v>
      </c>
      <c r="DV79" s="30">
        <v>60</v>
      </c>
      <c r="DX79" s="2">
        <f t="shared" si="49"/>
        <v>3093</v>
      </c>
      <c r="DY79" s="33" t="s">
        <v>2187</v>
      </c>
      <c r="DZ79" s="33" t="s">
        <v>261</v>
      </c>
      <c r="EA79" s="33" t="s">
        <v>2033</v>
      </c>
      <c r="EB79" s="33" t="s">
        <v>2027</v>
      </c>
      <c r="EC79" s="36">
        <v>62</v>
      </c>
      <c r="ED79" s="29" t="s">
        <v>258</v>
      </c>
      <c r="EE79" s="29" t="s">
        <v>259</v>
      </c>
      <c r="EF79" s="37">
        <v>41456</v>
      </c>
      <c r="EG79" s="37">
        <v>41820</v>
      </c>
      <c r="EH79" s="29" t="s">
        <v>258</v>
      </c>
      <c r="EI79" s="55">
        <f t="shared" si="50"/>
        <v>1.1179215270413574</v>
      </c>
      <c r="EJ79" s="54">
        <f t="shared" si="51"/>
        <v>8.8229056203605518E-3</v>
      </c>
      <c r="EK79" s="55">
        <f t="shared" si="52"/>
        <v>3.6087380699893954</v>
      </c>
      <c r="EL79" s="54">
        <f t="shared" si="53"/>
        <v>0.26960763520678688</v>
      </c>
    </row>
    <row r="80" spans="1:142" ht="28.8" x14ac:dyDescent="0.3">
      <c r="A80" s="29" t="s">
        <v>264</v>
      </c>
      <c r="B80" s="29"/>
      <c r="C80" s="30">
        <v>10897</v>
      </c>
      <c r="D80" s="30">
        <v>0</v>
      </c>
      <c r="E80" s="30">
        <v>0</v>
      </c>
      <c r="F80" s="30">
        <v>4245</v>
      </c>
      <c r="H80" s="2">
        <f t="shared" si="29"/>
        <v>4245</v>
      </c>
      <c r="I80" s="1">
        <f t="shared" si="28"/>
        <v>0.38955675874093787</v>
      </c>
      <c r="J80" s="31">
        <v>72191</v>
      </c>
      <c r="K80" s="31">
        <v>550</v>
      </c>
      <c r="L80" s="31">
        <v>72741</v>
      </c>
      <c r="M80" s="45">
        <f t="shared" si="30"/>
        <v>6.6753234835275768</v>
      </c>
      <c r="N80" s="31">
        <v>9355</v>
      </c>
      <c r="O80" s="31">
        <v>120</v>
      </c>
      <c r="P80" s="31">
        <v>25</v>
      </c>
      <c r="Q80" s="31">
        <v>9500</v>
      </c>
      <c r="R80" s="45">
        <f t="shared" si="31"/>
        <v>0.87179957786546758</v>
      </c>
      <c r="S80" s="31">
        <v>25468</v>
      </c>
      <c r="T80" s="31">
        <v>107709</v>
      </c>
      <c r="U80" s="31">
        <v>0</v>
      </c>
      <c r="V80" s="31">
        <v>107709</v>
      </c>
      <c r="W80" s="45">
        <f t="shared" si="32"/>
        <v>9.8842800770854371</v>
      </c>
      <c r="X80" s="4">
        <f t="shared" si="33"/>
        <v>0.67534746400022283</v>
      </c>
      <c r="Y80" s="4">
        <f t="shared" si="34"/>
        <v>8.8200614619019763E-2</v>
      </c>
      <c r="Z80" s="4">
        <f t="shared" si="35"/>
        <v>0.23645192138075741</v>
      </c>
      <c r="AA80" s="4">
        <f t="shared" si="36"/>
        <v>0</v>
      </c>
      <c r="AB80" s="31">
        <v>10950</v>
      </c>
      <c r="AC80" s="31">
        <v>8000</v>
      </c>
      <c r="AD80" s="31">
        <v>106209</v>
      </c>
      <c r="AE80" s="31">
        <v>106209</v>
      </c>
      <c r="AF80" s="31">
        <v>45329</v>
      </c>
      <c r="AG80" s="31">
        <v>72837</v>
      </c>
      <c r="AH80" s="31">
        <v>0</v>
      </c>
      <c r="AI80" s="31">
        <v>118166</v>
      </c>
      <c r="AJ80" s="45">
        <f t="shared" si="37"/>
        <v>10.843901991373773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16875</v>
      </c>
      <c r="AQ80" s="31">
        <v>16875</v>
      </c>
      <c r="AR80" s="31">
        <v>135041</v>
      </c>
      <c r="AS80" s="46">
        <f t="shared" si="38"/>
        <v>12.392493346792696</v>
      </c>
      <c r="AT80" s="31">
        <v>0</v>
      </c>
      <c r="AU80" s="31">
        <v>0</v>
      </c>
      <c r="AV80" s="31">
        <v>0</v>
      </c>
      <c r="AW80" s="31">
        <v>0</v>
      </c>
      <c r="AX80" s="31">
        <v>0</v>
      </c>
      <c r="AY80" s="31">
        <v>0</v>
      </c>
      <c r="AZ80" s="31">
        <v>0</v>
      </c>
      <c r="BA80" s="31">
        <v>0</v>
      </c>
      <c r="BB80" s="31">
        <v>0</v>
      </c>
      <c r="BC80" s="33" t="s">
        <v>25</v>
      </c>
      <c r="BD80" s="47">
        <v>24502</v>
      </c>
      <c r="BE80" s="47">
        <v>24721</v>
      </c>
      <c r="BF80" s="45">
        <f t="shared" si="39"/>
        <v>2.2686060383591813</v>
      </c>
      <c r="BG80" s="30">
        <v>350</v>
      </c>
      <c r="BH80" s="30">
        <v>352</v>
      </c>
      <c r="BI80" s="30">
        <v>0</v>
      </c>
      <c r="BJ80" s="30">
        <v>350</v>
      </c>
      <c r="BK80" s="30">
        <v>350</v>
      </c>
      <c r="BL80" s="30">
        <v>0</v>
      </c>
      <c r="BM80" s="30">
        <v>0</v>
      </c>
      <c r="BN80" s="30">
        <v>0</v>
      </c>
      <c r="BO80" s="30">
        <v>51</v>
      </c>
      <c r="BP80" s="30">
        <v>0</v>
      </c>
      <c r="BQ80" s="30">
        <v>51</v>
      </c>
      <c r="BR80" s="47">
        <v>25202</v>
      </c>
      <c r="BS80" s="47">
        <v>25423</v>
      </c>
      <c r="BT80" s="1">
        <f t="shared" si="40"/>
        <v>2.3330274387446086</v>
      </c>
      <c r="BU80" s="30">
        <v>45</v>
      </c>
      <c r="BV80" s="30">
        <v>2</v>
      </c>
      <c r="BW80" s="47">
        <v>19921</v>
      </c>
      <c r="BX80" s="52">
        <f t="shared" si="41"/>
        <v>1.8281178305955768</v>
      </c>
      <c r="BY80" s="47">
        <v>4522</v>
      </c>
      <c r="BZ80" s="47">
        <v>0</v>
      </c>
      <c r="CA80" s="47">
        <v>2526</v>
      </c>
      <c r="CB80" s="47">
        <v>0</v>
      </c>
      <c r="CC80" s="47">
        <v>7048</v>
      </c>
      <c r="CD80" s="55">
        <f t="shared" si="42"/>
        <v>0.6467835183995595</v>
      </c>
      <c r="CE80" s="3">
        <f t="shared" si="43"/>
        <v>2349.3333333333335</v>
      </c>
      <c r="CF80" s="55">
        <f t="shared" si="44"/>
        <v>2.8767346938775509</v>
      </c>
      <c r="CG80" s="55">
        <f t="shared" si="45"/>
        <v>0.31180322066890814</v>
      </c>
      <c r="CH80" s="55">
        <f t="shared" si="46"/>
        <v>0.27722928057270974</v>
      </c>
      <c r="CI80" s="30">
        <v>40</v>
      </c>
      <c r="CJ80" s="30">
        <v>6</v>
      </c>
      <c r="CK80" s="30">
        <v>15</v>
      </c>
      <c r="CL80" s="30">
        <v>61</v>
      </c>
      <c r="CM80" s="30">
        <v>753</v>
      </c>
      <c r="CN80" s="30">
        <v>72</v>
      </c>
      <c r="CO80" s="30">
        <v>308</v>
      </c>
      <c r="CP80" s="30">
        <v>1133</v>
      </c>
      <c r="CQ80" s="1">
        <f t="shared" si="54"/>
        <v>0.10397357070753419</v>
      </c>
      <c r="CR80" s="47">
        <v>22604</v>
      </c>
      <c r="CS80" s="55">
        <f t="shared" si="47"/>
        <v>2.0743323850601083</v>
      </c>
      <c r="CT80" s="59">
        <v>7210</v>
      </c>
      <c r="CU80" s="29" t="s">
        <v>25</v>
      </c>
      <c r="CV80" s="29" t="s">
        <v>25</v>
      </c>
      <c r="CW80" s="29" t="s">
        <v>25</v>
      </c>
      <c r="CX80" s="35">
        <v>0</v>
      </c>
      <c r="CY80" s="49">
        <v>0</v>
      </c>
      <c r="CZ80" s="35">
        <v>1</v>
      </c>
      <c r="DA80" s="35">
        <v>2</v>
      </c>
      <c r="DB80" s="35">
        <v>3</v>
      </c>
      <c r="DC80" s="49">
        <f t="shared" si="48"/>
        <v>3632.3333333333335</v>
      </c>
      <c r="DD80" s="30">
        <v>210</v>
      </c>
      <c r="DE80" s="31">
        <v>25740</v>
      </c>
      <c r="DF80" s="35">
        <v>40</v>
      </c>
      <c r="DG80" s="29" t="s">
        <v>25</v>
      </c>
      <c r="DH80" s="29" t="s">
        <v>25</v>
      </c>
      <c r="DI80" s="29" t="s">
        <v>25</v>
      </c>
      <c r="DJ80" s="47">
        <v>3</v>
      </c>
      <c r="DK80" s="47">
        <v>10</v>
      </c>
      <c r="DL80" s="47">
        <v>21</v>
      </c>
      <c r="DM80" s="47">
        <v>7406</v>
      </c>
      <c r="DN80" s="47">
        <v>211</v>
      </c>
      <c r="DO80" s="47">
        <v>713</v>
      </c>
      <c r="DP80" s="29" t="s">
        <v>2028</v>
      </c>
      <c r="DQ80" s="47">
        <v>0</v>
      </c>
      <c r="DR80" s="47">
        <v>2450</v>
      </c>
      <c r="DS80" s="30">
        <v>52</v>
      </c>
      <c r="DT80" s="30">
        <v>49</v>
      </c>
      <c r="DU80" s="30">
        <v>49</v>
      </c>
      <c r="DV80" s="30">
        <v>49</v>
      </c>
      <c r="DX80" s="2">
        <f t="shared" si="49"/>
        <v>2450</v>
      </c>
      <c r="DY80" s="33" t="s">
        <v>2187</v>
      </c>
      <c r="DZ80" s="33" t="s">
        <v>266</v>
      </c>
      <c r="EA80" s="33" t="s">
        <v>2031</v>
      </c>
      <c r="EB80" s="33" t="s">
        <v>2027</v>
      </c>
      <c r="EC80" s="36">
        <v>63</v>
      </c>
      <c r="ED80" s="29" t="s">
        <v>262</v>
      </c>
      <c r="EE80" s="29" t="s">
        <v>263</v>
      </c>
      <c r="EF80" s="37">
        <v>41640</v>
      </c>
      <c r="EG80" s="37">
        <v>42004</v>
      </c>
      <c r="EH80" s="29" t="s">
        <v>262</v>
      </c>
      <c r="EI80" s="55">
        <f t="shared" si="50"/>
        <v>0.41497659906396256</v>
      </c>
      <c r="EJ80" s="54">
        <f t="shared" si="51"/>
        <v>0</v>
      </c>
      <c r="EK80" s="55">
        <f t="shared" si="52"/>
        <v>0.23180691933559697</v>
      </c>
      <c r="EL80" s="54">
        <f t="shared" si="53"/>
        <v>0</v>
      </c>
    </row>
    <row r="81" spans="1:142" ht="28.8" x14ac:dyDescent="0.3">
      <c r="A81" s="29" t="s">
        <v>267</v>
      </c>
      <c r="B81" s="29"/>
      <c r="C81" s="30">
        <v>148062</v>
      </c>
      <c r="D81" s="30">
        <v>1</v>
      </c>
      <c r="E81" s="30">
        <v>0</v>
      </c>
      <c r="F81" s="30">
        <v>42000</v>
      </c>
      <c r="G81">
        <v>37000</v>
      </c>
      <c r="H81" s="2">
        <f t="shared" si="29"/>
        <v>79000</v>
      </c>
      <c r="I81" s="1">
        <f t="shared" si="28"/>
        <v>0.53356026529426859</v>
      </c>
      <c r="J81" s="31">
        <v>1504534</v>
      </c>
      <c r="K81" s="31">
        <v>496808</v>
      </c>
      <c r="L81" s="31">
        <v>2001342</v>
      </c>
      <c r="M81" s="45">
        <f t="shared" si="30"/>
        <v>13.516918588159015</v>
      </c>
      <c r="N81" s="31">
        <v>287115</v>
      </c>
      <c r="O81" s="31">
        <v>63031</v>
      </c>
      <c r="P81" s="31">
        <v>46362</v>
      </c>
      <c r="Q81" s="31">
        <v>396508</v>
      </c>
      <c r="R81" s="45">
        <f t="shared" si="31"/>
        <v>2.6779862490037956</v>
      </c>
      <c r="S81" s="31">
        <v>1102116</v>
      </c>
      <c r="T81" s="31">
        <v>3499966</v>
      </c>
      <c r="U81" s="31">
        <v>0</v>
      </c>
      <c r="V81" s="31">
        <v>3499966</v>
      </c>
      <c r="W81" s="45">
        <f t="shared" si="32"/>
        <v>23.638516297226836</v>
      </c>
      <c r="X81" s="4">
        <f t="shared" si="33"/>
        <v>0.57181755479910379</v>
      </c>
      <c r="Y81" s="4">
        <f t="shared" si="34"/>
        <v>0.1132891005226908</v>
      </c>
      <c r="Z81" s="4">
        <f t="shared" si="35"/>
        <v>0.31489334467820546</v>
      </c>
      <c r="AA81" s="4">
        <f t="shared" si="36"/>
        <v>0</v>
      </c>
      <c r="AB81" s="31">
        <v>0</v>
      </c>
      <c r="AC81" s="31">
        <v>396089</v>
      </c>
      <c r="AD81" s="31">
        <v>3489766</v>
      </c>
      <c r="AE81" s="31">
        <v>3489766</v>
      </c>
      <c r="AF81" s="31">
        <v>3489766</v>
      </c>
      <c r="AG81" s="31">
        <v>0</v>
      </c>
      <c r="AH81" s="31">
        <v>0</v>
      </c>
      <c r="AI81" s="31">
        <v>3489766</v>
      </c>
      <c r="AJ81" s="45">
        <f t="shared" si="37"/>
        <v>23.569626237657197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10199</v>
      </c>
      <c r="AQ81" s="31">
        <v>10199</v>
      </c>
      <c r="AR81" s="31">
        <v>3499965</v>
      </c>
      <c r="AS81" s="46">
        <f t="shared" si="38"/>
        <v>23.638509543299428</v>
      </c>
      <c r="AT81" s="31">
        <v>0</v>
      </c>
      <c r="AU81" s="31">
        <v>0</v>
      </c>
      <c r="AV81" s="31">
        <v>0</v>
      </c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33" t="s">
        <v>25</v>
      </c>
      <c r="BD81" s="47">
        <v>115790</v>
      </c>
      <c r="BE81" s="47">
        <v>174461</v>
      </c>
      <c r="BF81" s="45">
        <f t="shared" si="39"/>
        <v>1.1782969296646</v>
      </c>
      <c r="BG81" s="30">
        <v>8268</v>
      </c>
      <c r="BH81" s="30">
        <v>8736</v>
      </c>
      <c r="BI81" s="30">
        <v>116</v>
      </c>
      <c r="BJ81" s="30">
        <v>5381</v>
      </c>
      <c r="BK81" s="30">
        <v>7660</v>
      </c>
      <c r="BL81" s="30">
        <v>0</v>
      </c>
      <c r="BM81" s="30">
        <v>3118</v>
      </c>
      <c r="BN81" s="30">
        <v>10</v>
      </c>
      <c r="BO81" s="30">
        <v>51</v>
      </c>
      <c r="BP81" s="30">
        <v>0</v>
      </c>
      <c r="BQ81" s="30">
        <v>61</v>
      </c>
      <c r="BR81" s="47">
        <v>129439</v>
      </c>
      <c r="BS81" s="47">
        <v>194101</v>
      </c>
      <c r="BT81" s="1">
        <f t="shared" si="40"/>
        <v>1.3109440639732004</v>
      </c>
      <c r="BU81" s="30">
        <v>249</v>
      </c>
      <c r="BV81" s="30">
        <v>0</v>
      </c>
      <c r="BW81" s="47">
        <v>95058</v>
      </c>
      <c r="BX81" s="52">
        <f t="shared" si="41"/>
        <v>0.64201483162458972</v>
      </c>
      <c r="BY81" s="47">
        <v>356988</v>
      </c>
      <c r="BZ81" s="47">
        <v>0</v>
      </c>
      <c r="CA81" s="47">
        <v>262246</v>
      </c>
      <c r="CB81" s="47">
        <v>10799</v>
      </c>
      <c r="CC81" s="47">
        <v>630033</v>
      </c>
      <c r="CD81" s="55">
        <f t="shared" si="42"/>
        <v>4.2551971471410628</v>
      </c>
      <c r="CE81" s="3">
        <f t="shared" si="43"/>
        <v>16689.615894039736</v>
      </c>
      <c r="CF81" s="55">
        <f t="shared" si="44"/>
        <v>129.44996918019314</v>
      </c>
      <c r="CG81" s="55">
        <f t="shared" si="45"/>
        <v>1.3934837037299173</v>
      </c>
      <c r="CH81" s="55">
        <f t="shared" si="46"/>
        <v>3.1902669228906602</v>
      </c>
      <c r="CI81" s="30">
        <v>486</v>
      </c>
      <c r="CJ81" s="30">
        <v>17</v>
      </c>
      <c r="CK81" s="30">
        <v>22</v>
      </c>
      <c r="CL81" s="30">
        <v>525</v>
      </c>
      <c r="CM81" s="30">
        <v>24040</v>
      </c>
      <c r="CN81" s="30">
        <v>149</v>
      </c>
      <c r="CO81" s="30">
        <v>310</v>
      </c>
      <c r="CP81" s="30">
        <v>24499</v>
      </c>
      <c r="CQ81" s="1">
        <f t="shared" si="54"/>
        <v>0.16546446758790237</v>
      </c>
      <c r="CR81" s="47">
        <v>452128</v>
      </c>
      <c r="CS81" s="55">
        <f t="shared" si="47"/>
        <v>3.0536396914805959</v>
      </c>
      <c r="CT81" s="59">
        <v>71007</v>
      </c>
      <c r="CU81" s="29" t="s">
        <v>25</v>
      </c>
      <c r="CV81" s="29" t="s">
        <v>25</v>
      </c>
      <c r="CW81" s="29" t="s">
        <v>25</v>
      </c>
      <c r="CX81" s="35">
        <v>13</v>
      </c>
      <c r="CY81" s="49">
        <f t="shared" ref="CY81:CY86" si="55">C81/CX81</f>
        <v>11389.384615384615</v>
      </c>
      <c r="CZ81" s="35">
        <v>0</v>
      </c>
      <c r="DA81" s="35">
        <v>24.75</v>
      </c>
      <c r="DB81" s="35">
        <v>37.75</v>
      </c>
      <c r="DC81" s="49">
        <f t="shared" si="48"/>
        <v>3922.1721854304637</v>
      </c>
      <c r="DD81" s="30">
        <v>1069</v>
      </c>
      <c r="DE81" s="31">
        <v>103452</v>
      </c>
      <c r="DF81" s="35">
        <v>40</v>
      </c>
      <c r="DG81" s="29" t="s">
        <v>25</v>
      </c>
      <c r="DH81" s="29" t="s">
        <v>25</v>
      </c>
      <c r="DI81" s="29" t="s">
        <v>25</v>
      </c>
      <c r="DJ81" s="47">
        <v>169</v>
      </c>
      <c r="DK81" s="47">
        <v>893</v>
      </c>
      <c r="DL81" s="47">
        <v>90</v>
      </c>
      <c r="DM81" s="47">
        <v>74863</v>
      </c>
      <c r="DN81" s="47">
        <v>8137</v>
      </c>
      <c r="DO81" s="47">
        <v>0</v>
      </c>
      <c r="DP81" s="29" t="s">
        <v>25</v>
      </c>
      <c r="DQ81" s="47">
        <v>1461885</v>
      </c>
      <c r="DR81" s="47">
        <v>2392</v>
      </c>
      <c r="DS81" s="30">
        <v>52</v>
      </c>
      <c r="DT81" s="30">
        <v>62</v>
      </c>
      <c r="DU81" s="30">
        <v>48</v>
      </c>
      <c r="DV81" s="30">
        <v>48</v>
      </c>
      <c r="DW81">
        <f>VLOOKUP(EC81,branch!$I$4:$K$77,3,0)</f>
        <v>2475</v>
      </c>
      <c r="DX81" s="2">
        <f t="shared" si="49"/>
        <v>4867</v>
      </c>
      <c r="DY81" s="33" t="s">
        <v>2182</v>
      </c>
      <c r="DZ81" s="33" t="s">
        <v>270</v>
      </c>
      <c r="EA81" s="33" t="s">
        <v>2030</v>
      </c>
      <c r="EB81" s="33" t="s">
        <v>2027</v>
      </c>
      <c r="EC81" s="36">
        <v>64</v>
      </c>
      <c r="ED81" s="29" t="s">
        <v>268</v>
      </c>
      <c r="EE81" s="29" t="s">
        <v>269</v>
      </c>
      <c r="EF81" s="37">
        <v>41548</v>
      </c>
      <c r="EG81" s="37">
        <v>41912</v>
      </c>
      <c r="EH81" s="29" t="s">
        <v>268</v>
      </c>
      <c r="EI81" s="55">
        <f t="shared" si="50"/>
        <v>2.4110710378084854</v>
      </c>
      <c r="EJ81" s="54">
        <f t="shared" si="51"/>
        <v>0</v>
      </c>
      <c r="EK81" s="55">
        <f t="shared" si="52"/>
        <v>1.771190447245073</v>
      </c>
      <c r="EL81" s="54">
        <f t="shared" si="53"/>
        <v>7.2935662087503877E-2</v>
      </c>
    </row>
    <row r="82" spans="1:142" ht="28.8" x14ac:dyDescent="0.3">
      <c r="A82" s="29" t="s">
        <v>271</v>
      </c>
      <c r="B82" s="29"/>
      <c r="C82" s="30">
        <v>23870</v>
      </c>
      <c r="D82" s="30">
        <v>0</v>
      </c>
      <c r="E82" s="30">
        <v>0</v>
      </c>
      <c r="F82" s="30">
        <v>14200</v>
      </c>
      <c r="H82" s="2">
        <f t="shared" si="29"/>
        <v>14200</v>
      </c>
      <c r="I82" s="1">
        <f t="shared" si="28"/>
        <v>0.59488898198575613</v>
      </c>
      <c r="J82" s="31">
        <v>197621</v>
      </c>
      <c r="K82" s="31">
        <v>147556</v>
      </c>
      <c r="L82" s="31">
        <v>345177</v>
      </c>
      <c r="M82" s="45">
        <f t="shared" si="30"/>
        <v>14.460703812316716</v>
      </c>
      <c r="N82" s="31">
        <v>24658</v>
      </c>
      <c r="O82" s="31">
        <v>2000</v>
      </c>
      <c r="P82" s="31">
        <v>10501</v>
      </c>
      <c r="Q82" s="31">
        <v>37159</v>
      </c>
      <c r="R82" s="45">
        <f t="shared" si="31"/>
        <v>1.5567239212400503</v>
      </c>
      <c r="S82" s="31">
        <v>116874</v>
      </c>
      <c r="T82" s="31">
        <v>499210</v>
      </c>
      <c r="U82" s="31">
        <v>0</v>
      </c>
      <c r="V82" s="31">
        <v>499210</v>
      </c>
      <c r="W82" s="45">
        <f t="shared" si="32"/>
        <v>20.913699204021786</v>
      </c>
      <c r="X82" s="4">
        <f t="shared" si="33"/>
        <v>0.69144648544700626</v>
      </c>
      <c r="Y82" s="4">
        <f t="shared" si="34"/>
        <v>7.4435608261052458E-2</v>
      </c>
      <c r="Z82" s="4">
        <f t="shared" si="35"/>
        <v>0.23411790629194126</v>
      </c>
      <c r="AA82" s="4">
        <f t="shared" si="36"/>
        <v>0</v>
      </c>
      <c r="AB82" s="31">
        <v>0</v>
      </c>
      <c r="AC82" s="31">
        <v>37158</v>
      </c>
      <c r="AD82" s="31">
        <v>437941</v>
      </c>
      <c r="AE82" s="31">
        <v>425260</v>
      </c>
      <c r="AF82" s="31">
        <v>235133</v>
      </c>
      <c r="AG82" s="31">
        <v>352660</v>
      </c>
      <c r="AH82" s="31">
        <v>0</v>
      </c>
      <c r="AI82" s="31">
        <v>587793</v>
      </c>
      <c r="AJ82" s="45">
        <f t="shared" si="37"/>
        <v>24.624759111855887</v>
      </c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117111</v>
      </c>
      <c r="AQ82" s="31">
        <v>117111</v>
      </c>
      <c r="AR82" s="31">
        <v>704904</v>
      </c>
      <c r="AS82" s="46">
        <f t="shared" si="38"/>
        <v>29.530959363217427</v>
      </c>
      <c r="AT82" s="31">
        <v>0</v>
      </c>
      <c r="AU82" s="31">
        <v>0</v>
      </c>
      <c r="AV82" s="31">
        <v>0</v>
      </c>
      <c r="AW82" s="31">
        <v>0</v>
      </c>
      <c r="AX82" s="31">
        <v>0</v>
      </c>
      <c r="AY82" s="31">
        <v>0</v>
      </c>
      <c r="AZ82" s="31">
        <v>0</v>
      </c>
      <c r="BA82" s="31">
        <v>0</v>
      </c>
      <c r="BB82" s="31">
        <v>0</v>
      </c>
      <c r="BC82" s="33" t="s">
        <v>25</v>
      </c>
      <c r="BD82" s="47">
        <v>45539</v>
      </c>
      <c r="BE82" s="47">
        <v>47356</v>
      </c>
      <c r="BF82" s="45">
        <f t="shared" si="39"/>
        <v>1.9839128613322161</v>
      </c>
      <c r="BG82" s="30">
        <v>1883</v>
      </c>
      <c r="BH82" s="30">
        <v>1903</v>
      </c>
      <c r="BI82" s="30">
        <v>1636</v>
      </c>
      <c r="BJ82" s="30">
        <v>2930</v>
      </c>
      <c r="BK82" s="30">
        <v>3417</v>
      </c>
      <c r="BL82" s="30">
        <v>43</v>
      </c>
      <c r="BM82" s="30">
        <v>8952</v>
      </c>
      <c r="BN82" s="30">
        <v>0</v>
      </c>
      <c r="BO82" s="30">
        <v>51</v>
      </c>
      <c r="BP82" s="30">
        <v>0</v>
      </c>
      <c r="BQ82" s="30">
        <v>51</v>
      </c>
      <c r="BR82" s="47">
        <v>50352</v>
      </c>
      <c r="BS82" s="47">
        <v>63307</v>
      </c>
      <c r="BT82" s="1">
        <f t="shared" si="40"/>
        <v>2.6521575198994554</v>
      </c>
      <c r="BU82" s="30">
        <v>30</v>
      </c>
      <c r="BV82" s="30">
        <v>4</v>
      </c>
      <c r="BW82" s="47">
        <v>94500</v>
      </c>
      <c r="BX82" s="52">
        <f t="shared" si="41"/>
        <v>3.9589442815249267</v>
      </c>
      <c r="BY82" s="47">
        <v>17670</v>
      </c>
      <c r="BZ82" s="47">
        <v>405</v>
      </c>
      <c r="CA82" s="47">
        <v>108188</v>
      </c>
      <c r="CB82" s="47">
        <v>2781</v>
      </c>
      <c r="CC82" s="47">
        <v>129044</v>
      </c>
      <c r="CD82" s="55">
        <f t="shared" si="42"/>
        <v>5.4061164641809807</v>
      </c>
      <c r="CE82" s="3">
        <f t="shared" si="43"/>
        <v>14832.643678160921</v>
      </c>
      <c r="CF82" s="55">
        <f t="shared" si="44"/>
        <v>54.517955217574986</v>
      </c>
      <c r="CG82" s="55">
        <f t="shared" si="45"/>
        <v>1.6739395511739525</v>
      </c>
      <c r="CH82" s="55">
        <f t="shared" si="46"/>
        <v>1.9880581926169303</v>
      </c>
      <c r="CI82" s="30">
        <v>59</v>
      </c>
      <c r="CJ82" s="30">
        <v>3</v>
      </c>
      <c r="CK82" s="30">
        <v>5</v>
      </c>
      <c r="CL82" s="30">
        <v>67</v>
      </c>
      <c r="CM82" s="30">
        <v>1759</v>
      </c>
      <c r="CN82" s="30">
        <v>23</v>
      </c>
      <c r="CO82" s="30">
        <v>427</v>
      </c>
      <c r="CP82" s="30">
        <v>2209</v>
      </c>
      <c r="CQ82" s="1">
        <f t="shared" si="54"/>
        <v>9.2542940930037704E-2</v>
      </c>
      <c r="CR82" s="47">
        <v>77090</v>
      </c>
      <c r="CS82" s="55">
        <f t="shared" si="47"/>
        <v>3.2295768747381652</v>
      </c>
      <c r="CT82" s="59">
        <v>9987</v>
      </c>
      <c r="CU82" s="29" t="s">
        <v>25</v>
      </c>
      <c r="CV82" s="29" t="s">
        <v>25</v>
      </c>
      <c r="CW82" s="29" t="s">
        <v>25</v>
      </c>
      <c r="CX82" s="35">
        <v>0.5</v>
      </c>
      <c r="CY82" s="49">
        <f t="shared" si="55"/>
        <v>47740</v>
      </c>
      <c r="CZ82" s="35">
        <v>1</v>
      </c>
      <c r="DA82" s="35">
        <v>7.2</v>
      </c>
      <c r="DB82" s="35">
        <v>8.6999999999999993</v>
      </c>
      <c r="DC82" s="49">
        <f t="shared" si="48"/>
        <v>2743.6781609195405</v>
      </c>
      <c r="DD82" s="30">
        <v>403</v>
      </c>
      <c r="DE82" s="31">
        <v>38115</v>
      </c>
      <c r="DF82" s="35">
        <v>40</v>
      </c>
      <c r="DG82" s="29" t="s">
        <v>25</v>
      </c>
      <c r="DH82" s="29" t="s">
        <v>26</v>
      </c>
      <c r="DI82" s="29" t="s">
        <v>26</v>
      </c>
      <c r="DJ82" s="47">
        <v>22</v>
      </c>
      <c r="DK82" s="47">
        <v>1</v>
      </c>
      <c r="DL82" s="47">
        <v>16</v>
      </c>
      <c r="DM82" s="47">
        <v>40292</v>
      </c>
      <c r="DN82" s="47">
        <v>9323</v>
      </c>
      <c r="DO82" s="47">
        <v>3819</v>
      </c>
      <c r="DP82" s="29" t="s">
        <v>25</v>
      </c>
      <c r="DQ82" s="47">
        <v>4092</v>
      </c>
      <c r="DR82" s="47">
        <v>2367</v>
      </c>
      <c r="DS82" s="30">
        <v>52</v>
      </c>
      <c r="DT82" s="30">
        <v>49</v>
      </c>
      <c r="DU82" s="30">
        <v>49</v>
      </c>
      <c r="DV82" s="30">
        <v>49</v>
      </c>
      <c r="DX82" s="2">
        <f t="shared" si="49"/>
        <v>2367</v>
      </c>
      <c r="DY82" s="33" t="s">
        <v>2182</v>
      </c>
      <c r="DZ82" s="33" t="s">
        <v>274</v>
      </c>
      <c r="EA82" s="33" t="s">
        <v>2032</v>
      </c>
      <c r="EB82" s="33" t="s">
        <v>2027</v>
      </c>
      <c r="EC82" s="36">
        <v>65</v>
      </c>
      <c r="ED82" s="29" t="s">
        <v>272</v>
      </c>
      <c r="EE82" s="29" t="s">
        <v>273</v>
      </c>
      <c r="EF82" s="37">
        <v>41640</v>
      </c>
      <c r="EG82" s="37">
        <v>42004</v>
      </c>
      <c r="EH82" s="29" t="s">
        <v>272</v>
      </c>
      <c r="EI82" s="55">
        <f t="shared" si="50"/>
        <v>0.74025974025974028</v>
      </c>
      <c r="EJ82" s="54">
        <f t="shared" si="51"/>
        <v>1.6966904063678259E-2</v>
      </c>
      <c r="EK82" s="55">
        <f t="shared" si="52"/>
        <v>4.5323837452869711</v>
      </c>
      <c r="EL82" s="54">
        <f t="shared" si="53"/>
        <v>0.1165060745705907</v>
      </c>
    </row>
    <row r="83" spans="1:142" ht="28.8" x14ac:dyDescent="0.3">
      <c r="A83" s="29" t="s">
        <v>275</v>
      </c>
      <c r="B83" s="29"/>
      <c r="C83" s="30">
        <v>2883</v>
      </c>
      <c r="D83" s="30">
        <v>0</v>
      </c>
      <c r="E83" s="30">
        <v>0</v>
      </c>
      <c r="F83" s="30">
        <v>4040</v>
      </c>
      <c r="H83" s="2">
        <f t="shared" si="29"/>
        <v>4040</v>
      </c>
      <c r="I83" s="1">
        <f t="shared" si="28"/>
        <v>1.4013180714533473</v>
      </c>
      <c r="J83" s="31">
        <v>115496</v>
      </c>
      <c r="K83" s="31">
        <v>26141</v>
      </c>
      <c r="L83" s="31">
        <v>141637</v>
      </c>
      <c r="M83" s="45">
        <f t="shared" si="30"/>
        <v>49.128338536246964</v>
      </c>
      <c r="N83" s="31">
        <v>8624</v>
      </c>
      <c r="O83" s="31">
        <v>1500</v>
      </c>
      <c r="P83" s="31">
        <v>985</v>
      </c>
      <c r="Q83" s="31">
        <v>11109</v>
      </c>
      <c r="R83" s="45">
        <f t="shared" si="31"/>
        <v>3.8532778355879294</v>
      </c>
      <c r="S83" s="31">
        <v>45829</v>
      </c>
      <c r="T83" s="31">
        <v>198575</v>
      </c>
      <c r="U83" s="31">
        <v>0</v>
      </c>
      <c r="V83" s="31">
        <v>198575</v>
      </c>
      <c r="W83" s="45">
        <f t="shared" si="32"/>
        <v>68.877904960110996</v>
      </c>
      <c r="X83" s="4">
        <f t="shared" si="33"/>
        <v>0.71326702757144655</v>
      </c>
      <c r="Y83" s="4">
        <f t="shared" si="34"/>
        <v>5.5943598136724157E-2</v>
      </c>
      <c r="Z83" s="4">
        <f t="shared" si="35"/>
        <v>0.23078937429182927</v>
      </c>
      <c r="AA83" s="4">
        <f t="shared" si="36"/>
        <v>0</v>
      </c>
      <c r="AB83" s="31">
        <v>0</v>
      </c>
      <c r="AC83" s="31">
        <v>11109</v>
      </c>
      <c r="AD83" s="31">
        <v>198575</v>
      </c>
      <c r="AE83" s="31">
        <v>198575</v>
      </c>
      <c r="AF83" s="31">
        <v>198575</v>
      </c>
      <c r="AG83" s="31">
        <v>0</v>
      </c>
      <c r="AH83" s="31">
        <v>0</v>
      </c>
      <c r="AI83" s="31">
        <v>198575</v>
      </c>
      <c r="AJ83" s="45">
        <f t="shared" si="37"/>
        <v>68.877904960110996</v>
      </c>
      <c r="AK83" s="31"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0</v>
      </c>
      <c r="AQ83" s="31">
        <v>0</v>
      </c>
      <c r="AR83" s="31">
        <v>198575</v>
      </c>
      <c r="AS83" s="46">
        <f t="shared" si="38"/>
        <v>68.877904960110996</v>
      </c>
      <c r="AT83" s="31">
        <v>0</v>
      </c>
      <c r="AU83" s="31">
        <v>0</v>
      </c>
      <c r="AV83" s="31">
        <v>0</v>
      </c>
      <c r="AW83" s="31">
        <v>0</v>
      </c>
      <c r="AX83" s="31">
        <v>0</v>
      </c>
      <c r="AY83" s="31">
        <v>0</v>
      </c>
      <c r="AZ83" s="31">
        <v>0</v>
      </c>
      <c r="BA83" s="31">
        <v>0</v>
      </c>
      <c r="BB83" s="31">
        <v>0</v>
      </c>
      <c r="BC83" s="33" t="s">
        <v>25</v>
      </c>
      <c r="BD83" s="47">
        <v>12507</v>
      </c>
      <c r="BE83" s="47">
        <v>12606</v>
      </c>
      <c r="BF83" s="45">
        <f t="shared" si="39"/>
        <v>4.3725286160249741</v>
      </c>
      <c r="BG83" s="30">
        <v>619</v>
      </c>
      <c r="BH83" s="30">
        <v>619</v>
      </c>
      <c r="BI83" s="30">
        <v>1067</v>
      </c>
      <c r="BJ83" s="30">
        <v>1151</v>
      </c>
      <c r="BK83" s="30">
        <v>1154</v>
      </c>
      <c r="BL83" s="30">
        <v>163</v>
      </c>
      <c r="BM83" s="30">
        <v>3884</v>
      </c>
      <c r="BN83" s="30">
        <v>0</v>
      </c>
      <c r="BO83" s="30">
        <v>51</v>
      </c>
      <c r="BP83" s="30">
        <v>0</v>
      </c>
      <c r="BQ83" s="30">
        <v>51</v>
      </c>
      <c r="BR83" s="47">
        <v>14277</v>
      </c>
      <c r="BS83" s="47">
        <v>19493</v>
      </c>
      <c r="BT83" s="1">
        <f t="shared" si="40"/>
        <v>6.7613596947624002</v>
      </c>
      <c r="BU83" s="30">
        <v>21</v>
      </c>
      <c r="BV83" s="30">
        <v>0</v>
      </c>
      <c r="BW83" s="47">
        <v>859</v>
      </c>
      <c r="BX83" s="52">
        <f t="shared" si="41"/>
        <v>0.29795352063822406</v>
      </c>
      <c r="BY83" s="47">
        <v>5934</v>
      </c>
      <c r="BZ83" s="47">
        <v>76</v>
      </c>
      <c r="CA83" s="47">
        <v>14737</v>
      </c>
      <c r="CB83" s="47">
        <v>1961</v>
      </c>
      <c r="CC83" s="47">
        <v>22708</v>
      </c>
      <c r="CD83" s="55">
        <f t="shared" si="42"/>
        <v>7.8765175164758929</v>
      </c>
      <c r="CE83" s="3">
        <f t="shared" si="43"/>
        <v>9461.6666666666679</v>
      </c>
      <c r="CF83" s="55">
        <f t="shared" si="44"/>
        <v>10.114922048997773</v>
      </c>
      <c r="CG83" s="55">
        <f t="shared" si="45"/>
        <v>0.91343523732904264</v>
      </c>
      <c r="CH83" s="55">
        <f t="shared" si="46"/>
        <v>1.0604319499307444</v>
      </c>
      <c r="CI83" s="30">
        <v>52</v>
      </c>
      <c r="CJ83" s="30">
        <v>39</v>
      </c>
      <c r="CK83" s="30">
        <v>72</v>
      </c>
      <c r="CL83" s="30">
        <v>163</v>
      </c>
      <c r="CM83" s="30">
        <v>1027</v>
      </c>
      <c r="CN83" s="30">
        <v>819</v>
      </c>
      <c r="CO83" s="30">
        <v>699</v>
      </c>
      <c r="CP83" s="30">
        <v>2545</v>
      </c>
      <c r="CQ83" s="1">
        <f t="shared" si="54"/>
        <v>0.88276101283385366</v>
      </c>
      <c r="CR83" s="47">
        <v>24860</v>
      </c>
      <c r="CS83" s="55">
        <f t="shared" si="47"/>
        <v>8.6229621921609443</v>
      </c>
      <c r="CT83" s="59">
        <v>3820</v>
      </c>
      <c r="CU83" s="29" t="s">
        <v>25</v>
      </c>
      <c r="CV83" s="29" t="s">
        <v>25</v>
      </c>
      <c r="CW83" s="29" t="s">
        <v>25</v>
      </c>
      <c r="CX83" s="35">
        <v>1</v>
      </c>
      <c r="CY83" s="49">
        <f t="shared" si="55"/>
        <v>2883</v>
      </c>
      <c r="CZ83" s="35">
        <v>0</v>
      </c>
      <c r="DA83" s="35">
        <v>1.4</v>
      </c>
      <c r="DB83" s="35">
        <v>2.4</v>
      </c>
      <c r="DC83" s="49">
        <f t="shared" si="48"/>
        <v>1201.25</v>
      </c>
      <c r="DD83" s="30">
        <v>1646</v>
      </c>
      <c r="DE83" s="31">
        <v>30000</v>
      </c>
      <c r="DF83" s="35">
        <v>40</v>
      </c>
      <c r="DG83" s="29" t="s">
        <v>25</v>
      </c>
      <c r="DH83" s="29" t="s">
        <v>25</v>
      </c>
      <c r="DI83" s="29" t="s">
        <v>25</v>
      </c>
      <c r="DJ83" s="47">
        <v>482</v>
      </c>
      <c r="DK83" s="47">
        <v>57</v>
      </c>
      <c r="DL83" s="47">
        <v>16</v>
      </c>
      <c r="DM83" s="47">
        <v>9070</v>
      </c>
      <c r="DN83" s="47">
        <v>75</v>
      </c>
      <c r="DO83" s="47">
        <v>0</v>
      </c>
      <c r="DP83" s="29" t="s">
        <v>2028</v>
      </c>
      <c r="DQ83" s="47">
        <v>0</v>
      </c>
      <c r="DR83" s="47">
        <v>2245</v>
      </c>
      <c r="DS83" s="30">
        <v>52</v>
      </c>
      <c r="DT83" s="30">
        <v>45</v>
      </c>
      <c r="DU83" s="30">
        <v>45</v>
      </c>
      <c r="DV83" s="30">
        <v>45</v>
      </c>
      <c r="DX83" s="2">
        <f t="shared" si="49"/>
        <v>2245</v>
      </c>
      <c r="DY83" s="33" t="s">
        <v>2187</v>
      </c>
      <c r="DZ83" s="33" t="s">
        <v>278</v>
      </c>
      <c r="EA83" s="33" t="s">
        <v>2030</v>
      </c>
      <c r="EB83" s="33" t="s">
        <v>2027</v>
      </c>
      <c r="EC83" s="36">
        <v>66</v>
      </c>
      <c r="ED83" s="29" t="s">
        <v>276</v>
      </c>
      <c r="EE83" s="29" t="s">
        <v>277</v>
      </c>
      <c r="EF83" s="37">
        <v>41548</v>
      </c>
      <c r="EG83" s="37">
        <v>41912</v>
      </c>
      <c r="EH83" s="29" t="s">
        <v>276</v>
      </c>
      <c r="EI83" s="55">
        <f t="shared" si="50"/>
        <v>2.0582726326742975</v>
      </c>
      <c r="EJ83" s="54">
        <f t="shared" si="51"/>
        <v>2.6361429066944154E-2</v>
      </c>
      <c r="EK83" s="55">
        <f t="shared" si="52"/>
        <v>5.1116892126257367</v>
      </c>
      <c r="EL83" s="54">
        <f t="shared" si="53"/>
        <v>0.68019424210891433</v>
      </c>
    </row>
    <row r="84" spans="1:142" ht="43.2" x14ac:dyDescent="0.3">
      <c r="A84" s="29" t="s">
        <v>1392</v>
      </c>
      <c r="B84" s="29"/>
      <c r="C84" s="30">
        <v>46663</v>
      </c>
      <c r="D84" s="30">
        <v>0</v>
      </c>
      <c r="E84" s="30">
        <v>0</v>
      </c>
      <c r="F84" s="30">
        <v>10800</v>
      </c>
      <c r="H84" s="2">
        <f t="shared" si="29"/>
        <v>10800</v>
      </c>
      <c r="I84" s="1">
        <f t="shared" si="28"/>
        <v>0.2314467565308703</v>
      </c>
      <c r="J84" s="31">
        <v>415682</v>
      </c>
      <c r="K84" s="31">
        <v>134867</v>
      </c>
      <c r="L84" s="31">
        <v>550549</v>
      </c>
      <c r="M84" s="45">
        <f t="shared" si="30"/>
        <v>11.798405589010565</v>
      </c>
      <c r="N84" s="31">
        <v>33211</v>
      </c>
      <c r="O84" s="31">
        <v>11351</v>
      </c>
      <c r="P84" s="31">
        <v>19360</v>
      </c>
      <c r="Q84" s="31">
        <v>63922</v>
      </c>
      <c r="R84" s="45">
        <f t="shared" si="31"/>
        <v>1.3698647750894712</v>
      </c>
      <c r="S84" s="31">
        <v>213615</v>
      </c>
      <c r="T84" s="31">
        <v>828086</v>
      </c>
      <c r="U84" s="31">
        <v>0</v>
      </c>
      <c r="V84" s="31">
        <v>828086</v>
      </c>
      <c r="W84" s="45">
        <f t="shared" si="32"/>
        <v>17.746094335983543</v>
      </c>
      <c r="X84" s="4">
        <f t="shared" si="33"/>
        <v>0.66484519723796809</v>
      </c>
      <c r="Y84" s="4">
        <f t="shared" si="34"/>
        <v>7.7192465516866607E-2</v>
      </c>
      <c r="Z84" s="4">
        <f t="shared" si="35"/>
        <v>0.25796233724516537</v>
      </c>
      <c r="AA84" s="4">
        <f t="shared" si="36"/>
        <v>0</v>
      </c>
      <c r="AB84" s="31">
        <v>0</v>
      </c>
      <c r="AC84" s="31">
        <v>63922</v>
      </c>
      <c r="AD84" s="31">
        <v>828086</v>
      </c>
      <c r="AE84" s="31">
        <v>828086</v>
      </c>
      <c r="AF84" s="31">
        <v>828086</v>
      </c>
      <c r="AG84" s="31">
        <v>0</v>
      </c>
      <c r="AH84" s="31">
        <v>0</v>
      </c>
      <c r="AI84" s="31">
        <v>828086</v>
      </c>
      <c r="AJ84" s="45">
        <f t="shared" si="37"/>
        <v>17.746094335983543</v>
      </c>
      <c r="AK84" s="31">
        <v>288</v>
      </c>
      <c r="AL84" s="31">
        <v>0</v>
      </c>
      <c r="AM84" s="31">
        <v>0</v>
      </c>
      <c r="AN84" s="31">
        <v>0</v>
      </c>
      <c r="AO84" s="31">
        <v>1500</v>
      </c>
      <c r="AP84" s="31">
        <v>5007</v>
      </c>
      <c r="AQ84" s="31">
        <v>6507</v>
      </c>
      <c r="AR84" s="31">
        <v>834881</v>
      </c>
      <c r="AS84" s="46">
        <f t="shared" si="38"/>
        <v>17.891712920300879</v>
      </c>
      <c r="AT84" s="31">
        <v>0</v>
      </c>
      <c r="AU84" s="31">
        <v>0</v>
      </c>
      <c r="AV84" s="31">
        <v>0</v>
      </c>
      <c r="AW84" s="31">
        <v>0</v>
      </c>
      <c r="AX84" s="31">
        <v>0</v>
      </c>
      <c r="AY84" s="31">
        <v>0</v>
      </c>
      <c r="AZ84" s="31">
        <v>0</v>
      </c>
      <c r="BA84" s="31">
        <v>0</v>
      </c>
      <c r="BB84" s="31">
        <v>0</v>
      </c>
      <c r="BC84" s="33" t="s">
        <v>25</v>
      </c>
      <c r="BD84" s="47">
        <v>60339</v>
      </c>
      <c r="BE84" s="47">
        <v>68720</v>
      </c>
      <c r="BF84" s="45">
        <f t="shared" si="39"/>
        <v>1.4726871397038339</v>
      </c>
      <c r="BG84" s="30">
        <v>3717</v>
      </c>
      <c r="BH84" s="30">
        <v>4015</v>
      </c>
      <c r="BI84" s="30">
        <v>96</v>
      </c>
      <c r="BJ84" s="30">
        <v>4696</v>
      </c>
      <c r="BK84" s="30">
        <v>5652</v>
      </c>
      <c r="BL84" s="30">
        <v>85</v>
      </c>
      <c r="BM84" s="30">
        <v>957</v>
      </c>
      <c r="BN84" s="30">
        <v>6</v>
      </c>
      <c r="BO84" s="30">
        <v>51</v>
      </c>
      <c r="BP84" s="30">
        <v>0</v>
      </c>
      <c r="BQ84" s="30">
        <v>57</v>
      </c>
      <c r="BR84" s="47">
        <v>68752</v>
      </c>
      <c r="BS84" s="47">
        <v>79531</v>
      </c>
      <c r="BT84" s="1">
        <f t="shared" si="40"/>
        <v>1.7043696290422818</v>
      </c>
      <c r="BU84" s="30">
        <v>72</v>
      </c>
      <c r="BV84" s="30">
        <v>1</v>
      </c>
      <c r="BW84" s="47">
        <v>12655</v>
      </c>
      <c r="BX84" s="52">
        <f t="shared" si="41"/>
        <v>0.27119987999057071</v>
      </c>
      <c r="BY84" s="47">
        <v>60326</v>
      </c>
      <c r="BZ84" s="47">
        <v>123</v>
      </c>
      <c r="CA84" s="47">
        <v>79706</v>
      </c>
      <c r="CB84" s="47">
        <v>1526</v>
      </c>
      <c r="CC84" s="47">
        <v>141681</v>
      </c>
      <c r="CD84" s="55">
        <f t="shared" si="42"/>
        <v>3.036259991856503</v>
      </c>
      <c r="CE84" s="3">
        <f t="shared" si="43"/>
        <v>11981.479915433405</v>
      </c>
      <c r="CF84" s="55">
        <f t="shared" si="44"/>
        <v>50.17032577903683</v>
      </c>
      <c r="CG84" s="55">
        <f t="shared" si="45"/>
        <v>1.4440888381527046</v>
      </c>
      <c r="CH84" s="55">
        <f t="shared" si="46"/>
        <v>1.760722234097396</v>
      </c>
      <c r="CI84" s="30">
        <v>384</v>
      </c>
      <c r="CJ84" s="30">
        <v>64</v>
      </c>
      <c r="CK84" s="30">
        <v>192</v>
      </c>
      <c r="CL84" s="30">
        <v>640</v>
      </c>
      <c r="CM84" s="30">
        <v>17766</v>
      </c>
      <c r="CN84" s="30">
        <v>612</v>
      </c>
      <c r="CO84" s="30">
        <v>7992</v>
      </c>
      <c r="CP84" s="30">
        <v>26370</v>
      </c>
      <c r="CQ84" s="1">
        <f t="shared" si="54"/>
        <v>0.56511583052954162</v>
      </c>
      <c r="CR84" s="47">
        <v>98111</v>
      </c>
      <c r="CS84" s="55">
        <f t="shared" si="47"/>
        <v>2.102543771296316</v>
      </c>
      <c r="CT84" s="59">
        <v>44784</v>
      </c>
      <c r="CU84" s="29" t="s">
        <v>25</v>
      </c>
      <c r="CV84" s="29" t="s">
        <v>25</v>
      </c>
      <c r="CW84" s="29" t="s">
        <v>25</v>
      </c>
      <c r="CX84" s="35">
        <v>2.7</v>
      </c>
      <c r="CY84" s="49">
        <f t="shared" si="55"/>
        <v>17282.592592592591</v>
      </c>
      <c r="CZ84" s="35">
        <v>5.3250000000000002</v>
      </c>
      <c r="DA84" s="35">
        <v>3.8</v>
      </c>
      <c r="DB84" s="35">
        <v>11.824999999999999</v>
      </c>
      <c r="DC84" s="49">
        <f t="shared" si="48"/>
        <v>3946.1310782241017</v>
      </c>
      <c r="DD84" s="30">
        <v>1391</v>
      </c>
      <c r="DE84" s="31">
        <v>86884</v>
      </c>
      <c r="DF84" s="35">
        <v>40</v>
      </c>
      <c r="DG84" s="29" t="s">
        <v>25</v>
      </c>
      <c r="DH84" s="29" t="s">
        <v>25</v>
      </c>
      <c r="DI84" s="29" t="s">
        <v>25</v>
      </c>
      <c r="DJ84" s="47">
        <v>77</v>
      </c>
      <c r="DK84" s="47">
        <v>156</v>
      </c>
      <c r="DL84" s="47">
        <v>37</v>
      </c>
      <c r="DM84" s="47">
        <v>47798</v>
      </c>
      <c r="DN84" s="47">
        <v>4672</v>
      </c>
      <c r="DO84" s="47">
        <v>3877</v>
      </c>
      <c r="DP84" s="29" t="s">
        <v>25</v>
      </c>
      <c r="DQ84" s="47">
        <v>71676</v>
      </c>
      <c r="DR84" s="47">
        <v>2824</v>
      </c>
      <c r="DS84" s="30">
        <v>52</v>
      </c>
      <c r="DT84" s="30">
        <v>56</v>
      </c>
      <c r="DU84" s="30">
        <v>56</v>
      </c>
      <c r="DV84" s="30">
        <v>56</v>
      </c>
      <c r="DX84" s="2">
        <f t="shared" si="49"/>
        <v>2824</v>
      </c>
      <c r="DY84" s="33" t="s">
        <v>2182</v>
      </c>
      <c r="DZ84" s="33" t="s">
        <v>1393</v>
      </c>
      <c r="EA84" s="33" t="s">
        <v>2030</v>
      </c>
      <c r="EB84" s="33" t="s">
        <v>2027</v>
      </c>
      <c r="EC84" s="36">
        <v>433</v>
      </c>
      <c r="ED84" s="29" t="s">
        <v>1391</v>
      </c>
      <c r="EE84" s="29" t="s">
        <v>269</v>
      </c>
      <c r="EF84" s="37">
        <v>41548</v>
      </c>
      <c r="EG84" s="37">
        <v>41912</v>
      </c>
      <c r="EH84" s="29" t="s">
        <v>1391</v>
      </c>
      <c r="EI84" s="55">
        <f t="shared" si="50"/>
        <v>1.2928015772667854</v>
      </c>
      <c r="EJ84" s="54">
        <f t="shared" si="51"/>
        <v>2.6359213938238002E-3</v>
      </c>
      <c r="EK84" s="55">
        <f t="shared" si="52"/>
        <v>1.7081199237082914</v>
      </c>
      <c r="EL84" s="54">
        <f t="shared" si="53"/>
        <v>3.2702569487602598E-2</v>
      </c>
    </row>
    <row r="85" spans="1:142" ht="28.8" x14ac:dyDescent="0.3">
      <c r="A85" s="29" t="s">
        <v>281</v>
      </c>
      <c r="B85" s="29"/>
      <c r="C85" s="30">
        <v>61238</v>
      </c>
      <c r="D85" s="30">
        <v>0</v>
      </c>
      <c r="E85" s="30">
        <v>0</v>
      </c>
      <c r="F85" s="30">
        <v>25500</v>
      </c>
      <c r="H85" s="2">
        <f t="shared" si="29"/>
        <v>25500</v>
      </c>
      <c r="I85" s="1">
        <f t="shared" si="28"/>
        <v>0.41640811260981742</v>
      </c>
      <c r="J85" s="31">
        <v>658014</v>
      </c>
      <c r="K85" s="31">
        <v>157511</v>
      </c>
      <c r="L85" s="31">
        <v>815525</v>
      </c>
      <c r="M85" s="45">
        <f t="shared" si="30"/>
        <v>13.31730298180868</v>
      </c>
      <c r="N85" s="31">
        <v>80115</v>
      </c>
      <c r="O85" s="31">
        <v>16365</v>
      </c>
      <c r="P85" s="31">
        <v>20142</v>
      </c>
      <c r="Q85" s="31">
        <v>116622</v>
      </c>
      <c r="R85" s="45">
        <f t="shared" si="31"/>
        <v>1.9044057611287109</v>
      </c>
      <c r="S85" s="31">
        <v>268094</v>
      </c>
      <c r="T85" s="31">
        <v>1200241</v>
      </c>
      <c r="U85" s="31">
        <v>0</v>
      </c>
      <c r="V85" s="31">
        <v>1200241</v>
      </c>
      <c r="W85" s="45">
        <f t="shared" si="32"/>
        <v>19.59961135242823</v>
      </c>
      <c r="X85" s="4">
        <f t="shared" si="33"/>
        <v>0.67946770690219715</v>
      </c>
      <c r="Y85" s="4">
        <f t="shared" si="34"/>
        <v>9.716548593157541E-2</v>
      </c>
      <c r="Z85" s="4">
        <f t="shared" si="35"/>
        <v>0.22336680716622745</v>
      </c>
      <c r="AA85" s="4">
        <f t="shared" si="36"/>
        <v>0</v>
      </c>
      <c r="AB85" s="31">
        <v>0</v>
      </c>
      <c r="AC85" s="31">
        <v>116622</v>
      </c>
      <c r="AD85" s="31">
        <v>1122771</v>
      </c>
      <c r="AE85" s="31">
        <v>1117723</v>
      </c>
      <c r="AF85" s="31">
        <v>1183997</v>
      </c>
      <c r="AG85" s="31">
        <v>0</v>
      </c>
      <c r="AH85" s="31">
        <v>0</v>
      </c>
      <c r="AI85" s="31">
        <v>1183997</v>
      </c>
      <c r="AJ85" s="45">
        <f t="shared" si="37"/>
        <v>19.334351219830825</v>
      </c>
      <c r="AK85" s="31">
        <v>426</v>
      </c>
      <c r="AL85" s="31">
        <v>0</v>
      </c>
      <c r="AM85" s="31">
        <v>0</v>
      </c>
      <c r="AN85" s="31">
        <v>0</v>
      </c>
      <c r="AO85" s="31">
        <v>7500</v>
      </c>
      <c r="AP85" s="31">
        <v>20510</v>
      </c>
      <c r="AQ85" s="31">
        <v>28010</v>
      </c>
      <c r="AR85" s="31">
        <v>1212433</v>
      </c>
      <c r="AS85" s="46">
        <f t="shared" si="38"/>
        <v>19.798703419445442</v>
      </c>
      <c r="AT85" s="31">
        <v>0</v>
      </c>
      <c r="AU85" s="31">
        <v>0</v>
      </c>
      <c r="AV85" s="31">
        <v>0</v>
      </c>
      <c r="AW85" s="31">
        <v>0</v>
      </c>
      <c r="AX85" s="31">
        <v>0</v>
      </c>
      <c r="AY85" s="31">
        <v>0</v>
      </c>
      <c r="AZ85" s="31">
        <v>0</v>
      </c>
      <c r="BA85" s="31">
        <v>0</v>
      </c>
      <c r="BB85" s="31">
        <v>0</v>
      </c>
      <c r="BC85" s="33" t="s">
        <v>25</v>
      </c>
      <c r="BD85" s="47">
        <v>92828</v>
      </c>
      <c r="BE85" s="47">
        <v>106263</v>
      </c>
      <c r="BF85" s="45">
        <f t="shared" si="39"/>
        <v>1.7352460890296875</v>
      </c>
      <c r="BG85" s="30">
        <v>6534</v>
      </c>
      <c r="BH85" s="30">
        <v>6770</v>
      </c>
      <c r="BI85" s="30">
        <v>1818</v>
      </c>
      <c r="BJ85" s="30">
        <v>5227</v>
      </c>
      <c r="BK85" s="30">
        <v>6607</v>
      </c>
      <c r="BL85" s="30">
        <v>126</v>
      </c>
      <c r="BM85" s="30">
        <v>10335</v>
      </c>
      <c r="BN85" s="30">
        <v>5</v>
      </c>
      <c r="BO85" s="30">
        <v>51</v>
      </c>
      <c r="BP85" s="30">
        <v>0</v>
      </c>
      <c r="BQ85" s="30">
        <v>56</v>
      </c>
      <c r="BR85" s="47">
        <v>104589</v>
      </c>
      <c r="BS85" s="47">
        <v>131924</v>
      </c>
      <c r="BT85" s="1">
        <f t="shared" si="40"/>
        <v>2.1542832881544141</v>
      </c>
      <c r="BU85" s="30">
        <v>177</v>
      </c>
      <c r="BV85" s="30">
        <v>0</v>
      </c>
      <c r="BW85" s="47">
        <v>29768</v>
      </c>
      <c r="BX85" s="52">
        <f t="shared" si="41"/>
        <v>0.48610339984976647</v>
      </c>
      <c r="BY85" s="47">
        <v>371864</v>
      </c>
      <c r="BZ85" s="47">
        <v>6716</v>
      </c>
      <c r="CA85" s="47">
        <v>284292</v>
      </c>
      <c r="CB85" s="47">
        <v>16562</v>
      </c>
      <c r="CC85" s="47">
        <v>679434</v>
      </c>
      <c r="CD85" s="55">
        <f t="shared" si="42"/>
        <v>11.094973709134852</v>
      </c>
      <c r="CE85" s="3">
        <f t="shared" si="43"/>
        <v>36479.677852348992</v>
      </c>
      <c r="CF85" s="55">
        <f t="shared" si="44"/>
        <v>197.22322206095791</v>
      </c>
      <c r="CG85" s="55">
        <f t="shared" si="45"/>
        <v>2.3932074913438135</v>
      </c>
      <c r="CH85" s="55">
        <f t="shared" si="46"/>
        <v>4.9737424577787213</v>
      </c>
      <c r="CI85" s="30">
        <v>691</v>
      </c>
      <c r="CJ85" s="30">
        <v>41</v>
      </c>
      <c r="CK85" s="30">
        <v>77</v>
      </c>
      <c r="CL85" s="30">
        <v>809</v>
      </c>
      <c r="CM85" s="30">
        <v>37337</v>
      </c>
      <c r="CN85" s="30">
        <v>548</v>
      </c>
      <c r="CO85" s="30">
        <v>1184</v>
      </c>
      <c r="CP85" s="30">
        <v>39069</v>
      </c>
      <c r="CQ85" s="1">
        <f t="shared" si="54"/>
        <v>0.63798621770795916</v>
      </c>
      <c r="CR85" s="47">
        <v>283901</v>
      </c>
      <c r="CS85" s="55">
        <f t="shared" si="47"/>
        <v>4.6360266501192067</v>
      </c>
      <c r="CT85" s="59">
        <v>10257</v>
      </c>
      <c r="CU85" s="29" t="s">
        <v>25</v>
      </c>
      <c r="CV85" s="29" t="s">
        <v>25</v>
      </c>
      <c r="CW85" s="29" t="s">
        <v>25</v>
      </c>
      <c r="CX85" s="35">
        <v>5.5</v>
      </c>
      <c r="CY85" s="49">
        <f t="shared" si="55"/>
        <v>11134.181818181818</v>
      </c>
      <c r="CZ85" s="35">
        <v>0</v>
      </c>
      <c r="DA85" s="35">
        <v>13.125</v>
      </c>
      <c r="DB85" s="35">
        <v>18.625</v>
      </c>
      <c r="DC85" s="49">
        <f t="shared" si="48"/>
        <v>3287.9463087248323</v>
      </c>
      <c r="DD85" s="30">
        <v>3155</v>
      </c>
      <c r="DE85" s="31">
        <v>98456</v>
      </c>
      <c r="DF85" s="35">
        <v>40</v>
      </c>
      <c r="DG85" s="29" t="s">
        <v>25</v>
      </c>
      <c r="DH85" s="29" t="s">
        <v>25</v>
      </c>
      <c r="DI85" s="29" t="s">
        <v>25</v>
      </c>
      <c r="DJ85" s="47">
        <v>602</v>
      </c>
      <c r="DK85" s="47">
        <v>28</v>
      </c>
      <c r="DL85" s="47">
        <v>44</v>
      </c>
      <c r="DM85" s="47">
        <v>70986</v>
      </c>
      <c r="DN85" s="47">
        <v>4168</v>
      </c>
      <c r="DO85" s="47">
        <v>0</v>
      </c>
      <c r="DP85" s="29" t="s">
        <v>2028</v>
      </c>
      <c r="DQ85" s="47">
        <v>0</v>
      </c>
      <c r="DR85" s="47">
        <v>3445</v>
      </c>
      <c r="DS85" s="30">
        <v>52</v>
      </c>
      <c r="DT85" s="30">
        <v>69</v>
      </c>
      <c r="DU85" s="30">
        <v>69</v>
      </c>
      <c r="DV85" s="30">
        <v>69</v>
      </c>
      <c r="DX85" s="2">
        <f t="shared" si="49"/>
        <v>3445</v>
      </c>
      <c r="DY85" s="33" t="s">
        <v>2186</v>
      </c>
      <c r="DZ85" s="33" t="s">
        <v>282</v>
      </c>
      <c r="EA85" s="33" t="s">
        <v>2030</v>
      </c>
      <c r="EB85" s="33" t="s">
        <v>2027</v>
      </c>
      <c r="EC85" s="36">
        <v>67</v>
      </c>
      <c r="ED85" s="29" t="s">
        <v>279</v>
      </c>
      <c r="EE85" s="29" t="s">
        <v>280</v>
      </c>
      <c r="EF85" s="37">
        <v>41548</v>
      </c>
      <c r="EG85" s="37">
        <v>41912</v>
      </c>
      <c r="EH85" s="29" t="s">
        <v>279</v>
      </c>
      <c r="EI85" s="55">
        <f t="shared" si="50"/>
        <v>6.0724386818642015</v>
      </c>
      <c r="EJ85" s="54">
        <f t="shared" si="51"/>
        <v>0.10967046605049152</v>
      </c>
      <c r="EK85" s="55">
        <f t="shared" si="52"/>
        <v>4.6424115745125576</v>
      </c>
      <c r="EL85" s="54">
        <f t="shared" si="53"/>
        <v>0.27045298670759987</v>
      </c>
    </row>
    <row r="86" spans="1:142" ht="28.8" x14ac:dyDescent="0.3">
      <c r="A86" s="29" t="s">
        <v>1619</v>
      </c>
      <c r="B86" s="29"/>
      <c r="C86" s="30">
        <v>7625</v>
      </c>
      <c r="D86" s="30">
        <v>0</v>
      </c>
      <c r="E86" s="30">
        <v>0</v>
      </c>
      <c r="F86" s="30">
        <v>2400</v>
      </c>
      <c r="H86" s="2">
        <f t="shared" si="29"/>
        <v>2400</v>
      </c>
      <c r="I86" s="1">
        <f t="shared" si="28"/>
        <v>0.31475409836065577</v>
      </c>
      <c r="J86" s="31">
        <v>79244</v>
      </c>
      <c r="K86" s="31">
        <v>18988</v>
      </c>
      <c r="L86" s="31">
        <v>98232</v>
      </c>
      <c r="M86" s="45">
        <f t="shared" si="30"/>
        <v>12.882885245901639</v>
      </c>
      <c r="N86" s="31">
        <v>15136</v>
      </c>
      <c r="O86" s="31">
        <v>0</v>
      </c>
      <c r="P86" s="31">
        <v>379</v>
      </c>
      <c r="Q86" s="31">
        <v>15515</v>
      </c>
      <c r="R86" s="45">
        <f t="shared" si="31"/>
        <v>2.0347540983606556</v>
      </c>
      <c r="S86" s="31">
        <v>21568</v>
      </c>
      <c r="T86" s="31">
        <v>135315</v>
      </c>
      <c r="U86" s="31">
        <v>0</v>
      </c>
      <c r="V86" s="31">
        <v>135315</v>
      </c>
      <c r="W86" s="45">
        <f t="shared" si="32"/>
        <v>17.74622950819672</v>
      </c>
      <c r="X86" s="4">
        <f t="shared" si="33"/>
        <v>0.72595055980489964</v>
      </c>
      <c r="Y86" s="4">
        <f t="shared" si="34"/>
        <v>0.11465838968333149</v>
      </c>
      <c r="Z86" s="4">
        <f t="shared" si="35"/>
        <v>0.15939105051176883</v>
      </c>
      <c r="AA86" s="4">
        <f t="shared" si="36"/>
        <v>0</v>
      </c>
      <c r="AB86" s="31">
        <v>0</v>
      </c>
      <c r="AC86" s="31">
        <v>15515</v>
      </c>
      <c r="AD86" s="31">
        <v>135315</v>
      </c>
      <c r="AE86" s="31">
        <v>135315</v>
      </c>
      <c r="AF86" s="31">
        <v>120330</v>
      </c>
      <c r="AG86" s="31">
        <v>16266</v>
      </c>
      <c r="AH86" s="31">
        <v>0</v>
      </c>
      <c r="AI86" s="31">
        <v>136596</v>
      </c>
      <c r="AJ86" s="45">
        <f t="shared" si="37"/>
        <v>17.914229508196723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136596</v>
      </c>
      <c r="AS86" s="46">
        <f t="shared" si="38"/>
        <v>17.914229508196723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3" t="s">
        <v>25</v>
      </c>
      <c r="BD86" s="47">
        <v>11002</v>
      </c>
      <c r="BE86" s="47">
        <v>11336</v>
      </c>
      <c r="BF86" s="45">
        <f t="shared" si="39"/>
        <v>1.486688524590164</v>
      </c>
      <c r="BG86" s="30">
        <v>101</v>
      </c>
      <c r="BH86" s="30">
        <v>101</v>
      </c>
      <c r="BI86" s="30">
        <v>1440</v>
      </c>
      <c r="BJ86" s="30">
        <v>409</v>
      </c>
      <c r="BK86" s="30">
        <v>416</v>
      </c>
      <c r="BL86" s="30">
        <v>24</v>
      </c>
      <c r="BM86" s="30">
        <v>9034</v>
      </c>
      <c r="BN86" s="30">
        <v>0</v>
      </c>
      <c r="BO86" s="30">
        <v>51</v>
      </c>
      <c r="BP86" s="30">
        <v>0</v>
      </c>
      <c r="BQ86" s="30">
        <v>51</v>
      </c>
      <c r="BR86" s="47">
        <v>11512</v>
      </c>
      <c r="BS86" s="47">
        <v>22351</v>
      </c>
      <c r="BT86" s="1">
        <f t="shared" si="40"/>
        <v>2.9312786885245901</v>
      </c>
      <c r="BU86" s="30">
        <v>3</v>
      </c>
      <c r="BV86" s="30">
        <v>0</v>
      </c>
      <c r="BW86" s="47">
        <v>2184</v>
      </c>
      <c r="BX86" s="52">
        <f t="shared" si="41"/>
        <v>0.28642622950819674</v>
      </c>
      <c r="BY86" s="47">
        <v>7323</v>
      </c>
      <c r="BZ86" s="47">
        <v>142</v>
      </c>
      <c r="CA86" s="47">
        <v>7197</v>
      </c>
      <c r="CB86" s="47">
        <v>2452</v>
      </c>
      <c r="CC86" s="47">
        <v>17114</v>
      </c>
      <c r="CD86" s="55">
        <f t="shared" si="42"/>
        <v>2.2444590163934426</v>
      </c>
      <c r="CE86" s="3">
        <f t="shared" si="43"/>
        <v>9250.8108108108099</v>
      </c>
      <c r="CF86" s="55">
        <f t="shared" si="44"/>
        <v>7.3640275387263339</v>
      </c>
      <c r="CG86" s="55">
        <f t="shared" si="45"/>
        <v>1.5676467894110104</v>
      </c>
      <c r="CH86" s="55">
        <f t="shared" si="46"/>
        <v>0.64963536307100356</v>
      </c>
      <c r="CI86" s="30">
        <v>63</v>
      </c>
      <c r="CJ86" s="30">
        <v>10</v>
      </c>
      <c r="CK86" s="30">
        <v>0</v>
      </c>
      <c r="CL86" s="30">
        <v>73</v>
      </c>
      <c r="CM86" s="30">
        <v>1618</v>
      </c>
      <c r="CN86" s="30">
        <v>121</v>
      </c>
      <c r="CO86" s="30">
        <v>0</v>
      </c>
      <c r="CP86" s="30">
        <v>1739</v>
      </c>
      <c r="CQ86" s="1">
        <f t="shared" si="54"/>
        <v>0.2280655737704918</v>
      </c>
      <c r="CR86" s="47">
        <v>10917</v>
      </c>
      <c r="CS86" s="55">
        <f t="shared" si="47"/>
        <v>1.4317377049180329</v>
      </c>
      <c r="CT86" s="59">
        <v>2682</v>
      </c>
      <c r="CU86" s="29" t="s">
        <v>25</v>
      </c>
      <c r="CV86" s="29" t="s">
        <v>25</v>
      </c>
      <c r="CW86" s="29" t="s">
        <v>25</v>
      </c>
      <c r="CX86" s="35">
        <v>1</v>
      </c>
      <c r="CY86" s="49">
        <f t="shared" si="55"/>
        <v>7625</v>
      </c>
      <c r="CZ86" s="35">
        <v>0</v>
      </c>
      <c r="DA86" s="35">
        <v>0.85</v>
      </c>
      <c r="DB86" s="35">
        <v>1.85</v>
      </c>
      <c r="DC86" s="49">
        <f t="shared" si="48"/>
        <v>4121.6216216216217</v>
      </c>
      <c r="DD86" s="30">
        <v>172</v>
      </c>
      <c r="DE86" s="31">
        <v>58672</v>
      </c>
      <c r="DF86" s="35">
        <v>40</v>
      </c>
      <c r="DG86" s="29" t="s">
        <v>25</v>
      </c>
      <c r="DH86" s="29" t="s">
        <v>26</v>
      </c>
      <c r="DI86" s="29" t="s">
        <v>26</v>
      </c>
      <c r="DJ86" s="47">
        <v>0</v>
      </c>
      <c r="DK86" s="47">
        <v>0</v>
      </c>
      <c r="DL86" s="47">
        <v>8</v>
      </c>
      <c r="DM86" s="47">
        <v>2631</v>
      </c>
      <c r="DN86" s="47">
        <v>127</v>
      </c>
      <c r="DO86" s="47">
        <v>0</v>
      </c>
      <c r="DP86" s="29" t="s">
        <v>2028</v>
      </c>
      <c r="DQ86" s="47">
        <v>0</v>
      </c>
      <c r="DR86" s="47">
        <v>2324</v>
      </c>
      <c r="DS86" s="30">
        <v>52</v>
      </c>
      <c r="DT86" s="30">
        <v>46</v>
      </c>
      <c r="DU86" s="30">
        <v>46</v>
      </c>
      <c r="DV86" s="30">
        <v>46</v>
      </c>
      <c r="DX86" s="2">
        <f t="shared" si="49"/>
        <v>2324</v>
      </c>
      <c r="DY86" s="33" t="s">
        <v>2182</v>
      </c>
      <c r="DZ86" s="33" t="s">
        <v>1621</v>
      </c>
      <c r="EA86" s="33" t="s">
        <v>2030</v>
      </c>
      <c r="EB86" s="33" t="s">
        <v>2027</v>
      </c>
      <c r="EC86" s="36">
        <v>545</v>
      </c>
      <c r="ED86" s="29" t="s">
        <v>1620</v>
      </c>
      <c r="EE86" s="29" t="s">
        <v>51</v>
      </c>
      <c r="EF86" s="37">
        <v>41548</v>
      </c>
      <c r="EG86" s="37">
        <v>41912</v>
      </c>
      <c r="EH86" s="29" t="s">
        <v>1620</v>
      </c>
      <c r="EI86" s="55">
        <f t="shared" si="50"/>
        <v>0.96039344262295079</v>
      </c>
      <c r="EJ86" s="54">
        <f t="shared" si="51"/>
        <v>1.8622950819672131E-2</v>
      </c>
      <c r="EK86" s="55">
        <f t="shared" si="52"/>
        <v>0.94386885245901642</v>
      </c>
      <c r="EL86" s="54">
        <f t="shared" si="53"/>
        <v>0.3215737704918033</v>
      </c>
    </row>
    <row r="87" spans="1:142" ht="43.2" x14ac:dyDescent="0.3">
      <c r="A87" s="29" t="s">
        <v>283</v>
      </c>
      <c r="B87" s="29"/>
      <c r="C87" s="30">
        <v>5277</v>
      </c>
      <c r="D87" s="30">
        <v>0</v>
      </c>
      <c r="E87" s="30">
        <v>0</v>
      </c>
      <c r="F87" s="30">
        <v>3362</v>
      </c>
      <c r="H87" s="2">
        <f t="shared" si="29"/>
        <v>3362</v>
      </c>
      <c r="I87" s="1">
        <f t="shared" si="28"/>
        <v>0.63710441538753082</v>
      </c>
      <c r="J87" s="31">
        <v>54772</v>
      </c>
      <c r="K87" s="31">
        <v>2895</v>
      </c>
      <c r="L87" s="31">
        <v>57667</v>
      </c>
      <c r="M87" s="45">
        <f t="shared" si="30"/>
        <v>10.927989387909797</v>
      </c>
      <c r="N87" s="31">
        <v>8935</v>
      </c>
      <c r="O87" s="31">
        <v>2810</v>
      </c>
      <c r="P87" s="31">
        <v>2400</v>
      </c>
      <c r="Q87" s="31">
        <v>14145</v>
      </c>
      <c r="R87" s="45">
        <f t="shared" si="31"/>
        <v>2.6805002842524162</v>
      </c>
      <c r="S87" s="31">
        <v>23090</v>
      </c>
      <c r="T87" s="31">
        <v>94902</v>
      </c>
      <c r="U87" s="31">
        <v>0</v>
      </c>
      <c r="V87" s="31">
        <v>94902</v>
      </c>
      <c r="W87" s="45">
        <f t="shared" si="32"/>
        <v>17.984081864695849</v>
      </c>
      <c r="X87" s="4">
        <f t="shared" si="33"/>
        <v>0.60764788940169856</v>
      </c>
      <c r="Y87" s="4">
        <f t="shared" si="34"/>
        <v>0.14904849212872226</v>
      </c>
      <c r="Z87" s="4">
        <f t="shared" si="35"/>
        <v>0.24330361846957915</v>
      </c>
      <c r="AA87" s="4">
        <f t="shared" si="36"/>
        <v>0</v>
      </c>
      <c r="AB87" s="31">
        <v>0</v>
      </c>
      <c r="AC87" s="31">
        <v>14145</v>
      </c>
      <c r="AD87" s="31">
        <v>94902</v>
      </c>
      <c r="AE87" s="31">
        <v>54000</v>
      </c>
      <c r="AF87" s="31">
        <v>54000</v>
      </c>
      <c r="AG87" s="31">
        <v>0</v>
      </c>
      <c r="AH87" s="31">
        <v>0</v>
      </c>
      <c r="AI87" s="31">
        <v>54000</v>
      </c>
      <c r="AJ87" s="45">
        <f t="shared" si="37"/>
        <v>10.233086981239341</v>
      </c>
      <c r="AK87" s="31"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42399</v>
      </c>
      <c r="AQ87" s="31">
        <v>42399</v>
      </c>
      <c r="AR87" s="31">
        <v>96399</v>
      </c>
      <c r="AS87" s="46">
        <f t="shared" si="38"/>
        <v>18.267765776009096</v>
      </c>
      <c r="AT87" s="31">
        <v>0</v>
      </c>
      <c r="AU87" s="31">
        <v>0</v>
      </c>
      <c r="AV87" s="31">
        <v>0</v>
      </c>
      <c r="AW87" s="31">
        <v>0</v>
      </c>
      <c r="AX87" s="31">
        <v>0</v>
      </c>
      <c r="AY87" s="31">
        <v>0</v>
      </c>
      <c r="AZ87" s="31">
        <v>0</v>
      </c>
      <c r="BA87" s="31">
        <v>0</v>
      </c>
      <c r="BB87" s="31">
        <v>0</v>
      </c>
      <c r="BC87" s="33" t="s">
        <v>25</v>
      </c>
      <c r="BD87" s="47">
        <v>15228</v>
      </c>
      <c r="BE87" s="47">
        <v>15339</v>
      </c>
      <c r="BF87" s="45">
        <f t="shared" si="39"/>
        <v>2.9067652075042636</v>
      </c>
      <c r="BG87" s="30">
        <v>777</v>
      </c>
      <c r="BH87" s="30">
        <v>4662</v>
      </c>
      <c r="BI87" s="30">
        <v>469</v>
      </c>
      <c r="BJ87" s="30">
        <v>1137</v>
      </c>
      <c r="BK87" s="30">
        <v>1187</v>
      </c>
      <c r="BL87" s="30">
        <v>57</v>
      </c>
      <c r="BM87" s="30">
        <v>3935</v>
      </c>
      <c r="BN87" s="30">
        <v>0</v>
      </c>
      <c r="BO87" s="30">
        <v>51</v>
      </c>
      <c r="BP87" s="30">
        <v>0</v>
      </c>
      <c r="BQ87" s="30">
        <v>51</v>
      </c>
      <c r="BR87" s="47">
        <v>17142</v>
      </c>
      <c r="BS87" s="47">
        <v>25649</v>
      </c>
      <c r="BT87" s="1">
        <f t="shared" si="40"/>
        <v>4.8605268144779235</v>
      </c>
      <c r="BU87" s="30">
        <v>10</v>
      </c>
      <c r="BV87" s="30">
        <v>0</v>
      </c>
      <c r="BW87" s="47">
        <v>823</v>
      </c>
      <c r="BX87" s="52">
        <f t="shared" si="41"/>
        <v>0.1559598256585181</v>
      </c>
      <c r="BY87" s="47">
        <v>6520</v>
      </c>
      <c r="BZ87" s="47">
        <v>220</v>
      </c>
      <c r="CA87" s="47">
        <v>14897</v>
      </c>
      <c r="CB87" s="47">
        <v>2032</v>
      </c>
      <c r="CC87" s="47">
        <v>23669</v>
      </c>
      <c r="CD87" s="55">
        <f t="shared" si="42"/>
        <v>4.4853136251658139</v>
      </c>
      <c r="CE87" s="3">
        <f t="shared" si="43"/>
        <v>9420.4975124378107</v>
      </c>
      <c r="CF87" s="55">
        <f t="shared" si="44"/>
        <v>14.088690476190477</v>
      </c>
      <c r="CG87" s="55">
        <f t="shared" si="45"/>
        <v>2.5322563389322776</v>
      </c>
      <c r="CH87" s="55">
        <f t="shared" si="46"/>
        <v>0.83500331396935557</v>
      </c>
      <c r="CI87" s="30">
        <v>56</v>
      </c>
      <c r="CJ87" s="30">
        <v>0</v>
      </c>
      <c r="CK87" s="30">
        <v>5</v>
      </c>
      <c r="CL87" s="30">
        <v>61</v>
      </c>
      <c r="CM87" s="30">
        <v>620</v>
      </c>
      <c r="CN87" s="30">
        <v>0</v>
      </c>
      <c r="CO87" s="30">
        <v>150</v>
      </c>
      <c r="CP87" s="30">
        <v>770</v>
      </c>
      <c r="CQ87" s="1">
        <f t="shared" si="54"/>
        <v>0.14591624028804245</v>
      </c>
      <c r="CR87" s="47">
        <v>9347</v>
      </c>
      <c r="CS87" s="55">
        <f t="shared" si="47"/>
        <v>1.7712715558082244</v>
      </c>
      <c r="CT87" s="59">
        <v>6520</v>
      </c>
      <c r="CU87" s="29" t="s">
        <v>25</v>
      </c>
      <c r="CV87" s="29" t="s">
        <v>25</v>
      </c>
      <c r="CW87" s="29" t="s">
        <v>25</v>
      </c>
      <c r="CX87" s="35">
        <v>0</v>
      </c>
      <c r="CY87" s="49">
        <v>0</v>
      </c>
      <c r="CZ87" s="35">
        <v>2.3125</v>
      </c>
      <c r="DA87" s="35">
        <v>0.2</v>
      </c>
      <c r="DB87" s="35">
        <v>2.5125000000000002</v>
      </c>
      <c r="DC87" s="49">
        <f t="shared" si="48"/>
        <v>2100.2985074626863</v>
      </c>
      <c r="DD87" s="30">
        <v>25</v>
      </c>
      <c r="DE87" s="31">
        <v>20000</v>
      </c>
      <c r="DF87" s="35">
        <v>35</v>
      </c>
      <c r="DG87" s="29" t="s">
        <v>25</v>
      </c>
      <c r="DH87" s="29" t="s">
        <v>25</v>
      </c>
      <c r="DI87" s="29" t="s">
        <v>25</v>
      </c>
      <c r="DJ87" s="47">
        <v>63</v>
      </c>
      <c r="DK87" s="47">
        <v>19</v>
      </c>
      <c r="DL87" s="47">
        <v>7</v>
      </c>
      <c r="DM87" s="47">
        <v>6896</v>
      </c>
      <c r="DN87" s="47">
        <v>43</v>
      </c>
      <c r="DO87" s="47">
        <v>485</v>
      </c>
      <c r="DP87" s="29" t="s">
        <v>25</v>
      </c>
      <c r="DQ87" s="47">
        <v>2816</v>
      </c>
      <c r="DR87" s="47">
        <v>1680</v>
      </c>
      <c r="DS87" s="30">
        <v>48</v>
      </c>
      <c r="DT87" s="30">
        <v>35</v>
      </c>
      <c r="DU87" s="30">
        <v>35</v>
      </c>
      <c r="DV87" s="30">
        <v>35</v>
      </c>
      <c r="DX87" s="2">
        <f t="shared" si="49"/>
        <v>1680</v>
      </c>
      <c r="DY87" s="33" t="s">
        <v>2185</v>
      </c>
      <c r="DZ87" s="33" t="s">
        <v>286</v>
      </c>
      <c r="EA87" s="33" t="s">
        <v>2032</v>
      </c>
      <c r="EB87" s="33" t="s">
        <v>2027</v>
      </c>
      <c r="EC87" s="36">
        <v>68</v>
      </c>
      <c r="ED87" s="29" t="s">
        <v>284</v>
      </c>
      <c r="EE87" s="29" t="s">
        <v>285</v>
      </c>
      <c r="EF87" s="37">
        <v>41548</v>
      </c>
      <c r="EG87" s="37">
        <v>41912</v>
      </c>
      <c r="EH87" s="29" t="s">
        <v>284</v>
      </c>
      <c r="EI87" s="55">
        <f t="shared" si="50"/>
        <v>1.2355505021792685</v>
      </c>
      <c r="EJ87" s="54">
        <f t="shared" si="51"/>
        <v>4.1690354368012127E-2</v>
      </c>
      <c r="EK87" s="55">
        <f t="shared" si="52"/>
        <v>2.8230054955467123</v>
      </c>
      <c r="EL87" s="54">
        <f t="shared" si="53"/>
        <v>0.38506727307182109</v>
      </c>
    </row>
    <row r="88" spans="1:142" ht="28.8" x14ac:dyDescent="0.3">
      <c r="A88" s="29" t="s">
        <v>1804</v>
      </c>
      <c r="B88" s="29"/>
      <c r="C88" s="30">
        <v>11326</v>
      </c>
      <c r="D88" s="30">
        <v>0</v>
      </c>
      <c r="E88" s="30">
        <v>0</v>
      </c>
      <c r="F88" s="30">
        <v>3500</v>
      </c>
      <c r="H88" s="2">
        <f t="shared" si="29"/>
        <v>3500</v>
      </c>
      <c r="I88" s="1">
        <f t="shared" si="28"/>
        <v>0.30902348578491967</v>
      </c>
      <c r="J88" s="31">
        <v>20247</v>
      </c>
      <c r="K88" s="31">
        <v>3853</v>
      </c>
      <c r="L88" s="31">
        <v>24100</v>
      </c>
      <c r="M88" s="45">
        <f t="shared" si="30"/>
        <v>2.1278474306904469</v>
      </c>
      <c r="N88" s="31">
        <v>12500</v>
      </c>
      <c r="O88" s="31">
        <v>3000</v>
      </c>
      <c r="P88" s="31">
        <v>4500</v>
      </c>
      <c r="Q88" s="31">
        <v>20000</v>
      </c>
      <c r="R88" s="45">
        <f t="shared" si="31"/>
        <v>1.7658484901995408</v>
      </c>
      <c r="S88" s="31">
        <v>14038</v>
      </c>
      <c r="T88" s="31">
        <v>58138</v>
      </c>
      <c r="U88" s="31">
        <v>0</v>
      </c>
      <c r="V88" s="31">
        <v>58138</v>
      </c>
      <c r="W88" s="45">
        <f t="shared" si="32"/>
        <v>5.133144976161045</v>
      </c>
      <c r="X88" s="4">
        <f t="shared" si="33"/>
        <v>0.41453094361691151</v>
      </c>
      <c r="Y88" s="4">
        <f t="shared" si="34"/>
        <v>0.34400908183976059</v>
      </c>
      <c r="Z88" s="4">
        <f t="shared" si="35"/>
        <v>0.24145997454332793</v>
      </c>
      <c r="AA88" s="4">
        <f t="shared" si="36"/>
        <v>0</v>
      </c>
      <c r="AB88" s="31">
        <v>3985</v>
      </c>
      <c r="AC88" s="31">
        <v>20000</v>
      </c>
      <c r="AD88" s="31">
        <v>58138</v>
      </c>
      <c r="AE88" s="31">
        <v>58138</v>
      </c>
      <c r="AF88" s="31">
        <v>40138</v>
      </c>
      <c r="AG88" s="31">
        <v>18000</v>
      </c>
      <c r="AH88" s="31">
        <v>0</v>
      </c>
      <c r="AI88" s="31">
        <v>58138</v>
      </c>
      <c r="AJ88" s="45">
        <f t="shared" si="37"/>
        <v>5.133144976161045</v>
      </c>
      <c r="AK88" s="31">
        <v>0</v>
      </c>
      <c r="AL88" s="31">
        <v>0</v>
      </c>
      <c r="AM88" s="31">
        <v>0</v>
      </c>
      <c r="AN88" s="31">
        <v>0</v>
      </c>
      <c r="AO88" s="31">
        <v>0</v>
      </c>
      <c r="AP88" s="31">
        <v>1500</v>
      </c>
      <c r="AQ88" s="31">
        <v>1500</v>
      </c>
      <c r="AR88" s="31">
        <v>59638</v>
      </c>
      <c r="AS88" s="46">
        <f t="shared" si="38"/>
        <v>5.2655836129260107</v>
      </c>
      <c r="AT88" s="31">
        <v>0</v>
      </c>
      <c r="AU88" s="31">
        <v>0</v>
      </c>
      <c r="AV88" s="31">
        <v>0</v>
      </c>
      <c r="AW88" s="31">
        <v>0</v>
      </c>
      <c r="AX88" s="31">
        <v>0</v>
      </c>
      <c r="AY88" s="31">
        <v>0</v>
      </c>
      <c r="AZ88" s="31">
        <v>0</v>
      </c>
      <c r="BA88" s="31">
        <v>0</v>
      </c>
      <c r="BB88" s="31">
        <v>0</v>
      </c>
      <c r="BC88" s="33" t="s">
        <v>25</v>
      </c>
      <c r="BD88" s="47">
        <v>15806</v>
      </c>
      <c r="BE88" s="47">
        <v>16192</v>
      </c>
      <c r="BF88" s="45">
        <f t="shared" si="39"/>
        <v>1.4296309376655483</v>
      </c>
      <c r="BG88" s="30">
        <v>494</v>
      </c>
      <c r="BH88" s="30">
        <v>506</v>
      </c>
      <c r="BI88" s="30">
        <v>1573</v>
      </c>
      <c r="BJ88" s="30">
        <v>1004</v>
      </c>
      <c r="BK88" s="30">
        <v>1008</v>
      </c>
      <c r="BL88" s="30">
        <v>27</v>
      </c>
      <c r="BM88" s="30">
        <v>9716</v>
      </c>
      <c r="BN88" s="30">
        <v>1</v>
      </c>
      <c r="BO88" s="30">
        <v>51</v>
      </c>
      <c r="BP88" s="30">
        <v>0</v>
      </c>
      <c r="BQ88" s="30">
        <v>52</v>
      </c>
      <c r="BR88" s="47">
        <v>17304</v>
      </c>
      <c r="BS88" s="47">
        <v>29023</v>
      </c>
      <c r="BT88" s="1">
        <f t="shared" si="40"/>
        <v>2.5625110365530639</v>
      </c>
      <c r="BU88" s="30">
        <v>16</v>
      </c>
      <c r="BV88" s="30">
        <v>0</v>
      </c>
      <c r="BW88" s="47">
        <v>420</v>
      </c>
      <c r="BX88" s="52">
        <f t="shared" si="41"/>
        <v>3.7082818294190356E-2</v>
      </c>
      <c r="BY88" s="47">
        <v>3932</v>
      </c>
      <c r="BZ88" s="47">
        <v>400</v>
      </c>
      <c r="CA88" s="47">
        <v>12981</v>
      </c>
      <c r="CB88" s="47">
        <v>1504</v>
      </c>
      <c r="CC88" s="47">
        <v>18817</v>
      </c>
      <c r="CD88" s="55">
        <f t="shared" si="42"/>
        <v>1.661398552004238</v>
      </c>
      <c r="CE88" s="3">
        <f t="shared" si="43"/>
        <v>18817</v>
      </c>
      <c r="CF88" s="55">
        <f t="shared" si="44"/>
        <v>8.8759433962264147</v>
      </c>
      <c r="CG88" s="55">
        <f t="shared" si="45"/>
        <v>1.5298373983739837</v>
      </c>
      <c r="CH88" s="55">
        <f t="shared" si="46"/>
        <v>0.58274471970506148</v>
      </c>
      <c r="CI88" s="30">
        <v>45</v>
      </c>
      <c r="CJ88" s="30">
        <v>2</v>
      </c>
      <c r="CK88" s="30">
        <v>14</v>
      </c>
      <c r="CL88" s="30">
        <v>61</v>
      </c>
      <c r="CM88" s="30">
        <v>1020</v>
      </c>
      <c r="CN88" s="30">
        <v>14</v>
      </c>
      <c r="CO88" s="30">
        <v>140</v>
      </c>
      <c r="CP88" s="30">
        <v>1174</v>
      </c>
      <c r="CQ88" s="1">
        <f t="shared" si="54"/>
        <v>0.10365530637471305</v>
      </c>
      <c r="CR88" s="47">
        <v>12300</v>
      </c>
      <c r="CS88" s="55">
        <f t="shared" si="47"/>
        <v>1.0859968214727176</v>
      </c>
      <c r="CT88" s="59">
        <v>4157</v>
      </c>
      <c r="CU88" s="29" t="s">
        <v>25</v>
      </c>
      <c r="CV88" s="29" t="s">
        <v>25</v>
      </c>
      <c r="CW88" s="29" t="s">
        <v>25</v>
      </c>
      <c r="CX88" s="35">
        <v>1</v>
      </c>
      <c r="CY88" s="49">
        <f>C88/CX88</f>
        <v>11326</v>
      </c>
      <c r="CZ88" s="35">
        <v>0</v>
      </c>
      <c r="DA88" s="35">
        <v>0</v>
      </c>
      <c r="DB88" s="35">
        <v>1</v>
      </c>
      <c r="DC88" s="49">
        <f t="shared" si="48"/>
        <v>11326</v>
      </c>
      <c r="DD88" s="30">
        <v>2300</v>
      </c>
      <c r="DE88" s="31">
        <v>20247</v>
      </c>
      <c r="DF88" s="35">
        <v>40</v>
      </c>
      <c r="DG88" s="29" t="s">
        <v>25</v>
      </c>
      <c r="DH88" s="29" t="s">
        <v>25</v>
      </c>
      <c r="DI88" s="29" t="s">
        <v>25</v>
      </c>
      <c r="DJ88" s="47">
        <v>0</v>
      </c>
      <c r="DK88" s="47">
        <v>0</v>
      </c>
      <c r="DL88" s="47">
        <v>4</v>
      </c>
      <c r="DM88" s="47">
        <v>5500</v>
      </c>
      <c r="DN88" s="47">
        <v>96</v>
      </c>
      <c r="DO88" s="47">
        <v>-1</v>
      </c>
      <c r="DP88" s="29" t="s">
        <v>2028</v>
      </c>
      <c r="DQ88" s="47">
        <v>0</v>
      </c>
      <c r="DR88" s="47">
        <v>2120</v>
      </c>
      <c r="DS88" s="30">
        <v>52</v>
      </c>
      <c r="DT88" s="30">
        <v>44</v>
      </c>
      <c r="DU88" s="30">
        <v>44</v>
      </c>
      <c r="DV88" s="30">
        <v>44</v>
      </c>
      <c r="DX88" s="2">
        <f t="shared" si="49"/>
        <v>2120</v>
      </c>
      <c r="DY88" s="33" t="s">
        <v>2182</v>
      </c>
      <c r="DZ88" s="33" t="s">
        <v>1806</v>
      </c>
      <c r="EA88" s="33" t="s">
        <v>2030</v>
      </c>
      <c r="EB88" s="33" t="s">
        <v>2027</v>
      </c>
      <c r="EC88" s="36">
        <v>640</v>
      </c>
      <c r="ED88" s="29" t="s">
        <v>1805</v>
      </c>
      <c r="EE88" s="29" t="s">
        <v>101</v>
      </c>
      <c r="EF88" s="37">
        <v>41548</v>
      </c>
      <c r="EG88" s="37">
        <v>41912</v>
      </c>
      <c r="EH88" s="29" t="s">
        <v>1805</v>
      </c>
      <c r="EI88" s="55">
        <f t="shared" si="50"/>
        <v>0.34716581317322975</v>
      </c>
      <c r="EJ88" s="54">
        <f t="shared" si="51"/>
        <v>3.5316969803990815E-2</v>
      </c>
      <c r="EK88" s="55">
        <f t="shared" si="52"/>
        <v>1.1461239625640121</v>
      </c>
      <c r="EL88" s="54">
        <f t="shared" si="53"/>
        <v>0.13279180646300548</v>
      </c>
    </row>
    <row r="89" spans="1:142" ht="28.8" x14ac:dyDescent="0.3">
      <c r="A89" s="29" t="s">
        <v>102</v>
      </c>
      <c r="B89" s="29"/>
      <c r="C89" s="30">
        <v>4008</v>
      </c>
      <c r="D89" s="30">
        <v>0</v>
      </c>
      <c r="E89" s="30">
        <v>0</v>
      </c>
      <c r="F89" s="30">
        <v>1000</v>
      </c>
      <c r="H89" s="2">
        <f t="shared" si="29"/>
        <v>1000</v>
      </c>
      <c r="I89" s="1">
        <f t="shared" si="28"/>
        <v>0.249500998003992</v>
      </c>
      <c r="J89" s="31">
        <v>19722</v>
      </c>
      <c r="K89" s="31">
        <v>3856</v>
      </c>
      <c r="L89" s="31">
        <v>23578</v>
      </c>
      <c r="M89" s="45">
        <f t="shared" si="30"/>
        <v>5.8827345309381238</v>
      </c>
      <c r="N89" s="31">
        <v>3371</v>
      </c>
      <c r="O89" s="31">
        <v>409</v>
      </c>
      <c r="P89" s="31">
        <v>888</v>
      </c>
      <c r="Q89" s="31">
        <v>4668</v>
      </c>
      <c r="R89" s="45">
        <f t="shared" si="31"/>
        <v>1.1646706586826348</v>
      </c>
      <c r="S89" s="31">
        <v>1260</v>
      </c>
      <c r="T89" s="31">
        <v>29506</v>
      </c>
      <c r="U89" s="31">
        <v>0</v>
      </c>
      <c r="V89" s="31">
        <v>29506</v>
      </c>
      <c r="W89" s="45">
        <f t="shared" si="32"/>
        <v>7.3617764471057887</v>
      </c>
      <c r="X89" s="4">
        <f t="shared" si="33"/>
        <v>0.79909171016064529</v>
      </c>
      <c r="Y89" s="4">
        <f t="shared" si="34"/>
        <v>0.15820511082491698</v>
      </c>
      <c r="Z89" s="4">
        <f t="shared" si="35"/>
        <v>4.2703179014437743E-2</v>
      </c>
      <c r="AA89" s="4">
        <f t="shared" si="36"/>
        <v>0</v>
      </c>
      <c r="AB89" s="31">
        <v>0</v>
      </c>
      <c r="AC89" s="31">
        <v>4668</v>
      </c>
      <c r="AD89" s="31">
        <v>29506</v>
      </c>
      <c r="AE89" s="31">
        <v>21036</v>
      </c>
      <c r="AF89" s="31">
        <v>15036</v>
      </c>
      <c r="AG89" s="31">
        <v>6000</v>
      </c>
      <c r="AH89" s="31">
        <v>0</v>
      </c>
      <c r="AI89" s="31">
        <v>21036</v>
      </c>
      <c r="AJ89" s="45">
        <f t="shared" si="37"/>
        <v>5.2485029940119761</v>
      </c>
      <c r="AK89" s="31"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711</v>
      </c>
      <c r="AQ89" s="31">
        <v>711</v>
      </c>
      <c r="AR89" s="31">
        <v>21747</v>
      </c>
      <c r="AS89" s="46">
        <f t="shared" si="38"/>
        <v>5.4258982035928147</v>
      </c>
      <c r="AT89" s="31">
        <v>0</v>
      </c>
      <c r="AU89" s="31">
        <v>0</v>
      </c>
      <c r="AV89" s="31">
        <v>0</v>
      </c>
      <c r="AW89" s="31">
        <v>0</v>
      </c>
      <c r="AX89" s="31">
        <v>0</v>
      </c>
      <c r="AY89" s="31">
        <v>0</v>
      </c>
      <c r="AZ89" s="31">
        <v>0</v>
      </c>
      <c r="BA89" s="31">
        <v>0</v>
      </c>
      <c r="BB89" s="31">
        <v>0</v>
      </c>
      <c r="BC89" s="33" t="s">
        <v>25</v>
      </c>
      <c r="BD89" s="47">
        <v>13690</v>
      </c>
      <c r="BE89" s="47">
        <v>13713</v>
      </c>
      <c r="BF89" s="45">
        <f t="shared" si="39"/>
        <v>3.4214071856287425</v>
      </c>
      <c r="BG89" s="30">
        <v>63</v>
      </c>
      <c r="BH89" s="30">
        <v>63</v>
      </c>
      <c r="BI89" s="30">
        <v>0</v>
      </c>
      <c r="BJ89" s="30">
        <v>49</v>
      </c>
      <c r="BK89" s="30">
        <v>64</v>
      </c>
      <c r="BL89" s="30">
        <v>0</v>
      </c>
      <c r="BM89" s="30">
        <v>0</v>
      </c>
      <c r="BN89" s="30">
        <v>0</v>
      </c>
      <c r="BO89" s="30">
        <v>51</v>
      </c>
      <c r="BP89" s="30">
        <v>0</v>
      </c>
      <c r="BQ89" s="30">
        <v>51</v>
      </c>
      <c r="BR89" s="47">
        <v>13802</v>
      </c>
      <c r="BS89" s="47">
        <v>13840</v>
      </c>
      <c r="BT89" s="1">
        <f t="shared" si="40"/>
        <v>3.4530938123752497</v>
      </c>
      <c r="BU89" s="30">
        <v>12</v>
      </c>
      <c r="BV89" s="30">
        <v>0</v>
      </c>
      <c r="BW89" s="47">
        <v>-1</v>
      </c>
      <c r="BX89" s="52">
        <f t="shared" si="41"/>
        <v>-2.4950099800399199E-4</v>
      </c>
      <c r="BY89" s="47">
        <v>155</v>
      </c>
      <c r="BZ89" s="47">
        <v>0</v>
      </c>
      <c r="CA89" s="47">
        <v>288</v>
      </c>
      <c r="CB89" s="47">
        <v>0</v>
      </c>
      <c r="CC89" s="47">
        <v>443</v>
      </c>
      <c r="CD89" s="55">
        <f t="shared" si="42"/>
        <v>0.11052894211576847</v>
      </c>
      <c r="CE89" s="3">
        <f t="shared" si="43"/>
        <v>443</v>
      </c>
      <c r="CF89" s="55">
        <f t="shared" si="44"/>
        <v>0.25328759291023439</v>
      </c>
      <c r="CG89" s="55">
        <f t="shared" si="45"/>
        <v>0.27532628962088251</v>
      </c>
      <c r="CH89" s="55">
        <f t="shared" si="46"/>
        <v>3.2008670520231215E-2</v>
      </c>
      <c r="CI89" s="30">
        <v>0</v>
      </c>
      <c r="CJ89" s="30">
        <v>0</v>
      </c>
      <c r="CK89" s="30">
        <v>0</v>
      </c>
      <c r="CL89" s="30">
        <v>0</v>
      </c>
      <c r="CM89" s="30">
        <v>0</v>
      </c>
      <c r="CN89" s="30">
        <v>0</v>
      </c>
      <c r="CO89" s="30">
        <v>0</v>
      </c>
      <c r="CP89" s="30">
        <v>0</v>
      </c>
      <c r="CQ89" s="1">
        <f t="shared" si="54"/>
        <v>0</v>
      </c>
      <c r="CR89" s="47">
        <v>1609</v>
      </c>
      <c r="CS89" s="55">
        <f t="shared" si="47"/>
        <v>0.40144710578842313</v>
      </c>
      <c r="CT89" s="59">
        <v>1523</v>
      </c>
      <c r="CU89" s="29" t="s">
        <v>25</v>
      </c>
      <c r="CV89" s="29" t="s">
        <v>25</v>
      </c>
      <c r="CW89" s="29" t="s">
        <v>25</v>
      </c>
      <c r="CX89" s="35">
        <v>0</v>
      </c>
      <c r="CY89" s="49">
        <v>0</v>
      </c>
      <c r="CZ89" s="35">
        <v>1</v>
      </c>
      <c r="DA89" s="35">
        <v>0</v>
      </c>
      <c r="DB89" s="35">
        <v>1</v>
      </c>
      <c r="DC89" s="49">
        <f t="shared" si="48"/>
        <v>4008</v>
      </c>
      <c r="DD89" s="30">
        <v>0</v>
      </c>
      <c r="DE89" s="31">
        <v>19577</v>
      </c>
      <c r="DF89" s="35">
        <v>40</v>
      </c>
      <c r="DG89" s="29" t="s">
        <v>25</v>
      </c>
      <c r="DH89" s="29" t="s">
        <v>25</v>
      </c>
      <c r="DI89" s="29" t="s">
        <v>25</v>
      </c>
      <c r="DJ89" s="47">
        <v>0</v>
      </c>
      <c r="DK89" s="47">
        <v>0</v>
      </c>
      <c r="DL89" s="47">
        <v>5</v>
      </c>
      <c r="DM89" s="47">
        <v>578</v>
      </c>
      <c r="DN89" s="47">
        <v>7</v>
      </c>
      <c r="DO89" s="47">
        <v>11</v>
      </c>
      <c r="DP89" s="29" t="s">
        <v>2028</v>
      </c>
      <c r="DQ89" s="47">
        <v>0</v>
      </c>
      <c r="DR89" s="47">
        <v>1749</v>
      </c>
      <c r="DS89" s="30">
        <v>52</v>
      </c>
      <c r="DT89" s="30">
        <v>40</v>
      </c>
      <c r="DU89" s="30">
        <v>40</v>
      </c>
      <c r="DV89" s="30">
        <v>40</v>
      </c>
      <c r="DX89" s="2">
        <f t="shared" si="49"/>
        <v>1749</v>
      </c>
      <c r="DY89" s="33" t="s">
        <v>2187</v>
      </c>
      <c r="DZ89" s="33" t="s">
        <v>1474</v>
      </c>
      <c r="EA89" s="33" t="s">
        <v>2030</v>
      </c>
      <c r="EB89" s="33" t="s">
        <v>2027</v>
      </c>
      <c r="EC89" s="36">
        <v>466</v>
      </c>
      <c r="ED89" s="29" t="s">
        <v>1473</v>
      </c>
      <c r="EE89" s="29" t="s">
        <v>730</v>
      </c>
      <c r="EF89" s="37">
        <v>41456</v>
      </c>
      <c r="EG89" s="37">
        <v>41820</v>
      </c>
      <c r="EH89" s="29" t="s">
        <v>1473</v>
      </c>
      <c r="EI89" s="55">
        <f t="shared" si="50"/>
        <v>3.8672654690618764E-2</v>
      </c>
      <c r="EJ89" s="54">
        <f t="shared" si="51"/>
        <v>0</v>
      </c>
      <c r="EK89" s="55">
        <f t="shared" si="52"/>
        <v>7.1856287425149698E-2</v>
      </c>
      <c r="EL89" s="54">
        <f t="shared" si="53"/>
        <v>0</v>
      </c>
    </row>
    <row r="90" spans="1:142" ht="28.8" x14ac:dyDescent="0.3">
      <c r="A90" s="29" t="s">
        <v>287</v>
      </c>
      <c r="B90" s="29"/>
      <c r="C90" s="30">
        <v>1811</v>
      </c>
      <c r="D90" s="30">
        <v>0</v>
      </c>
      <c r="E90" s="30">
        <v>0</v>
      </c>
      <c r="F90" s="30">
        <v>3750</v>
      </c>
      <c r="H90" s="2">
        <f t="shared" si="29"/>
        <v>3750</v>
      </c>
      <c r="I90" s="1">
        <f t="shared" si="28"/>
        <v>2.0706791827719493</v>
      </c>
      <c r="J90" s="31">
        <v>28692</v>
      </c>
      <c r="K90" s="31">
        <v>1810</v>
      </c>
      <c r="L90" s="31">
        <v>30502</v>
      </c>
      <c r="M90" s="45">
        <f t="shared" si="30"/>
        <v>16.842628382109332</v>
      </c>
      <c r="N90" s="31">
        <v>4186</v>
      </c>
      <c r="O90" s="31">
        <v>1307</v>
      </c>
      <c r="P90" s="31">
        <v>2193</v>
      </c>
      <c r="Q90" s="31">
        <v>7686</v>
      </c>
      <c r="R90" s="45">
        <f t="shared" si="31"/>
        <v>4.2440640530093869</v>
      </c>
      <c r="S90" s="31">
        <v>21780</v>
      </c>
      <c r="T90" s="31">
        <v>59968</v>
      </c>
      <c r="U90" s="31">
        <v>0</v>
      </c>
      <c r="V90" s="31">
        <v>59968</v>
      </c>
      <c r="W90" s="45">
        <f t="shared" si="32"/>
        <v>33.1131971286582</v>
      </c>
      <c r="X90" s="4">
        <f t="shared" si="33"/>
        <v>0.50863794023479192</v>
      </c>
      <c r="Y90" s="4">
        <f t="shared" si="34"/>
        <v>0.12816835645677696</v>
      </c>
      <c r="Z90" s="4">
        <f t="shared" si="35"/>
        <v>0.36319370330843115</v>
      </c>
      <c r="AA90" s="4">
        <f t="shared" si="36"/>
        <v>0</v>
      </c>
      <c r="AB90" s="31">
        <v>1470</v>
      </c>
      <c r="AC90" s="31">
        <v>7686</v>
      </c>
      <c r="AD90" s="31">
        <v>44218</v>
      </c>
      <c r="AE90" s="31">
        <v>36521</v>
      </c>
      <c r="AF90" s="31">
        <v>15000</v>
      </c>
      <c r="AG90" s="31">
        <v>21521</v>
      </c>
      <c r="AH90" s="31">
        <v>0</v>
      </c>
      <c r="AI90" s="31">
        <v>36521</v>
      </c>
      <c r="AJ90" s="45">
        <f t="shared" si="37"/>
        <v>20.166206515737162</v>
      </c>
      <c r="AK90" s="31">
        <v>0</v>
      </c>
      <c r="AL90" s="31">
        <v>0</v>
      </c>
      <c r="AM90" s="31">
        <v>0</v>
      </c>
      <c r="AN90" s="31">
        <v>0</v>
      </c>
      <c r="AO90" s="31">
        <v>1000</v>
      </c>
      <c r="AP90" s="31">
        <v>7498</v>
      </c>
      <c r="AQ90" s="31">
        <v>8498</v>
      </c>
      <c r="AR90" s="31">
        <v>45019</v>
      </c>
      <c r="AS90" s="46">
        <f t="shared" si="38"/>
        <v>24.858641634456102</v>
      </c>
      <c r="AT90" s="31">
        <v>0</v>
      </c>
      <c r="AU90" s="31">
        <v>0</v>
      </c>
      <c r="AV90" s="31">
        <v>0</v>
      </c>
      <c r="AW90" s="31">
        <v>0</v>
      </c>
      <c r="AX90" s="31">
        <v>0</v>
      </c>
      <c r="AY90" s="31">
        <v>0</v>
      </c>
      <c r="AZ90" s="31">
        <v>0</v>
      </c>
      <c r="BA90" s="31">
        <v>0</v>
      </c>
      <c r="BB90" s="31">
        <v>0</v>
      </c>
      <c r="BC90" s="33" t="s">
        <v>25</v>
      </c>
      <c r="BD90" s="47">
        <v>11017</v>
      </c>
      <c r="BE90" s="47">
        <v>11258</v>
      </c>
      <c r="BF90" s="45">
        <f t="shared" si="39"/>
        <v>6.2164549972390946</v>
      </c>
      <c r="BG90" s="30">
        <v>207</v>
      </c>
      <c r="BH90" s="30">
        <v>207</v>
      </c>
      <c r="BI90" s="30">
        <v>44</v>
      </c>
      <c r="BJ90" s="30">
        <v>1927</v>
      </c>
      <c r="BK90" s="30">
        <v>1927</v>
      </c>
      <c r="BL90" s="30">
        <v>0</v>
      </c>
      <c r="BM90" s="30">
        <v>831</v>
      </c>
      <c r="BN90" s="30">
        <v>0</v>
      </c>
      <c r="BO90" s="30">
        <v>51</v>
      </c>
      <c r="BP90" s="30">
        <v>0</v>
      </c>
      <c r="BQ90" s="30">
        <v>51</v>
      </c>
      <c r="BR90" s="47">
        <v>13151</v>
      </c>
      <c r="BS90" s="47">
        <v>14267</v>
      </c>
      <c r="BT90" s="1">
        <f t="shared" si="40"/>
        <v>7.8779679734953065</v>
      </c>
      <c r="BU90" s="30">
        <v>17</v>
      </c>
      <c r="BV90" s="30">
        <v>0</v>
      </c>
      <c r="BW90" s="47">
        <v>3805</v>
      </c>
      <c r="BX90" s="52">
        <f t="shared" si="41"/>
        <v>2.1010491441192709</v>
      </c>
      <c r="BY90" s="47">
        <v>1697</v>
      </c>
      <c r="BZ90" s="47">
        <v>44</v>
      </c>
      <c r="CA90" s="47">
        <v>15251</v>
      </c>
      <c r="CB90" s="47">
        <v>613</v>
      </c>
      <c r="CC90" s="47">
        <v>17605</v>
      </c>
      <c r="CD90" s="55">
        <f t="shared" si="42"/>
        <v>9.7211485367200439</v>
      </c>
      <c r="CE90" s="3">
        <f t="shared" si="43"/>
        <v>10833.846153846154</v>
      </c>
      <c r="CF90" s="55">
        <f t="shared" si="44"/>
        <v>7.3354166666666663</v>
      </c>
      <c r="CG90" s="55">
        <f t="shared" si="45"/>
        <v>0.78780149460777738</v>
      </c>
      <c r="CH90" s="55">
        <f t="shared" si="46"/>
        <v>1.1879161701829397</v>
      </c>
      <c r="CI90" s="30">
        <v>21</v>
      </c>
      <c r="CJ90" s="30">
        <v>20</v>
      </c>
      <c r="CK90" s="30">
        <v>20</v>
      </c>
      <c r="CL90" s="30">
        <v>61</v>
      </c>
      <c r="CM90" s="30">
        <v>948</v>
      </c>
      <c r="CN90" s="30">
        <v>608</v>
      </c>
      <c r="CO90" s="30">
        <v>579</v>
      </c>
      <c r="CP90" s="30">
        <v>2135</v>
      </c>
      <c r="CQ90" s="1">
        <f t="shared" si="54"/>
        <v>1.1789066813914963</v>
      </c>
      <c r="CR90" s="47">
        <v>22347</v>
      </c>
      <c r="CS90" s="55">
        <f t="shared" si="47"/>
        <v>12.3395913859746</v>
      </c>
      <c r="CT90" s="59">
        <v>1554</v>
      </c>
      <c r="CU90" s="29" t="s">
        <v>25</v>
      </c>
      <c r="CV90" s="29" t="s">
        <v>25</v>
      </c>
      <c r="CW90" s="29" t="s">
        <v>25</v>
      </c>
      <c r="CX90" s="35">
        <v>0</v>
      </c>
      <c r="CY90" s="49">
        <v>0</v>
      </c>
      <c r="CZ90" s="35">
        <v>1.625</v>
      </c>
      <c r="DA90" s="35">
        <v>0</v>
      </c>
      <c r="DB90" s="35">
        <v>1.625</v>
      </c>
      <c r="DC90" s="49">
        <f t="shared" si="48"/>
        <v>1114.4615384615386</v>
      </c>
      <c r="DD90" s="30">
        <v>623</v>
      </c>
      <c r="DE90" s="31">
        <v>17676</v>
      </c>
      <c r="DF90" s="35">
        <v>40</v>
      </c>
      <c r="DG90" s="29" t="s">
        <v>25</v>
      </c>
      <c r="DH90" s="29" t="s">
        <v>25</v>
      </c>
      <c r="DI90" s="29" t="s">
        <v>25</v>
      </c>
      <c r="DJ90" s="47">
        <v>119</v>
      </c>
      <c r="DK90" s="47">
        <v>0</v>
      </c>
      <c r="DL90" s="47">
        <v>11</v>
      </c>
      <c r="DM90" s="47">
        <v>4751</v>
      </c>
      <c r="DN90" s="47">
        <v>101</v>
      </c>
      <c r="DO90" s="47">
        <v>6937</v>
      </c>
      <c r="DP90" s="29" t="s">
        <v>25</v>
      </c>
      <c r="DQ90" s="47">
        <v>4439</v>
      </c>
      <c r="DR90" s="47">
        <v>2400</v>
      </c>
      <c r="DS90" s="30">
        <v>50</v>
      </c>
      <c r="DT90" s="30">
        <v>48</v>
      </c>
      <c r="DU90" s="30">
        <v>48</v>
      </c>
      <c r="DV90" s="30">
        <v>48</v>
      </c>
      <c r="DX90" s="2">
        <f t="shared" si="49"/>
        <v>2400</v>
      </c>
      <c r="DY90" s="33" t="s">
        <v>2181</v>
      </c>
      <c r="DZ90" s="33" t="s">
        <v>289</v>
      </c>
      <c r="EA90" s="33" t="s">
        <v>2032</v>
      </c>
      <c r="EB90" s="33" t="s">
        <v>2027</v>
      </c>
      <c r="EC90" s="36">
        <v>70</v>
      </c>
      <c r="ED90" s="29" t="s">
        <v>288</v>
      </c>
      <c r="EE90" s="29" t="s">
        <v>206</v>
      </c>
      <c r="EF90" s="37">
        <v>41548</v>
      </c>
      <c r="EG90" s="37">
        <v>41912</v>
      </c>
      <c r="EH90" s="29" t="s">
        <v>288</v>
      </c>
      <c r="EI90" s="55">
        <f t="shared" si="50"/>
        <v>0.93705135284373275</v>
      </c>
      <c r="EJ90" s="54">
        <f t="shared" si="51"/>
        <v>2.4295969077857537E-2</v>
      </c>
      <c r="EK90" s="55">
        <f t="shared" si="52"/>
        <v>8.4213141910546661</v>
      </c>
      <c r="EL90" s="54">
        <f t="shared" si="53"/>
        <v>0.33848702374378797</v>
      </c>
    </row>
    <row r="91" spans="1:142" ht="28.8" x14ac:dyDescent="0.3">
      <c r="A91" s="29" t="s">
        <v>290</v>
      </c>
      <c r="B91" s="29"/>
      <c r="C91" s="30">
        <v>7095</v>
      </c>
      <c r="D91" s="30">
        <v>0</v>
      </c>
      <c r="E91" s="30">
        <v>0</v>
      </c>
      <c r="F91" s="30">
        <v>3600</v>
      </c>
      <c r="H91" s="2">
        <f t="shared" si="29"/>
        <v>3600</v>
      </c>
      <c r="I91" s="1">
        <f t="shared" si="28"/>
        <v>0.507399577167019</v>
      </c>
      <c r="J91" s="31">
        <v>33333</v>
      </c>
      <c r="K91" s="31">
        <v>11978</v>
      </c>
      <c r="L91" s="31">
        <v>45311</v>
      </c>
      <c r="M91" s="45">
        <f t="shared" si="30"/>
        <v>6.3863284002818883</v>
      </c>
      <c r="N91" s="31">
        <v>4400</v>
      </c>
      <c r="O91" s="31">
        <v>0</v>
      </c>
      <c r="P91" s="31">
        <v>1100</v>
      </c>
      <c r="Q91" s="31">
        <v>5500</v>
      </c>
      <c r="R91" s="45">
        <f t="shared" si="31"/>
        <v>0.77519379844961245</v>
      </c>
      <c r="S91" s="31">
        <v>13800</v>
      </c>
      <c r="T91" s="31">
        <v>64611</v>
      </c>
      <c r="U91" s="31">
        <v>0</v>
      </c>
      <c r="V91" s="31">
        <v>64611</v>
      </c>
      <c r="W91" s="45">
        <f t="shared" si="32"/>
        <v>9.106553911205074</v>
      </c>
      <c r="X91" s="4">
        <f t="shared" si="33"/>
        <v>0.70128925415176979</v>
      </c>
      <c r="Y91" s="4">
        <f t="shared" si="34"/>
        <v>8.5124823946386832E-2</v>
      </c>
      <c r="Z91" s="4">
        <f t="shared" si="35"/>
        <v>0.21358592190184333</v>
      </c>
      <c r="AA91" s="4">
        <f t="shared" si="36"/>
        <v>0</v>
      </c>
      <c r="AB91" s="31">
        <v>0</v>
      </c>
      <c r="AC91" s="31">
        <v>5500</v>
      </c>
      <c r="AD91" s="31">
        <v>64611</v>
      </c>
      <c r="AE91" s="31">
        <v>64610</v>
      </c>
      <c r="AF91" s="31">
        <v>26835</v>
      </c>
      <c r="AG91" s="31">
        <v>37775</v>
      </c>
      <c r="AH91" s="31">
        <v>0</v>
      </c>
      <c r="AI91" s="31">
        <v>64610</v>
      </c>
      <c r="AJ91" s="45">
        <f t="shared" si="37"/>
        <v>9.106412966878084</v>
      </c>
      <c r="AK91" s="31">
        <v>0</v>
      </c>
      <c r="AL91" s="31">
        <v>0</v>
      </c>
      <c r="AM91" s="31">
        <v>0</v>
      </c>
      <c r="AN91" s="31">
        <v>0</v>
      </c>
      <c r="AO91" s="31">
        <v>0</v>
      </c>
      <c r="AP91" s="31">
        <v>6635</v>
      </c>
      <c r="AQ91" s="31">
        <v>6635</v>
      </c>
      <c r="AR91" s="31">
        <v>71245</v>
      </c>
      <c r="AS91" s="46">
        <f t="shared" si="38"/>
        <v>10.041578576462298</v>
      </c>
      <c r="AT91" s="31">
        <v>0</v>
      </c>
      <c r="AU91" s="31">
        <v>0</v>
      </c>
      <c r="AV91" s="31">
        <v>0</v>
      </c>
      <c r="AW91" s="31">
        <v>0</v>
      </c>
      <c r="AX91" s="31">
        <v>0</v>
      </c>
      <c r="AY91" s="31">
        <v>0</v>
      </c>
      <c r="AZ91" s="31">
        <v>0</v>
      </c>
      <c r="BA91" s="31">
        <v>0</v>
      </c>
      <c r="BB91" s="31">
        <v>0</v>
      </c>
      <c r="BC91" s="33" t="s">
        <v>25</v>
      </c>
      <c r="BD91" s="47">
        <v>18948</v>
      </c>
      <c r="BE91" s="47">
        <v>19561</v>
      </c>
      <c r="BF91" s="45">
        <f t="shared" si="39"/>
        <v>2.7570119802677944</v>
      </c>
      <c r="BG91" s="30">
        <v>569</v>
      </c>
      <c r="BH91" s="30">
        <v>585</v>
      </c>
      <c r="BI91" s="30">
        <v>803</v>
      </c>
      <c r="BJ91" s="30">
        <v>834</v>
      </c>
      <c r="BK91" s="30">
        <v>852</v>
      </c>
      <c r="BL91" s="30">
        <v>23</v>
      </c>
      <c r="BM91" s="30">
        <v>3348</v>
      </c>
      <c r="BN91" s="30">
        <v>0</v>
      </c>
      <c r="BO91" s="30">
        <v>51</v>
      </c>
      <c r="BP91" s="30">
        <v>16</v>
      </c>
      <c r="BQ91" s="30">
        <v>67</v>
      </c>
      <c r="BR91" s="47">
        <v>20351</v>
      </c>
      <c r="BS91" s="47">
        <v>25172</v>
      </c>
      <c r="BT91" s="1">
        <f t="shared" si="40"/>
        <v>3.5478505990133895</v>
      </c>
      <c r="BU91" s="30">
        <v>3</v>
      </c>
      <c r="BV91" s="30">
        <v>0</v>
      </c>
      <c r="BW91" s="47">
        <v>318</v>
      </c>
      <c r="BX91" s="52">
        <f t="shared" si="41"/>
        <v>4.4820295983086678E-2</v>
      </c>
      <c r="BY91" s="47">
        <v>4414</v>
      </c>
      <c r="BZ91" s="47">
        <v>27</v>
      </c>
      <c r="CA91" s="47">
        <v>11524</v>
      </c>
      <c r="CB91" s="47">
        <v>624</v>
      </c>
      <c r="CC91" s="47">
        <v>16589</v>
      </c>
      <c r="CD91" s="55">
        <f t="shared" si="42"/>
        <v>2.3381254404510217</v>
      </c>
      <c r="CE91" s="3">
        <f t="shared" si="43"/>
        <v>9758.2352941176468</v>
      </c>
      <c r="CF91" s="55">
        <f t="shared" si="44"/>
        <v>9.3196629213483142</v>
      </c>
      <c r="CG91" s="55">
        <f t="shared" si="45"/>
        <v>1.5326127124907614</v>
      </c>
      <c r="CH91" s="55">
        <f t="shared" si="46"/>
        <v>0.63316383283012867</v>
      </c>
      <c r="CI91" s="30">
        <v>6</v>
      </c>
      <c r="CJ91" s="30">
        <v>0</v>
      </c>
      <c r="CK91" s="30">
        <v>0</v>
      </c>
      <c r="CL91" s="30">
        <v>6</v>
      </c>
      <c r="CM91" s="30">
        <v>469</v>
      </c>
      <c r="CN91" s="30">
        <v>0</v>
      </c>
      <c r="CO91" s="30">
        <v>0</v>
      </c>
      <c r="CP91" s="30">
        <v>469</v>
      </c>
      <c r="CQ91" s="1">
        <f t="shared" si="54"/>
        <v>6.6102889358703315E-2</v>
      </c>
      <c r="CR91" s="47">
        <v>10824</v>
      </c>
      <c r="CS91" s="55">
        <f t="shared" si="47"/>
        <v>1.5255813953488373</v>
      </c>
      <c r="CT91" s="59">
        <v>2233</v>
      </c>
      <c r="CU91" s="29" t="s">
        <v>25</v>
      </c>
      <c r="CV91" s="29" t="s">
        <v>25</v>
      </c>
      <c r="CW91" s="29" t="s">
        <v>25</v>
      </c>
      <c r="CX91" s="35">
        <v>0</v>
      </c>
      <c r="CY91" s="49">
        <v>0</v>
      </c>
      <c r="CZ91" s="35">
        <v>1.7</v>
      </c>
      <c r="DA91" s="35">
        <v>0</v>
      </c>
      <c r="DB91" s="35">
        <v>1.7</v>
      </c>
      <c r="DC91" s="49">
        <f t="shared" si="48"/>
        <v>4173.5294117647063</v>
      </c>
      <c r="DD91" s="30">
        <v>108</v>
      </c>
      <c r="DE91" s="31">
        <v>21900</v>
      </c>
      <c r="DF91" s="35">
        <v>38</v>
      </c>
      <c r="DG91" s="29" t="s">
        <v>25</v>
      </c>
      <c r="DH91" s="29" t="s">
        <v>25</v>
      </c>
      <c r="DI91" s="29" t="s">
        <v>25</v>
      </c>
      <c r="DJ91" s="47">
        <v>74</v>
      </c>
      <c r="DK91" s="47">
        <v>44</v>
      </c>
      <c r="DL91" s="47">
        <v>4</v>
      </c>
      <c r="DM91" s="47">
        <v>4356</v>
      </c>
      <c r="DN91" s="47">
        <v>3</v>
      </c>
      <c r="DO91" s="47">
        <v>0</v>
      </c>
      <c r="DP91" s="29" t="s">
        <v>25</v>
      </c>
      <c r="DQ91" s="47">
        <v>702</v>
      </c>
      <c r="DR91" s="47">
        <v>1780</v>
      </c>
      <c r="DS91" s="30">
        <v>50</v>
      </c>
      <c r="DT91" s="30">
        <v>38</v>
      </c>
      <c r="DU91" s="30">
        <v>38</v>
      </c>
      <c r="DV91" s="30">
        <v>38</v>
      </c>
      <c r="DX91" s="2">
        <f t="shared" si="49"/>
        <v>1780</v>
      </c>
      <c r="DY91" s="33" t="s">
        <v>2184</v>
      </c>
      <c r="DZ91" s="33" t="s">
        <v>292</v>
      </c>
      <c r="EA91" s="33" t="s">
        <v>2031</v>
      </c>
      <c r="EB91" s="33" t="s">
        <v>2027</v>
      </c>
      <c r="EC91" s="36">
        <v>71</v>
      </c>
      <c r="ED91" s="29" t="s">
        <v>291</v>
      </c>
      <c r="EE91" s="29" t="s">
        <v>290</v>
      </c>
      <c r="EF91" s="37">
        <v>41548</v>
      </c>
      <c r="EG91" s="37">
        <v>41912</v>
      </c>
      <c r="EH91" s="29" t="s">
        <v>291</v>
      </c>
      <c r="EI91" s="55">
        <f t="shared" si="50"/>
        <v>0.62212825933756166</v>
      </c>
      <c r="EJ91" s="54">
        <f t="shared" si="51"/>
        <v>3.8054968287526427E-3</v>
      </c>
      <c r="EK91" s="55">
        <f t="shared" si="52"/>
        <v>1.6242424242424243</v>
      </c>
      <c r="EL91" s="54">
        <f t="shared" si="53"/>
        <v>8.7949260042283303E-2</v>
      </c>
    </row>
    <row r="92" spans="1:142" ht="28.8" x14ac:dyDescent="0.3">
      <c r="A92" s="29" t="s">
        <v>293</v>
      </c>
      <c r="B92" s="29"/>
      <c r="C92" s="30">
        <v>6514</v>
      </c>
      <c r="D92" s="30">
        <v>0</v>
      </c>
      <c r="E92" s="30">
        <v>0</v>
      </c>
      <c r="F92" s="30">
        <v>2304</v>
      </c>
      <c r="H92" s="2">
        <f t="shared" si="29"/>
        <v>2304</v>
      </c>
      <c r="I92" s="1">
        <f t="shared" si="28"/>
        <v>0.3536997236720909</v>
      </c>
      <c r="J92" s="31">
        <v>5763</v>
      </c>
      <c r="K92" s="31">
        <v>955</v>
      </c>
      <c r="L92" s="31">
        <v>6718</v>
      </c>
      <c r="M92" s="45">
        <f t="shared" si="30"/>
        <v>1.0313171630334663</v>
      </c>
      <c r="N92" s="31">
        <v>1000</v>
      </c>
      <c r="O92" s="31">
        <v>0</v>
      </c>
      <c r="P92" s="31">
        <v>0</v>
      </c>
      <c r="Q92" s="31">
        <v>1000</v>
      </c>
      <c r="R92" s="45">
        <f t="shared" si="31"/>
        <v>0.15351550506601166</v>
      </c>
      <c r="S92" s="31">
        <v>3866</v>
      </c>
      <c r="T92" s="31">
        <v>11584</v>
      </c>
      <c r="U92" s="31">
        <v>0</v>
      </c>
      <c r="V92" s="31">
        <v>11584</v>
      </c>
      <c r="W92" s="45">
        <f t="shared" si="32"/>
        <v>1.7783236106846791</v>
      </c>
      <c r="X92" s="4">
        <f t="shared" si="33"/>
        <v>0.57993784530386738</v>
      </c>
      <c r="Y92" s="4">
        <f t="shared" si="34"/>
        <v>8.6325966850828731E-2</v>
      </c>
      <c r="Z92" s="4">
        <f t="shared" si="35"/>
        <v>0.33373618784530384</v>
      </c>
      <c r="AA92" s="4">
        <f t="shared" si="36"/>
        <v>0</v>
      </c>
      <c r="AB92" s="31">
        <v>0</v>
      </c>
      <c r="AC92" s="31">
        <v>1000</v>
      </c>
      <c r="AD92" s="31">
        <v>11518</v>
      </c>
      <c r="AE92" s="31">
        <v>5100</v>
      </c>
      <c r="AF92" s="31">
        <v>4800</v>
      </c>
      <c r="AG92" s="31">
        <v>300</v>
      </c>
      <c r="AH92" s="31">
        <v>0</v>
      </c>
      <c r="AI92" s="31">
        <v>5100</v>
      </c>
      <c r="AJ92" s="45">
        <f t="shared" si="37"/>
        <v>0.78292907583665949</v>
      </c>
      <c r="AK92" s="31">
        <v>0</v>
      </c>
      <c r="AL92" s="31">
        <v>0</v>
      </c>
      <c r="AM92" s="31">
        <v>0</v>
      </c>
      <c r="AN92" s="31">
        <v>0</v>
      </c>
      <c r="AO92" s="31">
        <v>0</v>
      </c>
      <c r="AP92" s="31">
        <v>6156</v>
      </c>
      <c r="AQ92" s="31">
        <v>6156</v>
      </c>
      <c r="AR92" s="31">
        <v>11256</v>
      </c>
      <c r="AS92" s="46">
        <f t="shared" si="38"/>
        <v>1.7279705250230273</v>
      </c>
      <c r="AT92" s="31">
        <v>0</v>
      </c>
      <c r="AU92" s="31">
        <v>0</v>
      </c>
      <c r="AV92" s="31">
        <v>0</v>
      </c>
      <c r="AW92" s="31">
        <v>0</v>
      </c>
      <c r="AX92" s="31">
        <v>0</v>
      </c>
      <c r="AY92" s="31">
        <v>0</v>
      </c>
      <c r="AZ92" s="31">
        <v>0</v>
      </c>
      <c r="BA92" s="31">
        <v>0</v>
      </c>
      <c r="BB92" s="31">
        <v>0</v>
      </c>
      <c r="BC92" s="33" t="s">
        <v>25</v>
      </c>
      <c r="BD92" s="47">
        <v>17450</v>
      </c>
      <c r="BE92" s="47">
        <v>17500</v>
      </c>
      <c r="BF92" s="45">
        <f t="shared" si="39"/>
        <v>2.6865213386552043</v>
      </c>
      <c r="BG92" s="30">
        <v>0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0</v>
      </c>
      <c r="BO92" s="30">
        <v>0</v>
      </c>
      <c r="BP92" s="30">
        <v>0</v>
      </c>
      <c r="BQ92" s="30">
        <v>0</v>
      </c>
      <c r="BR92" s="47">
        <v>17450</v>
      </c>
      <c r="BS92" s="47">
        <v>17500</v>
      </c>
      <c r="BT92" s="1">
        <f t="shared" si="40"/>
        <v>2.6865213386552043</v>
      </c>
      <c r="BU92" s="30">
        <v>0</v>
      </c>
      <c r="BV92" s="30">
        <v>0</v>
      </c>
      <c r="BW92" s="47">
        <v>0</v>
      </c>
      <c r="BX92" s="52">
        <f t="shared" si="41"/>
        <v>0</v>
      </c>
      <c r="BY92" s="47">
        <v>280</v>
      </c>
      <c r="BZ92" s="47">
        <v>0</v>
      </c>
      <c r="CA92" s="47">
        <v>1638</v>
      </c>
      <c r="CB92" s="47">
        <v>0</v>
      </c>
      <c r="CC92" s="47">
        <v>1918</v>
      </c>
      <c r="CD92" s="55">
        <f t="shared" si="42"/>
        <v>0.29444273871661036</v>
      </c>
      <c r="CE92" s="3">
        <f t="shared" si="43"/>
        <v>5114.666666666667</v>
      </c>
      <c r="CF92" s="55">
        <f t="shared" si="44"/>
        <v>2.4589743589743591</v>
      </c>
      <c r="CG92" s="55">
        <v>0</v>
      </c>
      <c r="CH92" s="55">
        <f t="shared" si="46"/>
        <v>0.1096</v>
      </c>
      <c r="CI92" s="30">
        <v>0</v>
      </c>
      <c r="CJ92" s="30">
        <v>0</v>
      </c>
      <c r="CK92" s="30">
        <v>0</v>
      </c>
      <c r="CL92" s="30">
        <v>0</v>
      </c>
      <c r="CM92" s="30">
        <v>0</v>
      </c>
      <c r="CN92" s="30">
        <v>0</v>
      </c>
      <c r="CO92" s="30">
        <v>0</v>
      </c>
      <c r="CP92" s="30">
        <v>0</v>
      </c>
      <c r="CQ92" s="1">
        <f t="shared" si="54"/>
        <v>0</v>
      </c>
      <c r="CR92" s="47">
        <v>0</v>
      </c>
      <c r="CS92" s="55">
        <f t="shared" si="47"/>
        <v>0</v>
      </c>
      <c r="CT92" s="59">
        <v>0</v>
      </c>
      <c r="CU92" s="29" t="s">
        <v>26</v>
      </c>
      <c r="CV92" s="29" t="s">
        <v>25</v>
      </c>
      <c r="CW92" s="29" t="s">
        <v>25</v>
      </c>
      <c r="CX92" s="35">
        <v>0</v>
      </c>
      <c r="CY92" s="49">
        <v>0</v>
      </c>
      <c r="CZ92" s="35">
        <v>0.375</v>
      </c>
      <c r="DA92" s="35">
        <v>0</v>
      </c>
      <c r="DB92" s="35">
        <v>0.375</v>
      </c>
      <c r="DC92" s="49">
        <f t="shared" si="48"/>
        <v>17370.666666666668</v>
      </c>
      <c r="DD92" s="30">
        <v>95</v>
      </c>
      <c r="DE92" s="31">
        <v>6250</v>
      </c>
      <c r="DF92" s="35">
        <v>15</v>
      </c>
      <c r="DG92" s="29" t="s">
        <v>26</v>
      </c>
      <c r="DH92" s="29" t="s">
        <v>26</v>
      </c>
      <c r="DI92" s="29" t="s">
        <v>26</v>
      </c>
      <c r="DJ92" s="47">
        <v>0</v>
      </c>
      <c r="DK92" s="47">
        <v>0</v>
      </c>
      <c r="DL92" s="47">
        <v>1</v>
      </c>
      <c r="DM92" s="47">
        <v>280</v>
      </c>
      <c r="DN92" s="47">
        <v>1</v>
      </c>
      <c r="DO92" s="47">
        <v>0</v>
      </c>
      <c r="DP92" s="29" t="s">
        <v>83</v>
      </c>
      <c r="DQ92" s="47">
        <v>0</v>
      </c>
      <c r="DR92" s="47">
        <v>780</v>
      </c>
      <c r="DS92" s="30">
        <v>52</v>
      </c>
      <c r="DT92" s="30">
        <v>15</v>
      </c>
      <c r="DU92" s="30">
        <v>15</v>
      </c>
      <c r="DV92" s="30">
        <v>15</v>
      </c>
      <c r="DX92" s="2">
        <f t="shared" si="49"/>
        <v>780</v>
      </c>
      <c r="DY92" s="33" t="s">
        <v>2179</v>
      </c>
      <c r="DZ92" s="33" t="s">
        <v>297</v>
      </c>
      <c r="EA92" s="33" t="s">
        <v>2032</v>
      </c>
      <c r="EB92" s="33" t="s">
        <v>2026</v>
      </c>
      <c r="EC92" s="36">
        <v>72</v>
      </c>
      <c r="ED92" s="29" t="s">
        <v>294</v>
      </c>
      <c r="EE92" s="29" t="s">
        <v>295</v>
      </c>
      <c r="EF92" s="37">
        <v>41640</v>
      </c>
      <c r="EG92" s="37">
        <v>42004</v>
      </c>
      <c r="EH92" s="29" t="s">
        <v>294</v>
      </c>
      <c r="EI92" s="55">
        <f t="shared" si="50"/>
        <v>4.2984341418483264E-2</v>
      </c>
      <c r="EJ92" s="54">
        <f t="shared" si="51"/>
        <v>0</v>
      </c>
      <c r="EK92" s="55">
        <f t="shared" si="52"/>
        <v>0.25145839729812713</v>
      </c>
      <c r="EL92" s="54">
        <f t="shared" si="53"/>
        <v>0</v>
      </c>
    </row>
    <row r="93" spans="1:142" ht="28.8" x14ac:dyDescent="0.3">
      <c r="A93" s="29" t="s">
        <v>298</v>
      </c>
      <c r="B93" s="29"/>
      <c r="C93" s="30">
        <v>3522</v>
      </c>
      <c r="D93" s="30">
        <v>0</v>
      </c>
      <c r="E93" s="30">
        <v>0</v>
      </c>
      <c r="F93" s="30">
        <v>5000</v>
      </c>
      <c r="H93" s="2">
        <f t="shared" si="29"/>
        <v>5000</v>
      </c>
      <c r="I93" s="1">
        <f t="shared" si="28"/>
        <v>1.4196479273140261</v>
      </c>
      <c r="J93" s="31">
        <v>40226</v>
      </c>
      <c r="K93" s="31">
        <v>6178</v>
      </c>
      <c r="L93" s="31">
        <v>46404</v>
      </c>
      <c r="M93" s="45">
        <f t="shared" si="30"/>
        <v>13.175468483816013</v>
      </c>
      <c r="N93" s="31">
        <v>8614</v>
      </c>
      <c r="O93" s="31">
        <v>0</v>
      </c>
      <c r="P93" s="31">
        <v>5060</v>
      </c>
      <c r="Q93" s="31">
        <v>13674</v>
      </c>
      <c r="R93" s="45">
        <f t="shared" si="31"/>
        <v>3.8824531516183987</v>
      </c>
      <c r="S93" s="31">
        <v>15044</v>
      </c>
      <c r="T93" s="31">
        <v>75122</v>
      </c>
      <c r="U93" s="31">
        <v>0</v>
      </c>
      <c r="V93" s="31">
        <v>75122</v>
      </c>
      <c r="W93" s="45">
        <f t="shared" si="32"/>
        <v>21.329358319136855</v>
      </c>
      <c r="X93" s="4">
        <f t="shared" si="33"/>
        <v>0.61771518330182906</v>
      </c>
      <c r="Y93" s="4">
        <f t="shared" si="34"/>
        <v>0.18202390777668326</v>
      </c>
      <c r="Z93" s="4">
        <f t="shared" si="35"/>
        <v>0.20026090892148771</v>
      </c>
      <c r="AA93" s="4">
        <f t="shared" si="36"/>
        <v>0</v>
      </c>
      <c r="AB93" s="31">
        <v>0</v>
      </c>
      <c r="AC93" s="31">
        <v>13674</v>
      </c>
      <c r="AD93" s="31">
        <v>75122</v>
      </c>
      <c r="AE93" s="31">
        <v>70000</v>
      </c>
      <c r="AF93" s="31">
        <v>37000</v>
      </c>
      <c r="AG93" s="31">
        <v>33000</v>
      </c>
      <c r="AH93" s="31">
        <v>0</v>
      </c>
      <c r="AI93" s="31">
        <v>70000</v>
      </c>
      <c r="AJ93" s="45">
        <f t="shared" si="37"/>
        <v>19.875070982396366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6000</v>
      </c>
      <c r="AQ93" s="31">
        <v>6000</v>
      </c>
      <c r="AR93" s="31">
        <v>76000</v>
      </c>
      <c r="AS93" s="46">
        <f t="shared" si="38"/>
        <v>21.578648495173198</v>
      </c>
      <c r="AT93" s="31">
        <v>0</v>
      </c>
      <c r="AU93" s="31">
        <v>0</v>
      </c>
      <c r="AV93" s="31">
        <v>0</v>
      </c>
      <c r="AW93" s="31">
        <v>0</v>
      </c>
      <c r="AX93" s="31">
        <v>0</v>
      </c>
      <c r="AY93" s="31">
        <v>0</v>
      </c>
      <c r="AZ93" s="31">
        <v>0</v>
      </c>
      <c r="BA93" s="31">
        <v>0</v>
      </c>
      <c r="BB93" s="31">
        <v>0</v>
      </c>
      <c r="BC93" s="33" t="s">
        <v>25</v>
      </c>
      <c r="BD93" s="47">
        <v>26822</v>
      </c>
      <c r="BE93" s="47">
        <v>26913</v>
      </c>
      <c r="BF93" s="45">
        <f t="shared" si="39"/>
        <v>7.6413969335604772</v>
      </c>
      <c r="BG93" s="30">
        <v>264</v>
      </c>
      <c r="BH93" s="30">
        <v>268</v>
      </c>
      <c r="BI93" s="30">
        <v>650</v>
      </c>
      <c r="BJ93" s="30">
        <v>864</v>
      </c>
      <c r="BK93" s="30">
        <v>875</v>
      </c>
      <c r="BL93" s="30">
        <v>22</v>
      </c>
      <c r="BM93" s="30">
        <v>2240</v>
      </c>
      <c r="BN93" s="30">
        <v>6</v>
      </c>
      <c r="BO93" s="30">
        <v>51</v>
      </c>
      <c r="BP93" s="30">
        <v>14</v>
      </c>
      <c r="BQ93" s="30">
        <v>71</v>
      </c>
      <c r="BR93" s="47">
        <v>27950</v>
      </c>
      <c r="BS93" s="47">
        <v>30974</v>
      </c>
      <c r="BT93" s="1">
        <f t="shared" si="40"/>
        <v>8.7944349801249295</v>
      </c>
      <c r="BU93" s="30">
        <v>12</v>
      </c>
      <c r="BV93" s="30">
        <v>0</v>
      </c>
      <c r="BW93" s="47">
        <v>3352</v>
      </c>
      <c r="BX93" s="52">
        <f t="shared" si="41"/>
        <v>0.95173197047132307</v>
      </c>
      <c r="BY93" s="47">
        <v>1896</v>
      </c>
      <c r="BZ93" s="47">
        <v>14</v>
      </c>
      <c r="CA93" s="47">
        <v>15615</v>
      </c>
      <c r="CB93" s="47">
        <v>99</v>
      </c>
      <c r="CC93" s="47">
        <v>17624</v>
      </c>
      <c r="CD93" s="55">
        <f t="shared" si="42"/>
        <v>5.0039750141964792</v>
      </c>
      <c r="CE93" s="3">
        <f t="shared" si="43"/>
        <v>4406</v>
      </c>
      <c r="CF93" s="55">
        <f t="shared" si="44"/>
        <v>8.7768924302788847</v>
      </c>
      <c r="CG93" s="55">
        <f t="shared" si="45"/>
        <v>0.36534754037189826</v>
      </c>
      <c r="CH93" s="55">
        <f t="shared" si="46"/>
        <v>0.56534512817201521</v>
      </c>
      <c r="CI93" s="30">
        <v>60</v>
      </c>
      <c r="CJ93" s="30">
        <v>20</v>
      </c>
      <c r="CK93" s="30">
        <v>169</v>
      </c>
      <c r="CL93" s="30">
        <v>249</v>
      </c>
      <c r="CM93" s="30">
        <v>419</v>
      </c>
      <c r="CN93" s="30">
        <v>105</v>
      </c>
      <c r="CO93" s="30">
        <v>2992</v>
      </c>
      <c r="CP93" s="30">
        <v>3516</v>
      </c>
      <c r="CQ93" s="1">
        <f t="shared" si="54"/>
        <v>0.99829642248722317</v>
      </c>
      <c r="CR93" s="47">
        <v>48239</v>
      </c>
      <c r="CS93" s="55">
        <f t="shared" si="47"/>
        <v>13.696479273140261</v>
      </c>
      <c r="CT93" s="59">
        <v>1763</v>
      </c>
      <c r="CU93" s="29" t="s">
        <v>25</v>
      </c>
      <c r="CV93" s="29" t="s">
        <v>25</v>
      </c>
      <c r="CW93" s="29" t="s">
        <v>25</v>
      </c>
      <c r="CX93" s="35">
        <v>0</v>
      </c>
      <c r="CY93" s="49">
        <v>0</v>
      </c>
      <c r="CZ93" s="35">
        <v>1</v>
      </c>
      <c r="DA93" s="35">
        <v>3</v>
      </c>
      <c r="DB93" s="35">
        <v>4</v>
      </c>
      <c r="DC93" s="49">
        <f t="shared" si="48"/>
        <v>880.5</v>
      </c>
      <c r="DD93" s="30">
        <v>124</v>
      </c>
      <c r="DE93" s="31">
        <v>25126</v>
      </c>
      <c r="DF93" s="35">
        <v>40</v>
      </c>
      <c r="DG93" s="29" t="s">
        <v>25</v>
      </c>
      <c r="DH93" s="29" t="s">
        <v>25</v>
      </c>
      <c r="DI93" s="29" t="s">
        <v>25</v>
      </c>
      <c r="DJ93" s="47">
        <v>16</v>
      </c>
      <c r="DK93" s="47">
        <v>76</v>
      </c>
      <c r="DL93" s="47">
        <v>10</v>
      </c>
      <c r="DM93" s="47">
        <v>7460</v>
      </c>
      <c r="DN93" s="47">
        <v>625</v>
      </c>
      <c r="DO93" s="47">
        <v>6690</v>
      </c>
      <c r="DP93" s="29" t="s">
        <v>25</v>
      </c>
      <c r="DQ93" s="47">
        <v>220</v>
      </c>
      <c r="DR93" s="47">
        <v>2008</v>
      </c>
      <c r="DS93" s="30">
        <v>52</v>
      </c>
      <c r="DT93" s="30">
        <v>40</v>
      </c>
      <c r="DU93" s="30">
        <v>40</v>
      </c>
      <c r="DV93" s="30">
        <v>40</v>
      </c>
      <c r="DX93" s="2">
        <f t="shared" si="49"/>
        <v>2008</v>
      </c>
      <c r="DY93" s="33" t="s">
        <v>2184</v>
      </c>
      <c r="DZ93" s="33" t="s">
        <v>301</v>
      </c>
      <c r="EA93" s="33" t="s">
        <v>2034</v>
      </c>
      <c r="EB93" s="33" t="s">
        <v>2027</v>
      </c>
      <c r="EC93" s="36">
        <v>73</v>
      </c>
      <c r="ED93" s="29" t="s">
        <v>299</v>
      </c>
      <c r="EE93" s="29" t="s">
        <v>300</v>
      </c>
      <c r="EF93" s="37">
        <v>41548</v>
      </c>
      <c r="EG93" s="37">
        <v>41912</v>
      </c>
      <c r="EH93" s="29" t="s">
        <v>299</v>
      </c>
      <c r="EI93" s="55">
        <f t="shared" si="50"/>
        <v>0.53833049403747868</v>
      </c>
      <c r="EJ93" s="54">
        <f t="shared" si="51"/>
        <v>3.9750141964792728E-3</v>
      </c>
      <c r="EK93" s="55">
        <f t="shared" si="52"/>
        <v>4.4335604770017039</v>
      </c>
      <c r="EL93" s="54">
        <f t="shared" si="53"/>
        <v>2.8109028960817718E-2</v>
      </c>
    </row>
    <row r="94" spans="1:142" ht="28.8" x14ac:dyDescent="0.3">
      <c r="A94" s="29" t="s">
        <v>302</v>
      </c>
      <c r="B94" s="29"/>
      <c r="C94" s="30">
        <v>12470</v>
      </c>
      <c r="D94" s="30">
        <v>0</v>
      </c>
      <c r="E94" s="30">
        <v>0</v>
      </c>
      <c r="F94" s="30">
        <v>5600</v>
      </c>
      <c r="H94" s="2">
        <f t="shared" si="29"/>
        <v>5600</v>
      </c>
      <c r="I94" s="1">
        <f t="shared" si="28"/>
        <v>0.44907778668805132</v>
      </c>
      <c r="J94" s="31">
        <v>45430</v>
      </c>
      <c r="K94" s="31">
        <v>6471</v>
      </c>
      <c r="L94" s="31">
        <v>51901</v>
      </c>
      <c r="M94" s="45">
        <f t="shared" si="30"/>
        <v>4.1620689655172418</v>
      </c>
      <c r="N94" s="31">
        <v>9516</v>
      </c>
      <c r="O94" s="31">
        <v>0</v>
      </c>
      <c r="P94" s="31">
        <v>1289</v>
      </c>
      <c r="Q94" s="31">
        <v>10805</v>
      </c>
      <c r="R94" s="45">
        <f t="shared" si="31"/>
        <v>0.86647955092221329</v>
      </c>
      <c r="S94" s="31">
        <v>5690</v>
      </c>
      <c r="T94" s="31">
        <v>68396</v>
      </c>
      <c r="U94" s="31">
        <v>6755</v>
      </c>
      <c r="V94" s="31">
        <v>75151</v>
      </c>
      <c r="W94" s="45">
        <f t="shared" si="32"/>
        <v>6.0265437048917398</v>
      </c>
      <c r="X94" s="4">
        <f t="shared" si="33"/>
        <v>0.69062287926973698</v>
      </c>
      <c r="Y94" s="4">
        <f t="shared" si="34"/>
        <v>0.14377719524690291</v>
      </c>
      <c r="Z94" s="4">
        <f t="shared" si="35"/>
        <v>7.5714228686245028E-2</v>
      </c>
      <c r="AA94" s="4">
        <f t="shared" si="36"/>
        <v>8.9885696797115139E-2</v>
      </c>
      <c r="AB94" s="31">
        <v>0</v>
      </c>
      <c r="AC94" s="31">
        <v>3000</v>
      </c>
      <c r="AD94" s="31">
        <v>66651</v>
      </c>
      <c r="AE94" s="31">
        <v>39918</v>
      </c>
      <c r="AF94" s="31">
        <v>3000</v>
      </c>
      <c r="AG94" s="31">
        <v>30163</v>
      </c>
      <c r="AH94" s="31">
        <v>0</v>
      </c>
      <c r="AI94" s="31">
        <v>33163</v>
      </c>
      <c r="AJ94" s="45">
        <f t="shared" si="37"/>
        <v>2.6594226142742583</v>
      </c>
      <c r="AK94" s="31">
        <v>0</v>
      </c>
      <c r="AL94" s="31">
        <v>0</v>
      </c>
      <c r="AM94" s="31">
        <v>0</v>
      </c>
      <c r="AN94" s="31">
        <v>0</v>
      </c>
      <c r="AO94" s="31">
        <v>9800</v>
      </c>
      <c r="AP94" s="31">
        <v>29720</v>
      </c>
      <c r="AQ94" s="31">
        <v>39520</v>
      </c>
      <c r="AR94" s="31">
        <v>72683</v>
      </c>
      <c r="AS94" s="46">
        <f t="shared" si="38"/>
        <v>5.8286287089013635</v>
      </c>
      <c r="AT94" s="31">
        <v>0</v>
      </c>
      <c r="AU94" s="31">
        <v>0</v>
      </c>
      <c r="AV94" s="31">
        <v>0</v>
      </c>
      <c r="AW94" s="31">
        <v>0</v>
      </c>
      <c r="AX94" s="31">
        <v>0</v>
      </c>
      <c r="AY94" s="31">
        <v>0</v>
      </c>
      <c r="AZ94" s="31">
        <v>0</v>
      </c>
      <c r="BA94" s="31">
        <v>0</v>
      </c>
      <c r="BB94" s="31">
        <v>0</v>
      </c>
      <c r="BC94" s="33" t="s">
        <v>25</v>
      </c>
      <c r="BD94" s="47">
        <v>32164</v>
      </c>
      <c r="BE94" s="47">
        <v>32477</v>
      </c>
      <c r="BF94" s="45">
        <f t="shared" si="39"/>
        <v>2.6044105854049717</v>
      </c>
      <c r="BG94" s="30">
        <v>1395</v>
      </c>
      <c r="BH94" s="30">
        <v>1395</v>
      </c>
      <c r="BI94" s="30">
        <v>0</v>
      </c>
      <c r="BJ94" s="30">
        <v>1049</v>
      </c>
      <c r="BK94" s="30">
        <v>1049</v>
      </c>
      <c r="BL94" s="30">
        <v>0</v>
      </c>
      <c r="BM94" s="30">
        <v>0</v>
      </c>
      <c r="BN94" s="30">
        <v>0</v>
      </c>
      <c r="BO94" s="30">
        <v>51</v>
      </c>
      <c r="BP94" s="30">
        <v>0</v>
      </c>
      <c r="BQ94" s="30">
        <v>51</v>
      </c>
      <c r="BR94" s="47">
        <v>34608</v>
      </c>
      <c r="BS94" s="47">
        <v>34921</v>
      </c>
      <c r="BT94" s="1">
        <f t="shared" si="40"/>
        <v>2.8004009623095429</v>
      </c>
      <c r="BU94" s="30">
        <v>29</v>
      </c>
      <c r="BV94" s="30">
        <v>0</v>
      </c>
      <c r="BW94" s="47">
        <v>3700</v>
      </c>
      <c r="BX94" s="52">
        <f t="shared" si="41"/>
        <v>0.29671210906174822</v>
      </c>
      <c r="BY94" s="47">
        <v>6167</v>
      </c>
      <c r="BZ94" s="47">
        <v>0</v>
      </c>
      <c r="CA94" s="47">
        <v>21085</v>
      </c>
      <c r="CB94" s="47">
        <v>0</v>
      </c>
      <c r="CC94" s="47">
        <v>27252</v>
      </c>
      <c r="CD94" s="55">
        <f t="shared" si="42"/>
        <v>2.1854049719326385</v>
      </c>
      <c r="CE94" s="3">
        <f t="shared" si="43"/>
        <v>7267.2</v>
      </c>
      <c r="CF94" s="55">
        <f t="shared" si="44"/>
        <v>18.413513513513514</v>
      </c>
      <c r="CG94" s="55">
        <f t="shared" si="45"/>
        <v>1.0955577889447237</v>
      </c>
      <c r="CH94" s="55">
        <f t="shared" si="46"/>
        <v>0.780390023195212</v>
      </c>
      <c r="CI94" s="30">
        <v>85</v>
      </c>
      <c r="CJ94" s="30">
        <v>0</v>
      </c>
      <c r="CK94" s="30">
        <v>20</v>
      </c>
      <c r="CL94" s="30">
        <v>105</v>
      </c>
      <c r="CM94" s="30">
        <v>1200</v>
      </c>
      <c r="CN94" s="30">
        <v>0</v>
      </c>
      <c r="CO94" s="30">
        <v>476</v>
      </c>
      <c r="CP94" s="30">
        <v>1676</v>
      </c>
      <c r="CQ94" s="1">
        <f t="shared" si="54"/>
        <v>0.13440256615878107</v>
      </c>
      <c r="CR94" s="47">
        <v>24875</v>
      </c>
      <c r="CS94" s="55">
        <f t="shared" si="47"/>
        <v>1.9947874899759424</v>
      </c>
      <c r="CT94" s="59">
        <v>4547</v>
      </c>
      <c r="CU94" s="29" t="s">
        <v>25</v>
      </c>
      <c r="CV94" s="29" t="s">
        <v>25</v>
      </c>
      <c r="CW94" s="29" t="s">
        <v>25</v>
      </c>
      <c r="CX94" s="35">
        <v>0</v>
      </c>
      <c r="CY94" s="49">
        <v>0</v>
      </c>
      <c r="CZ94" s="35">
        <v>0.75</v>
      </c>
      <c r="DA94" s="35">
        <v>3</v>
      </c>
      <c r="DB94" s="35">
        <v>3.75</v>
      </c>
      <c r="DC94" s="49">
        <f t="shared" si="48"/>
        <v>3325.3333333333335</v>
      </c>
      <c r="DD94" s="30">
        <v>356</v>
      </c>
      <c r="DE94" s="31">
        <v>19350</v>
      </c>
      <c r="DF94" s="35">
        <v>30</v>
      </c>
      <c r="DG94" s="29" t="s">
        <v>25</v>
      </c>
      <c r="DH94" s="29" t="s">
        <v>25</v>
      </c>
      <c r="DI94" s="29" t="s">
        <v>25</v>
      </c>
      <c r="DJ94" s="47">
        <v>10</v>
      </c>
      <c r="DK94" s="47">
        <v>41</v>
      </c>
      <c r="DL94" s="47">
        <v>4</v>
      </c>
      <c r="DM94" s="47">
        <v>2983</v>
      </c>
      <c r="DN94" s="47">
        <v>150</v>
      </c>
      <c r="DO94" s="47">
        <v>730</v>
      </c>
      <c r="DP94" s="29" t="s">
        <v>25</v>
      </c>
      <c r="DQ94" s="47">
        <v>1922</v>
      </c>
      <c r="DR94" s="47">
        <v>1480</v>
      </c>
      <c r="DS94" s="30">
        <v>52</v>
      </c>
      <c r="DT94" s="30">
        <v>32</v>
      </c>
      <c r="DU94" s="30">
        <v>32</v>
      </c>
      <c r="DV94" s="30">
        <v>32</v>
      </c>
      <c r="DX94" s="2">
        <f t="shared" si="49"/>
        <v>1480</v>
      </c>
      <c r="DY94" s="33" t="s">
        <v>2182</v>
      </c>
      <c r="DZ94" s="33" t="s">
        <v>305</v>
      </c>
      <c r="EA94" s="33" t="s">
        <v>2031</v>
      </c>
      <c r="EB94" s="33" t="s">
        <v>2027</v>
      </c>
      <c r="EC94" s="36">
        <v>74</v>
      </c>
      <c r="ED94" s="29" t="s">
        <v>303</v>
      </c>
      <c r="EE94" s="29" t="s">
        <v>304</v>
      </c>
      <c r="EF94" s="37">
        <v>41548</v>
      </c>
      <c r="EG94" s="37">
        <v>41912</v>
      </c>
      <c r="EH94" s="29" t="s">
        <v>303</v>
      </c>
      <c r="EI94" s="55">
        <f t="shared" si="50"/>
        <v>0.49454691259021649</v>
      </c>
      <c r="EJ94" s="54">
        <f t="shared" si="51"/>
        <v>0</v>
      </c>
      <c r="EK94" s="55">
        <f t="shared" si="52"/>
        <v>1.6908580593424218</v>
      </c>
      <c r="EL94" s="54">
        <f t="shared" si="53"/>
        <v>0</v>
      </c>
    </row>
    <row r="95" spans="1:142" ht="43.2" x14ac:dyDescent="0.3">
      <c r="A95" s="29" t="s">
        <v>307</v>
      </c>
      <c r="B95" s="29"/>
      <c r="C95" s="30">
        <v>1949</v>
      </c>
      <c r="D95" s="30">
        <v>0</v>
      </c>
      <c r="E95" s="30">
        <v>0</v>
      </c>
      <c r="F95" s="30">
        <v>2985</v>
      </c>
      <c r="H95" s="2">
        <f t="shared" si="29"/>
        <v>2985</v>
      </c>
      <c r="I95" s="1">
        <f t="shared" si="28"/>
        <v>1.5315546434068754</v>
      </c>
      <c r="J95" s="31">
        <v>35131</v>
      </c>
      <c r="K95" s="31">
        <v>3076</v>
      </c>
      <c r="L95" s="31">
        <v>38207</v>
      </c>
      <c r="M95" s="45">
        <f t="shared" si="30"/>
        <v>19.603386351975374</v>
      </c>
      <c r="N95" s="31">
        <v>4275</v>
      </c>
      <c r="O95" s="31">
        <v>0</v>
      </c>
      <c r="P95" s="31">
        <v>0</v>
      </c>
      <c r="Q95" s="31">
        <v>4275</v>
      </c>
      <c r="R95" s="45">
        <f t="shared" si="31"/>
        <v>2.1934325295023087</v>
      </c>
      <c r="S95" s="31">
        <v>3939</v>
      </c>
      <c r="T95" s="31">
        <v>46421</v>
      </c>
      <c r="U95" s="31">
        <v>0</v>
      </c>
      <c r="V95" s="31">
        <v>46421</v>
      </c>
      <c r="W95" s="45">
        <f t="shared" si="32"/>
        <v>23.817855310415599</v>
      </c>
      <c r="X95" s="4">
        <f t="shared" si="33"/>
        <v>0.82305422114991056</v>
      </c>
      <c r="Y95" s="4">
        <f t="shared" si="34"/>
        <v>9.2091941147325565E-2</v>
      </c>
      <c r="Z95" s="4">
        <f t="shared" si="35"/>
        <v>8.4853837702763835E-2</v>
      </c>
      <c r="AA95" s="4">
        <f t="shared" si="36"/>
        <v>0</v>
      </c>
      <c r="AB95" s="31">
        <v>0</v>
      </c>
      <c r="AC95" s="31">
        <v>4275</v>
      </c>
      <c r="AD95" s="31">
        <v>42147</v>
      </c>
      <c r="AE95" s="31">
        <v>42147</v>
      </c>
      <c r="AF95" s="31">
        <v>0</v>
      </c>
      <c r="AG95" s="31">
        <v>0</v>
      </c>
      <c r="AH95" s="31">
        <v>46421</v>
      </c>
      <c r="AI95" s="31">
        <v>46421</v>
      </c>
      <c r="AJ95" s="45">
        <f t="shared" si="37"/>
        <v>23.817855310415599</v>
      </c>
      <c r="AK95" s="31">
        <v>0</v>
      </c>
      <c r="AL95" s="31">
        <v>0</v>
      </c>
      <c r="AM95" s="31">
        <v>0</v>
      </c>
      <c r="AN95" s="31">
        <v>0</v>
      </c>
      <c r="AO95" s="31">
        <v>0</v>
      </c>
      <c r="AP95" s="31">
        <v>0</v>
      </c>
      <c r="AQ95" s="31">
        <v>0</v>
      </c>
      <c r="AR95" s="31">
        <v>46421</v>
      </c>
      <c r="AS95" s="46">
        <f t="shared" si="38"/>
        <v>23.817855310415599</v>
      </c>
      <c r="AT95" s="31">
        <v>0</v>
      </c>
      <c r="AU95" s="31">
        <v>0</v>
      </c>
      <c r="AV95" s="31">
        <v>0</v>
      </c>
      <c r="AW95" s="31">
        <v>0</v>
      </c>
      <c r="AX95" s="31">
        <v>0</v>
      </c>
      <c r="AY95" s="31">
        <v>0</v>
      </c>
      <c r="AZ95" s="31">
        <v>0</v>
      </c>
      <c r="BA95" s="31">
        <v>0</v>
      </c>
      <c r="BB95" s="31">
        <v>0</v>
      </c>
      <c r="BC95" s="33" t="s">
        <v>25</v>
      </c>
      <c r="BD95" s="47">
        <v>7791</v>
      </c>
      <c r="BE95" s="47">
        <v>8699</v>
      </c>
      <c r="BF95" s="45">
        <f t="shared" si="39"/>
        <v>4.4633145202668034</v>
      </c>
      <c r="BG95" s="30">
        <v>225</v>
      </c>
      <c r="BH95" s="30">
        <v>229</v>
      </c>
      <c r="BI95" s="30">
        <v>948</v>
      </c>
      <c r="BJ95" s="30">
        <v>509</v>
      </c>
      <c r="BK95" s="30">
        <v>526</v>
      </c>
      <c r="BL95" s="30">
        <v>23</v>
      </c>
      <c r="BM95" s="30">
        <v>3413</v>
      </c>
      <c r="BN95" s="30">
        <v>0</v>
      </c>
      <c r="BO95" s="30">
        <v>51</v>
      </c>
      <c r="BP95" s="30">
        <v>16</v>
      </c>
      <c r="BQ95" s="30">
        <v>67</v>
      </c>
      <c r="BR95" s="47">
        <v>8525</v>
      </c>
      <c r="BS95" s="47">
        <v>13838</v>
      </c>
      <c r="BT95" s="1">
        <f t="shared" si="40"/>
        <v>7.1000513083632635</v>
      </c>
      <c r="BU95" s="30">
        <v>17</v>
      </c>
      <c r="BV95" s="30">
        <v>0</v>
      </c>
      <c r="BW95" s="47">
        <v>2040</v>
      </c>
      <c r="BX95" s="52">
        <f t="shared" si="41"/>
        <v>1.0466906105695228</v>
      </c>
      <c r="BY95" s="47">
        <v>1009</v>
      </c>
      <c r="BZ95" s="47">
        <v>80</v>
      </c>
      <c r="CA95" s="47">
        <v>6965</v>
      </c>
      <c r="CB95" s="47">
        <v>248</v>
      </c>
      <c r="CC95" s="47">
        <v>8302</v>
      </c>
      <c r="CD95" s="55">
        <f t="shared" si="42"/>
        <v>4.2596203181118524</v>
      </c>
      <c r="CE95" s="3">
        <f t="shared" si="43"/>
        <v>6386.1538461538457</v>
      </c>
      <c r="CF95" s="55">
        <f t="shared" si="44"/>
        <v>4.1509999999999998</v>
      </c>
      <c r="CG95" s="55">
        <f t="shared" si="45"/>
        <v>0.90121580547112456</v>
      </c>
      <c r="CH95" s="55">
        <f t="shared" si="46"/>
        <v>0.57623934094522333</v>
      </c>
      <c r="CI95" s="30">
        <v>58</v>
      </c>
      <c r="CJ95" s="30">
        <v>0</v>
      </c>
      <c r="CK95" s="30">
        <v>1</v>
      </c>
      <c r="CL95" s="30">
        <v>59</v>
      </c>
      <c r="CM95" s="30">
        <v>1504</v>
      </c>
      <c r="CN95" s="30">
        <v>0</v>
      </c>
      <c r="CO95" s="30">
        <v>44</v>
      </c>
      <c r="CP95" s="30">
        <v>1548</v>
      </c>
      <c r="CQ95" s="1">
        <f t="shared" si="54"/>
        <v>0.79425346331452029</v>
      </c>
      <c r="CR95" s="47">
        <v>9212</v>
      </c>
      <c r="CS95" s="55">
        <f t="shared" si="47"/>
        <v>4.7265264238070808</v>
      </c>
      <c r="CT95" s="59">
        <v>918</v>
      </c>
      <c r="CU95" s="29" t="s">
        <v>25</v>
      </c>
      <c r="CV95" s="29" t="s">
        <v>25</v>
      </c>
      <c r="CW95" s="29" t="s">
        <v>25</v>
      </c>
      <c r="CX95" s="35">
        <v>0</v>
      </c>
      <c r="CY95" s="49">
        <v>0</v>
      </c>
      <c r="CZ95" s="35">
        <v>0.5</v>
      </c>
      <c r="DA95" s="35">
        <v>0.8</v>
      </c>
      <c r="DB95" s="35">
        <v>1.3</v>
      </c>
      <c r="DC95" s="49">
        <f t="shared" si="48"/>
        <v>1499.2307692307693</v>
      </c>
      <c r="DD95" s="30">
        <v>0</v>
      </c>
      <c r="DE95" s="31">
        <v>24670</v>
      </c>
      <c r="DF95" s="35">
        <v>20</v>
      </c>
      <c r="DG95" s="29" t="s">
        <v>25</v>
      </c>
      <c r="DH95" s="29" t="s">
        <v>26</v>
      </c>
      <c r="DI95" s="29" t="s">
        <v>26</v>
      </c>
      <c r="DJ95" s="47">
        <v>0</v>
      </c>
      <c r="DK95" s="47">
        <v>0</v>
      </c>
      <c r="DL95" s="47">
        <v>12</v>
      </c>
      <c r="DM95" s="47">
        <v>1311</v>
      </c>
      <c r="DN95" s="47">
        <v>734</v>
      </c>
      <c r="DO95" s="47">
        <v>813</v>
      </c>
      <c r="DP95" s="29" t="s">
        <v>25</v>
      </c>
      <c r="DQ95" s="47">
        <v>813</v>
      </c>
      <c r="DR95" s="47">
        <v>2000</v>
      </c>
      <c r="DS95" s="30">
        <v>50</v>
      </c>
      <c r="DT95" s="30">
        <v>40</v>
      </c>
      <c r="DU95" s="30">
        <v>40</v>
      </c>
      <c r="DV95" s="30">
        <v>40</v>
      </c>
      <c r="DX95" s="2">
        <f t="shared" si="49"/>
        <v>2000</v>
      </c>
      <c r="DY95" s="33" t="s">
        <v>2184</v>
      </c>
      <c r="DZ95" s="33" t="s">
        <v>1814</v>
      </c>
      <c r="EA95" s="33" t="s">
        <v>2035</v>
      </c>
      <c r="EB95" s="33" t="s">
        <v>2027</v>
      </c>
      <c r="EC95" s="36">
        <v>647</v>
      </c>
      <c r="ED95" s="29" t="s">
        <v>1813</v>
      </c>
      <c r="EE95" s="29" t="s">
        <v>306</v>
      </c>
      <c r="EF95" s="37">
        <v>41640</v>
      </c>
      <c r="EG95" s="37">
        <v>42004</v>
      </c>
      <c r="EH95" s="29" t="s">
        <v>1813</v>
      </c>
      <c r="EI95" s="55">
        <f t="shared" si="50"/>
        <v>0.51770138532580812</v>
      </c>
      <c r="EJ95" s="54">
        <f t="shared" si="51"/>
        <v>4.1046690610569522E-2</v>
      </c>
      <c r="EK95" s="55">
        <f t="shared" si="52"/>
        <v>3.5736275012827092</v>
      </c>
      <c r="EL95" s="54">
        <f t="shared" si="53"/>
        <v>0.12724474089276552</v>
      </c>
    </row>
    <row r="96" spans="1:142" ht="28.8" x14ac:dyDescent="0.3">
      <c r="A96" s="29" t="s">
        <v>308</v>
      </c>
      <c r="B96" s="29"/>
      <c r="C96" s="30">
        <v>29747</v>
      </c>
      <c r="D96" s="30">
        <v>0</v>
      </c>
      <c r="E96" s="30">
        <v>0</v>
      </c>
      <c r="F96" s="30">
        <v>14204</v>
      </c>
      <c r="H96" s="2">
        <f t="shared" si="29"/>
        <v>14204</v>
      </c>
      <c r="I96" s="1">
        <f t="shared" si="28"/>
        <v>0.47749352875920259</v>
      </c>
      <c r="J96" s="31">
        <v>284900</v>
      </c>
      <c r="K96" s="31">
        <v>122704</v>
      </c>
      <c r="L96" s="31">
        <v>407604</v>
      </c>
      <c r="M96" s="45">
        <f t="shared" si="30"/>
        <v>13.702356540155309</v>
      </c>
      <c r="N96" s="31">
        <v>29161</v>
      </c>
      <c r="O96" s="31">
        <v>12458</v>
      </c>
      <c r="P96" s="31">
        <v>9523</v>
      </c>
      <c r="Q96" s="31">
        <v>51142</v>
      </c>
      <c r="R96" s="45">
        <f t="shared" si="31"/>
        <v>1.7192321914814939</v>
      </c>
      <c r="S96" s="31">
        <v>43811</v>
      </c>
      <c r="T96" s="31">
        <v>502557</v>
      </c>
      <c r="U96" s="31">
        <v>0</v>
      </c>
      <c r="V96" s="31">
        <v>502557</v>
      </c>
      <c r="W96" s="45">
        <f t="shared" si="32"/>
        <v>16.894375903452449</v>
      </c>
      <c r="X96" s="4">
        <f t="shared" si="33"/>
        <v>0.81106023794315873</v>
      </c>
      <c r="Y96" s="4">
        <f t="shared" si="34"/>
        <v>0.10176358104652805</v>
      </c>
      <c r="Z96" s="4">
        <f t="shared" si="35"/>
        <v>8.7176181010313256E-2</v>
      </c>
      <c r="AA96" s="4">
        <f t="shared" si="36"/>
        <v>0</v>
      </c>
      <c r="AB96" s="31">
        <v>0</v>
      </c>
      <c r="AC96" s="31">
        <v>51142</v>
      </c>
      <c r="AD96" s="31">
        <v>502557</v>
      </c>
      <c r="AE96" s="31">
        <v>495279</v>
      </c>
      <c r="AF96" s="31">
        <v>515895</v>
      </c>
      <c r="AG96" s="31">
        <v>0</v>
      </c>
      <c r="AH96" s="31">
        <v>0</v>
      </c>
      <c r="AI96" s="31">
        <v>515895</v>
      </c>
      <c r="AJ96" s="45">
        <f t="shared" si="37"/>
        <v>17.342757252832218</v>
      </c>
      <c r="AK96" s="31">
        <v>0</v>
      </c>
      <c r="AL96" s="31">
        <v>0</v>
      </c>
      <c r="AM96" s="31">
        <v>0</v>
      </c>
      <c r="AN96" s="31">
        <v>0</v>
      </c>
      <c r="AO96" s="31">
        <v>0</v>
      </c>
      <c r="AP96" s="31">
        <v>10290</v>
      </c>
      <c r="AQ96" s="31">
        <v>10290</v>
      </c>
      <c r="AR96" s="31">
        <v>526185</v>
      </c>
      <c r="AS96" s="46">
        <f t="shared" si="38"/>
        <v>17.688674488183683</v>
      </c>
      <c r="AT96" s="31">
        <v>0</v>
      </c>
      <c r="AU96" s="31">
        <v>0</v>
      </c>
      <c r="AV96" s="31">
        <v>0</v>
      </c>
      <c r="AW96" s="31">
        <v>0</v>
      </c>
      <c r="AX96" s="31">
        <v>0</v>
      </c>
      <c r="AY96" s="31">
        <v>0</v>
      </c>
      <c r="AZ96" s="31">
        <v>0</v>
      </c>
      <c r="BA96" s="31">
        <v>0</v>
      </c>
      <c r="BB96" s="31">
        <v>0</v>
      </c>
      <c r="BC96" s="33" t="s">
        <v>25</v>
      </c>
      <c r="BD96" s="47">
        <v>42963</v>
      </c>
      <c r="BE96" s="47">
        <v>44967</v>
      </c>
      <c r="BF96" s="45">
        <f t="shared" si="39"/>
        <v>1.5116482334353043</v>
      </c>
      <c r="BG96" s="30">
        <v>1766</v>
      </c>
      <c r="BH96" s="30">
        <v>12362</v>
      </c>
      <c r="BI96" s="30">
        <v>10158</v>
      </c>
      <c r="BJ96" s="30">
        <v>1903</v>
      </c>
      <c r="BK96" s="30">
        <v>2855</v>
      </c>
      <c r="BL96" s="30">
        <v>0</v>
      </c>
      <c r="BM96" s="30">
        <v>9880</v>
      </c>
      <c r="BN96" s="30">
        <v>6</v>
      </c>
      <c r="BO96" s="30">
        <v>51</v>
      </c>
      <c r="BP96" s="30">
        <v>0</v>
      </c>
      <c r="BQ96" s="30">
        <v>57</v>
      </c>
      <c r="BR96" s="47">
        <v>46632</v>
      </c>
      <c r="BS96" s="47">
        <v>80228</v>
      </c>
      <c r="BT96" s="1">
        <f t="shared" si="40"/>
        <v>2.6970114633408411</v>
      </c>
      <c r="BU96" s="30">
        <v>75</v>
      </c>
      <c r="BV96" s="30">
        <v>0</v>
      </c>
      <c r="BW96" s="47">
        <v>16263</v>
      </c>
      <c r="BX96" s="52">
        <f t="shared" si="41"/>
        <v>0.54671059266480648</v>
      </c>
      <c r="BY96" s="47">
        <v>33486</v>
      </c>
      <c r="BZ96" s="47">
        <v>1890</v>
      </c>
      <c r="CA96" s="47">
        <v>84330</v>
      </c>
      <c r="CB96" s="47">
        <v>12937</v>
      </c>
      <c r="CC96" s="47">
        <v>132643</v>
      </c>
      <c r="CD96" s="55">
        <f t="shared" si="42"/>
        <v>4.4590378861733955</v>
      </c>
      <c r="CE96" s="3">
        <f t="shared" si="43"/>
        <v>20406.615384615383</v>
      </c>
      <c r="CF96" s="55">
        <f t="shared" si="44"/>
        <v>55.499163179916316</v>
      </c>
      <c r="CG96" s="55">
        <f t="shared" si="45"/>
        <v>0.86134614760219486</v>
      </c>
      <c r="CH96" s="55">
        <f t="shared" si="46"/>
        <v>1.4685147330109189</v>
      </c>
      <c r="CI96" s="30">
        <v>143</v>
      </c>
      <c r="CJ96" s="30">
        <v>25</v>
      </c>
      <c r="CK96" s="30">
        <v>42</v>
      </c>
      <c r="CL96" s="30">
        <v>210</v>
      </c>
      <c r="CM96" s="30">
        <v>8010</v>
      </c>
      <c r="CN96" s="30">
        <v>225</v>
      </c>
      <c r="CO96" s="30">
        <v>507</v>
      </c>
      <c r="CP96" s="30">
        <v>8742</v>
      </c>
      <c r="CQ96" s="1">
        <f t="shared" si="54"/>
        <v>0.29387837428984437</v>
      </c>
      <c r="CR96" s="47">
        <v>153995</v>
      </c>
      <c r="CS96" s="55">
        <f t="shared" si="47"/>
        <v>5.1768245537365116</v>
      </c>
      <c r="CT96" s="59">
        <v>16575</v>
      </c>
      <c r="CU96" s="29" t="s">
        <v>25</v>
      </c>
      <c r="CV96" s="29" t="s">
        <v>25</v>
      </c>
      <c r="CW96" s="29" t="s">
        <v>25</v>
      </c>
      <c r="CX96" s="35">
        <v>2</v>
      </c>
      <c r="CY96" s="49">
        <f>C96/CX96</f>
        <v>14873.5</v>
      </c>
      <c r="CZ96" s="35">
        <v>0</v>
      </c>
      <c r="DA96" s="35">
        <v>4.5</v>
      </c>
      <c r="DB96" s="35">
        <v>6.5</v>
      </c>
      <c r="DC96" s="49">
        <f t="shared" si="48"/>
        <v>4576.4615384615381</v>
      </c>
      <c r="DD96" s="30">
        <v>1026</v>
      </c>
      <c r="DE96" s="31">
        <v>66000</v>
      </c>
      <c r="DF96" s="35">
        <v>40</v>
      </c>
      <c r="DG96" s="29" t="s">
        <v>25</v>
      </c>
      <c r="DH96" s="29" t="s">
        <v>25</v>
      </c>
      <c r="DI96" s="29" t="s">
        <v>25</v>
      </c>
      <c r="DJ96" s="47">
        <v>609</v>
      </c>
      <c r="DK96" s="47">
        <v>125</v>
      </c>
      <c r="DL96" s="47">
        <v>25</v>
      </c>
      <c r="DM96" s="47">
        <v>27443</v>
      </c>
      <c r="DN96" s="47">
        <v>3765</v>
      </c>
      <c r="DO96" s="47">
        <v>3555</v>
      </c>
      <c r="DP96" s="29" t="s">
        <v>25</v>
      </c>
      <c r="DQ96" s="47">
        <v>28131</v>
      </c>
      <c r="DR96" s="47">
        <v>2390</v>
      </c>
      <c r="DS96" s="30">
        <v>52</v>
      </c>
      <c r="DT96" s="30">
        <v>48</v>
      </c>
      <c r="DU96" s="30">
        <v>48</v>
      </c>
      <c r="DV96" s="30">
        <v>48</v>
      </c>
      <c r="DX96" s="2">
        <f t="shared" si="49"/>
        <v>2390</v>
      </c>
      <c r="DY96" s="33" t="s">
        <v>2181</v>
      </c>
      <c r="DZ96" s="33" t="s">
        <v>310</v>
      </c>
      <c r="EA96" s="33" t="s">
        <v>2030</v>
      </c>
      <c r="EB96" s="33" t="s">
        <v>2027</v>
      </c>
      <c r="EC96" s="36">
        <v>76</v>
      </c>
      <c r="ED96" s="29" t="s">
        <v>309</v>
      </c>
      <c r="EE96" s="29" t="s">
        <v>236</v>
      </c>
      <c r="EF96" s="37">
        <v>41548</v>
      </c>
      <c r="EG96" s="37">
        <v>41912</v>
      </c>
      <c r="EH96" s="29" t="s">
        <v>309</v>
      </c>
      <c r="EI96" s="55">
        <f t="shared" si="50"/>
        <v>1.125693347228292</v>
      </c>
      <c r="EJ96" s="54">
        <f t="shared" si="51"/>
        <v>6.3535818738023997E-2</v>
      </c>
      <c r="EK96" s="55">
        <f t="shared" si="52"/>
        <v>2.8349077217870708</v>
      </c>
      <c r="EL96" s="54">
        <f t="shared" si="53"/>
        <v>0.43490099842000873</v>
      </c>
    </row>
    <row r="97" spans="1:142" ht="28.8" x14ac:dyDescent="0.3">
      <c r="A97" s="29" t="s">
        <v>311</v>
      </c>
      <c r="B97" s="29"/>
      <c r="C97" s="30">
        <v>7707</v>
      </c>
      <c r="D97" s="30">
        <v>0</v>
      </c>
      <c r="E97" s="30">
        <v>0</v>
      </c>
      <c r="F97" s="30">
        <v>13145</v>
      </c>
      <c r="H97" s="2">
        <f t="shared" si="29"/>
        <v>13145</v>
      </c>
      <c r="I97" s="1">
        <f t="shared" si="28"/>
        <v>1.7055923186713378</v>
      </c>
      <c r="J97" s="31">
        <v>134640</v>
      </c>
      <c r="K97" s="31">
        <v>61147</v>
      </c>
      <c r="L97" s="31">
        <v>195787</v>
      </c>
      <c r="M97" s="45">
        <f t="shared" si="30"/>
        <v>25.403788763461787</v>
      </c>
      <c r="N97" s="31">
        <v>21085</v>
      </c>
      <c r="O97" s="31">
        <v>7823</v>
      </c>
      <c r="P97" s="31">
        <v>6624</v>
      </c>
      <c r="Q97" s="31">
        <v>35532</v>
      </c>
      <c r="R97" s="45">
        <f t="shared" si="31"/>
        <v>4.6103542234332426</v>
      </c>
      <c r="S97" s="31">
        <v>51574</v>
      </c>
      <c r="T97" s="31">
        <v>282893</v>
      </c>
      <c r="U97" s="31">
        <v>0</v>
      </c>
      <c r="V97" s="31">
        <v>282893</v>
      </c>
      <c r="W97" s="45">
        <f t="shared" si="32"/>
        <v>36.705981575191387</v>
      </c>
      <c r="X97" s="4">
        <f t="shared" si="33"/>
        <v>0.69208852817142874</v>
      </c>
      <c r="Y97" s="4">
        <f t="shared" si="34"/>
        <v>0.12560225951154677</v>
      </c>
      <c r="Z97" s="4">
        <f t="shared" si="35"/>
        <v>0.18230921231702446</v>
      </c>
      <c r="AA97" s="4">
        <f t="shared" si="36"/>
        <v>0</v>
      </c>
      <c r="AB97" s="31">
        <v>0</v>
      </c>
      <c r="AC97" s="31">
        <v>35532</v>
      </c>
      <c r="AD97" s="31">
        <v>282893</v>
      </c>
      <c r="AE97" s="31">
        <v>282893</v>
      </c>
      <c r="AF97" s="31">
        <v>282893</v>
      </c>
      <c r="AG97" s="31">
        <v>0</v>
      </c>
      <c r="AH97" s="31">
        <v>0</v>
      </c>
      <c r="AI97" s="31">
        <v>282893</v>
      </c>
      <c r="AJ97" s="45">
        <f t="shared" si="37"/>
        <v>36.705981575191387</v>
      </c>
      <c r="AK97" s="31">
        <v>0</v>
      </c>
      <c r="AL97" s="31">
        <v>0</v>
      </c>
      <c r="AM97" s="31">
        <v>0</v>
      </c>
      <c r="AN97" s="31">
        <v>0</v>
      </c>
      <c r="AO97" s="31">
        <v>19160</v>
      </c>
      <c r="AP97" s="31">
        <v>21161</v>
      </c>
      <c r="AQ97" s="31">
        <v>40321</v>
      </c>
      <c r="AR97" s="31">
        <v>323214</v>
      </c>
      <c r="AS97" s="46">
        <f t="shared" si="38"/>
        <v>41.937718956792523</v>
      </c>
      <c r="AT97" s="31">
        <v>0</v>
      </c>
      <c r="AU97" s="31">
        <v>0</v>
      </c>
      <c r="AV97" s="31">
        <v>0</v>
      </c>
      <c r="AW97" s="31">
        <v>0</v>
      </c>
      <c r="AX97" s="31">
        <v>0</v>
      </c>
      <c r="AY97" s="31">
        <v>0</v>
      </c>
      <c r="AZ97" s="31">
        <v>0</v>
      </c>
      <c r="BA97" s="31">
        <v>0</v>
      </c>
      <c r="BB97" s="31">
        <v>0</v>
      </c>
      <c r="BC97" s="33" t="s">
        <v>25</v>
      </c>
      <c r="BD97" s="47">
        <v>37911</v>
      </c>
      <c r="BE97" s="47">
        <v>38328</v>
      </c>
      <c r="BF97" s="45">
        <f t="shared" si="39"/>
        <v>4.9731413001167768</v>
      </c>
      <c r="BG97" s="30">
        <v>2594</v>
      </c>
      <c r="BH97" s="30">
        <v>2622</v>
      </c>
      <c r="BI97" s="30">
        <v>9909</v>
      </c>
      <c r="BJ97" s="30">
        <v>1857</v>
      </c>
      <c r="BK97" s="30">
        <v>1879</v>
      </c>
      <c r="BL97" s="30">
        <v>57</v>
      </c>
      <c r="BM97" s="30">
        <v>7549</v>
      </c>
      <c r="BN97" s="30">
        <v>4</v>
      </c>
      <c r="BO97" s="30">
        <v>51</v>
      </c>
      <c r="BP97" s="30">
        <v>0</v>
      </c>
      <c r="BQ97" s="30">
        <v>55</v>
      </c>
      <c r="BR97" s="47">
        <v>42362</v>
      </c>
      <c r="BS97" s="47">
        <v>60348</v>
      </c>
      <c r="BT97" s="1">
        <f t="shared" si="40"/>
        <v>7.8302841572596344</v>
      </c>
      <c r="BU97" s="30">
        <v>25</v>
      </c>
      <c r="BV97" s="30">
        <v>3</v>
      </c>
      <c r="BW97" s="47">
        <v>9180</v>
      </c>
      <c r="BX97" s="52">
        <f t="shared" si="41"/>
        <v>1.1911249513429349</v>
      </c>
      <c r="BY97" s="47">
        <v>13502</v>
      </c>
      <c r="BZ97" s="47">
        <v>1331</v>
      </c>
      <c r="CA97" s="47">
        <v>61026</v>
      </c>
      <c r="CB97" s="47">
        <v>1500</v>
      </c>
      <c r="CC97" s="47">
        <v>77359</v>
      </c>
      <c r="CD97" s="55">
        <f t="shared" si="42"/>
        <v>10.037498378097833</v>
      </c>
      <c r="CE97" s="3">
        <f t="shared" si="43"/>
        <v>14735.047619047618</v>
      </c>
      <c r="CF97" s="55">
        <f t="shared" si="44"/>
        <v>33.707625272331157</v>
      </c>
      <c r="CG97" s="55">
        <f t="shared" si="45"/>
        <v>0.68474441248063733</v>
      </c>
      <c r="CH97" s="55">
        <f t="shared" si="46"/>
        <v>1.2349705044077683</v>
      </c>
      <c r="CI97" s="30">
        <v>79</v>
      </c>
      <c r="CJ97" s="30">
        <v>12</v>
      </c>
      <c r="CK97" s="30">
        <v>0</v>
      </c>
      <c r="CL97" s="30">
        <v>91</v>
      </c>
      <c r="CM97" s="30">
        <v>3740</v>
      </c>
      <c r="CN97" s="30">
        <v>42</v>
      </c>
      <c r="CO97" s="30">
        <v>0</v>
      </c>
      <c r="CP97" s="30">
        <v>3782</v>
      </c>
      <c r="CQ97" s="1">
        <f t="shared" si="54"/>
        <v>0.49072271960555341</v>
      </c>
      <c r="CR97" s="47">
        <v>112975</v>
      </c>
      <c r="CS97" s="55">
        <f t="shared" si="47"/>
        <v>14.658751784092383</v>
      </c>
      <c r="CT97" s="59">
        <v>9959</v>
      </c>
      <c r="CU97" s="29" t="s">
        <v>25</v>
      </c>
      <c r="CV97" s="29" t="s">
        <v>25</v>
      </c>
      <c r="CW97" s="29" t="s">
        <v>25</v>
      </c>
      <c r="CX97" s="35">
        <v>0</v>
      </c>
      <c r="CY97" s="49">
        <v>0</v>
      </c>
      <c r="CZ97" s="35">
        <v>4</v>
      </c>
      <c r="DA97" s="35">
        <v>1.25</v>
      </c>
      <c r="DB97" s="35">
        <v>5.25</v>
      </c>
      <c r="DC97" s="49">
        <f t="shared" si="48"/>
        <v>1468</v>
      </c>
      <c r="DD97" s="30">
        <v>48</v>
      </c>
      <c r="DE97" s="31">
        <v>38624</v>
      </c>
      <c r="DF97" s="35">
        <v>40</v>
      </c>
      <c r="DG97" s="29" t="s">
        <v>25</v>
      </c>
      <c r="DH97" s="29" t="s">
        <v>25</v>
      </c>
      <c r="DI97" s="29" t="s">
        <v>25</v>
      </c>
      <c r="DJ97" s="47">
        <v>544</v>
      </c>
      <c r="DK97" s="47">
        <v>231</v>
      </c>
      <c r="DL97" s="47">
        <v>22</v>
      </c>
      <c r="DM97" s="47">
        <v>16964</v>
      </c>
      <c r="DN97" s="47">
        <v>801</v>
      </c>
      <c r="DO97" s="47">
        <v>0</v>
      </c>
      <c r="DP97" s="29" t="s">
        <v>2028</v>
      </c>
      <c r="DQ97" s="47">
        <v>0</v>
      </c>
      <c r="DR97" s="47">
        <v>2295</v>
      </c>
      <c r="DS97" s="30">
        <v>51</v>
      </c>
      <c r="DT97" s="30">
        <v>45</v>
      </c>
      <c r="DU97" s="30">
        <v>45</v>
      </c>
      <c r="DV97" s="30">
        <v>45</v>
      </c>
      <c r="DX97" s="2">
        <f t="shared" si="49"/>
        <v>2295</v>
      </c>
      <c r="DY97" s="33" t="s">
        <v>2185</v>
      </c>
      <c r="DZ97" s="33" t="s">
        <v>314</v>
      </c>
      <c r="EA97" s="33" t="s">
        <v>2030</v>
      </c>
      <c r="EB97" s="33" t="s">
        <v>2027</v>
      </c>
      <c r="EC97" s="36">
        <v>77</v>
      </c>
      <c r="ED97" s="29" t="s">
        <v>312</v>
      </c>
      <c r="EE97" s="29" t="s">
        <v>313</v>
      </c>
      <c r="EF97" s="37">
        <v>41548</v>
      </c>
      <c r="EG97" s="37">
        <v>41912</v>
      </c>
      <c r="EH97" s="29" t="s">
        <v>312</v>
      </c>
      <c r="EI97" s="55">
        <f t="shared" si="50"/>
        <v>1.7519138445568962</v>
      </c>
      <c r="EJ97" s="54">
        <f t="shared" si="51"/>
        <v>0.17270014272739068</v>
      </c>
      <c r="EK97" s="55">
        <f t="shared" si="52"/>
        <v>7.9182561307901906</v>
      </c>
      <c r="EL97" s="54">
        <f t="shared" si="53"/>
        <v>0.1946282600233554</v>
      </c>
    </row>
    <row r="98" spans="1:142" ht="28.8" x14ac:dyDescent="0.3">
      <c r="A98" s="29" t="s">
        <v>315</v>
      </c>
      <c r="B98" s="29"/>
      <c r="C98" s="30">
        <v>3376</v>
      </c>
      <c r="D98" s="30">
        <v>0</v>
      </c>
      <c r="E98" s="30">
        <v>0</v>
      </c>
      <c r="F98" s="30">
        <v>2000</v>
      </c>
      <c r="H98" s="2">
        <f t="shared" si="29"/>
        <v>2000</v>
      </c>
      <c r="I98" s="1">
        <f t="shared" si="28"/>
        <v>0.59241706161137442</v>
      </c>
      <c r="J98" s="31">
        <v>41633</v>
      </c>
      <c r="K98" s="31">
        <v>9525</v>
      </c>
      <c r="L98" s="31">
        <v>51158</v>
      </c>
      <c r="M98" s="45">
        <f t="shared" si="30"/>
        <v>15.153436018957345</v>
      </c>
      <c r="N98" s="31">
        <v>9223</v>
      </c>
      <c r="O98" s="31">
        <v>3322</v>
      </c>
      <c r="P98" s="31">
        <v>810</v>
      </c>
      <c r="Q98" s="31">
        <v>13355</v>
      </c>
      <c r="R98" s="45">
        <f t="shared" si="31"/>
        <v>3.9558649289099526</v>
      </c>
      <c r="S98" s="31">
        <v>8300</v>
      </c>
      <c r="T98" s="31">
        <v>72813</v>
      </c>
      <c r="U98" s="31">
        <v>0</v>
      </c>
      <c r="V98" s="31">
        <v>72813</v>
      </c>
      <c r="W98" s="45">
        <f t="shared" si="32"/>
        <v>21.567831753554504</v>
      </c>
      <c r="X98" s="4">
        <f t="shared" si="33"/>
        <v>0.70259431694889651</v>
      </c>
      <c r="Y98" s="4">
        <f t="shared" si="34"/>
        <v>0.18341504951038962</v>
      </c>
      <c r="Z98" s="4">
        <f t="shared" si="35"/>
        <v>0.11399063354071388</v>
      </c>
      <c r="AA98" s="4">
        <f t="shared" si="36"/>
        <v>0</v>
      </c>
      <c r="AB98" s="31">
        <v>0</v>
      </c>
      <c r="AC98" s="31">
        <v>13355</v>
      </c>
      <c r="AD98" s="31">
        <v>72813</v>
      </c>
      <c r="AE98" s="31">
        <v>64888</v>
      </c>
      <c r="AF98" s="31">
        <v>66220</v>
      </c>
      <c r="AG98" s="31">
        <v>0</v>
      </c>
      <c r="AH98" s="31">
        <v>0</v>
      </c>
      <c r="AI98" s="31">
        <v>66220</v>
      </c>
      <c r="AJ98" s="45">
        <f t="shared" si="37"/>
        <v>19.614928909952607</v>
      </c>
      <c r="AK98" s="31">
        <v>0</v>
      </c>
      <c r="AL98" s="31">
        <v>0</v>
      </c>
      <c r="AM98" s="31">
        <v>0</v>
      </c>
      <c r="AN98" s="31">
        <v>0</v>
      </c>
      <c r="AO98" s="31">
        <v>0</v>
      </c>
      <c r="AP98" s="31">
        <v>8683</v>
      </c>
      <c r="AQ98" s="31">
        <v>8683</v>
      </c>
      <c r="AR98" s="31">
        <v>74903</v>
      </c>
      <c r="AS98" s="46">
        <f t="shared" si="38"/>
        <v>22.186907582938389</v>
      </c>
      <c r="AT98" s="31">
        <v>0</v>
      </c>
      <c r="AU98" s="31">
        <v>0</v>
      </c>
      <c r="AV98" s="31">
        <v>0</v>
      </c>
      <c r="AW98" s="31">
        <v>0</v>
      </c>
      <c r="AX98" s="31">
        <v>0</v>
      </c>
      <c r="AY98" s="31">
        <v>0</v>
      </c>
      <c r="AZ98" s="31">
        <v>0</v>
      </c>
      <c r="BA98" s="31">
        <v>0</v>
      </c>
      <c r="BB98" s="31">
        <v>0</v>
      </c>
      <c r="BC98" s="33" t="s">
        <v>25</v>
      </c>
      <c r="BD98" s="47">
        <v>9792</v>
      </c>
      <c r="BE98" s="47">
        <v>9816</v>
      </c>
      <c r="BF98" s="45">
        <f t="shared" si="39"/>
        <v>2.9075829383886256</v>
      </c>
      <c r="BG98" s="30">
        <v>369</v>
      </c>
      <c r="BH98" s="30">
        <v>369</v>
      </c>
      <c r="BI98" s="30">
        <v>18</v>
      </c>
      <c r="BJ98" s="30">
        <v>489</v>
      </c>
      <c r="BK98" s="30">
        <v>491</v>
      </c>
      <c r="BL98" s="30">
        <v>0</v>
      </c>
      <c r="BM98" s="30">
        <v>693</v>
      </c>
      <c r="BN98" s="30">
        <v>2</v>
      </c>
      <c r="BO98" s="30">
        <v>51</v>
      </c>
      <c r="BP98" s="30">
        <v>0</v>
      </c>
      <c r="BQ98" s="30">
        <v>53</v>
      </c>
      <c r="BR98" s="47">
        <v>10650</v>
      </c>
      <c r="BS98" s="47">
        <v>11389</v>
      </c>
      <c r="BT98" s="1">
        <f t="shared" si="40"/>
        <v>3.3735189573459716</v>
      </c>
      <c r="BU98" s="30">
        <v>8</v>
      </c>
      <c r="BV98" s="30">
        <v>0</v>
      </c>
      <c r="BW98" s="47">
        <v>735</v>
      </c>
      <c r="BX98" s="52">
        <f t="shared" si="41"/>
        <v>0.21771327014218009</v>
      </c>
      <c r="BY98" s="47">
        <v>1982</v>
      </c>
      <c r="BZ98" s="47">
        <v>49</v>
      </c>
      <c r="CA98" s="47">
        <v>8847</v>
      </c>
      <c r="CB98" s="47">
        <v>430</v>
      </c>
      <c r="CC98" s="47">
        <v>11308</v>
      </c>
      <c r="CD98" s="55">
        <f t="shared" si="42"/>
        <v>3.3495260663507107</v>
      </c>
      <c r="CE98" s="3">
        <f t="shared" si="43"/>
        <v>8224</v>
      </c>
      <c r="CF98" s="55">
        <f t="shared" si="44"/>
        <v>7.5841716968477533</v>
      </c>
      <c r="CG98" s="55">
        <f t="shared" si="45"/>
        <v>0.98837514203303911</v>
      </c>
      <c r="CH98" s="55">
        <f t="shared" si="46"/>
        <v>0.95082974800245856</v>
      </c>
      <c r="CI98" s="30">
        <v>30</v>
      </c>
      <c r="CJ98" s="30">
        <v>3</v>
      </c>
      <c r="CK98" s="30">
        <v>12</v>
      </c>
      <c r="CL98" s="30">
        <v>45</v>
      </c>
      <c r="CM98" s="30">
        <v>700</v>
      </c>
      <c r="CN98" s="30">
        <v>15</v>
      </c>
      <c r="CO98" s="30">
        <v>201</v>
      </c>
      <c r="CP98" s="30">
        <v>916</v>
      </c>
      <c r="CQ98" s="1">
        <f t="shared" si="54"/>
        <v>0.27132701421800948</v>
      </c>
      <c r="CR98" s="47">
        <v>11441</v>
      </c>
      <c r="CS98" s="55">
        <f t="shared" si="47"/>
        <v>3.3889218009478674</v>
      </c>
      <c r="CT98" s="59">
        <v>3932</v>
      </c>
      <c r="CU98" s="29" t="s">
        <v>25</v>
      </c>
      <c r="CV98" s="29" t="s">
        <v>25</v>
      </c>
      <c r="CW98" s="29" t="s">
        <v>25</v>
      </c>
      <c r="CX98" s="35">
        <v>0</v>
      </c>
      <c r="CY98" s="49">
        <v>0</v>
      </c>
      <c r="CZ98" s="35">
        <v>1.375</v>
      </c>
      <c r="DA98" s="35">
        <v>0</v>
      </c>
      <c r="DB98" s="35">
        <v>1.375</v>
      </c>
      <c r="DC98" s="49">
        <f t="shared" si="48"/>
        <v>2455.2727272727275</v>
      </c>
      <c r="DD98" s="30">
        <v>943</v>
      </c>
      <c r="DE98" s="31">
        <v>16159</v>
      </c>
      <c r="DF98" s="35">
        <v>35</v>
      </c>
      <c r="DG98" s="29" t="s">
        <v>25</v>
      </c>
      <c r="DH98" s="29" t="s">
        <v>25</v>
      </c>
      <c r="DI98" s="29" t="s">
        <v>25</v>
      </c>
      <c r="DJ98" s="47">
        <v>0</v>
      </c>
      <c r="DK98" s="47">
        <v>0</v>
      </c>
      <c r="DL98" s="47">
        <v>11</v>
      </c>
      <c r="DM98" s="47">
        <v>3315</v>
      </c>
      <c r="DN98" s="47">
        <v>79</v>
      </c>
      <c r="DO98" s="47">
        <v>669</v>
      </c>
      <c r="DP98" s="29" t="s">
        <v>2028</v>
      </c>
      <c r="DQ98" s="47">
        <v>0</v>
      </c>
      <c r="DR98" s="47">
        <v>1491</v>
      </c>
      <c r="DS98" s="30">
        <v>50</v>
      </c>
      <c r="DT98" s="30">
        <v>35</v>
      </c>
      <c r="DU98" s="30">
        <v>35</v>
      </c>
      <c r="DV98" s="30">
        <v>35</v>
      </c>
      <c r="DX98" s="2">
        <f t="shared" si="49"/>
        <v>1491</v>
      </c>
      <c r="DY98" s="33" t="s">
        <v>2186</v>
      </c>
      <c r="DZ98" s="33" t="s">
        <v>318</v>
      </c>
      <c r="EA98" s="33" t="s">
        <v>2030</v>
      </c>
      <c r="EB98" s="33" t="s">
        <v>2027</v>
      </c>
      <c r="EC98" s="36">
        <v>78</v>
      </c>
      <c r="ED98" s="29" t="s">
        <v>316</v>
      </c>
      <c r="EE98" s="29" t="s">
        <v>317</v>
      </c>
      <c r="EF98" s="37">
        <v>41548</v>
      </c>
      <c r="EG98" s="37">
        <v>41912</v>
      </c>
      <c r="EH98" s="29" t="s">
        <v>316</v>
      </c>
      <c r="EI98" s="55">
        <f t="shared" si="50"/>
        <v>0.58708530805687209</v>
      </c>
      <c r="EJ98" s="54">
        <f t="shared" si="51"/>
        <v>1.4514218009478674E-2</v>
      </c>
      <c r="EK98" s="55">
        <f t="shared" si="52"/>
        <v>2.6205568720379149</v>
      </c>
      <c r="EL98" s="54">
        <f t="shared" si="53"/>
        <v>0.12736966824644549</v>
      </c>
    </row>
    <row r="99" spans="1:142" ht="28.8" x14ac:dyDescent="0.3">
      <c r="A99" s="29" t="s">
        <v>2054</v>
      </c>
      <c r="B99" s="29"/>
      <c r="C99" s="30">
        <v>43217</v>
      </c>
      <c r="D99" s="30">
        <v>0</v>
      </c>
      <c r="E99" s="30">
        <v>0</v>
      </c>
      <c r="F99" s="30">
        <v>9617</v>
      </c>
      <c r="H99" s="2">
        <f t="shared" si="29"/>
        <v>9617</v>
      </c>
      <c r="I99" s="1">
        <f t="shared" si="28"/>
        <v>0.22252817178425158</v>
      </c>
      <c r="J99" s="31">
        <v>87676</v>
      </c>
      <c r="K99" s="31">
        <v>17403</v>
      </c>
      <c r="L99" s="31">
        <v>105079</v>
      </c>
      <c r="M99" s="45">
        <f t="shared" si="30"/>
        <v>2.4314274475322213</v>
      </c>
      <c r="N99" s="31">
        <v>3128</v>
      </c>
      <c r="O99" s="31">
        <v>0</v>
      </c>
      <c r="P99" s="31">
        <v>0</v>
      </c>
      <c r="Q99" s="31">
        <v>3128</v>
      </c>
      <c r="R99" s="45">
        <f t="shared" si="31"/>
        <v>7.2378924960085148E-2</v>
      </c>
      <c r="S99" s="31">
        <v>7663</v>
      </c>
      <c r="T99" s="31">
        <v>115870</v>
      </c>
      <c r="U99" s="31">
        <v>0</v>
      </c>
      <c r="V99" s="31">
        <v>115870</v>
      </c>
      <c r="W99" s="45">
        <f t="shared" si="32"/>
        <v>2.6811208552190111</v>
      </c>
      <c r="X99" s="4">
        <f t="shared" si="33"/>
        <v>0.90686976784327267</v>
      </c>
      <c r="Y99" s="4">
        <f t="shared" si="34"/>
        <v>2.6995771122810045E-2</v>
      </c>
      <c r="Z99" s="4">
        <f t="shared" si="35"/>
        <v>6.6134461033917319E-2</v>
      </c>
      <c r="AA99" s="4">
        <f t="shared" si="36"/>
        <v>0</v>
      </c>
      <c r="AB99" s="31">
        <v>0</v>
      </c>
      <c r="AC99" s="31">
        <v>3128</v>
      </c>
      <c r="AD99" s="31">
        <v>115870</v>
      </c>
      <c r="AE99" s="31">
        <v>115870</v>
      </c>
      <c r="AF99" s="31">
        <v>0</v>
      </c>
      <c r="AG99" s="31">
        <v>0</v>
      </c>
      <c r="AH99" s="31">
        <v>115870</v>
      </c>
      <c r="AI99" s="31">
        <v>115870</v>
      </c>
      <c r="AJ99" s="45">
        <f t="shared" si="37"/>
        <v>2.6811208552190111</v>
      </c>
      <c r="AK99" s="31"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200</v>
      </c>
      <c r="AQ99" s="31">
        <v>200</v>
      </c>
      <c r="AR99" s="31">
        <v>116070</v>
      </c>
      <c r="AS99" s="46">
        <f t="shared" si="38"/>
        <v>2.6857486637202954</v>
      </c>
      <c r="AT99" s="31">
        <v>0</v>
      </c>
      <c r="AU99" s="31">
        <v>0</v>
      </c>
      <c r="AV99" s="31">
        <v>0</v>
      </c>
      <c r="AW99" s="31">
        <v>0</v>
      </c>
      <c r="AX99" s="31">
        <v>0</v>
      </c>
      <c r="AY99" s="31">
        <v>0</v>
      </c>
      <c r="AZ99" s="31">
        <v>0</v>
      </c>
      <c r="BA99" s="31">
        <v>0</v>
      </c>
      <c r="BB99" s="31">
        <v>0</v>
      </c>
      <c r="BC99" s="33" t="s">
        <v>25</v>
      </c>
      <c r="BD99" s="47">
        <v>15457</v>
      </c>
      <c r="BE99" s="47">
        <v>16396</v>
      </c>
      <c r="BF99" s="45">
        <f t="shared" si="39"/>
        <v>0.3793877409352801</v>
      </c>
      <c r="BG99" s="30">
        <v>56</v>
      </c>
      <c r="BH99" s="30">
        <v>106</v>
      </c>
      <c r="BI99" s="30">
        <v>0</v>
      </c>
      <c r="BJ99" s="30">
        <v>621</v>
      </c>
      <c r="BK99" s="30">
        <v>686</v>
      </c>
      <c r="BL99" s="30">
        <v>0</v>
      </c>
      <c r="BM99" s="30">
        <v>35</v>
      </c>
      <c r="BN99" s="30">
        <v>0</v>
      </c>
      <c r="BO99" s="30">
        <v>51</v>
      </c>
      <c r="BP99" s="30">
        <v>0</v>
      </c>
      <c r="BQ99" s="30">
        <v>51</v>
      </c>
      <c r="BR99" s="47">
        <v>16134</v>
      </c>
      <c r="BS99" s="47">
        <v>17223</v>
      </c>
      <c r="BT99" s="1">
        <f t="shared" si="40"/>
        <v>0.39852372908809036</v>
      </c>
      <c r="BU99" s="30">
        <v>21</v>
      </c>
      <c r="BV99" s="30">
        <v>0</v>
      </c>
      <c r="BW99" s="47">
        <v>2450</v>
      </c>
      <c r="BX99" s="52">
        <f t="shared" si="41"/>
        <v>5.6690654140731656E-2</v>
      </c>
      <c r="BY99" s="47">
        <v>1900</v>
      </c>
      <c r="BZ99" s="47">
        <v>10</v>
      </c>
      <c r="CA99" s="47">
        <v>17520</v>
      </c>
      <c r="CB99" s="47">
        <v>35</v>
      </c>
      <c r="CC99" s="47">
        <v>19465</v>
      </c>
      <c r="CD99" s="55">
        <f t="shared" si="42"/>
        <v>0.45040146238748641</v>
      </c>
      <c r="CE99" s="3">
        <f t="shared" si="43"/>
        <v>9732.5</v>
      </c>
      <c r="CF99" s="55">
        <f t="shared" si="44"/>
        <v>11.059659090909092</v>
      </c>
      <c r="CG99" s="55">
        <f t="shared" si="45"/>
        <v>0.98308080808080811</v>
      </c>
      <c r="CH99" s="55">
        <f t="shared" si="46"/>
        <v>1.1275619810718225</v>
      </c>
      <c r="CI99" s="30">
        <v>25</v>
      </c>
      <c r="CJ99" s="30">
        <v>0</v>
      </c>
      <c r="CK99" s="30">
        <v>0</v>
      </c>
      <c r="CL99" s="30">
        <v>25</v>
      </c>
      <c r="CM99" s="30">
        <v>1250</v>
      </c>
      <c r="CN99" s="30">
        <v>0</v>
      </c>
      <c r="CO99" s="30">
        <v>0</v>
      </c>
      <c r="CP99" s="30">
        <v>1250</v>
      </c>
      <c r="CQ99" s="1">
        <f t="shared" si="54"/>
        <v>2.8923803133026355E-2</v>
      </c>
      <c r="CR99" s="47">
        <v>19800</v>
      </c>
      <c r="CS99" s="55">
        <f t="shared" si="47"/>
        <v>0.45815304162713749</v>
      </c>
      <c r="CT99" s="59">
        <v>3925</v>
      </c>
      <c r="CU99" s="29" t="s">
        <v>25</v>
      </c>
      <c r="CV99" s="29" t="s">
        <v>25</v>
      </c>
      <c r="CW99" s="29" t="s">
        <v>25</v>
      </c>
      <c r="CX99" s="35">
        <v>1</v>
      </c>
      <c r="CY99" s="49">
        <f>C99/CX99</f>
        <v>43217</v>
      </c>
      <c r="CZ99" s="35">
        <v>1</v>
      </c>
      <c r="DA99" s="35">
        <v>0</v>
      </c>
      <c r="DB99" s="35">
        <v>2</v>
      </c>
      <c r="DC99" s="49">
        <f t="shared" si="48"/>
        <v>21608.5</v>
      </c>
      <c r="DD99" s="30">
        <v>520</v>
      </c>
      <c r="DE99" s="31">
        <v>25000</v>
      </c>
      <c r="DF99" s="35">
        <v>40</v>
      </c>
      <c r="DG99" s="29" t="s">
        <v>25</v>
      </c>
      <c r="DH99" s="29" t="s">
        <v>26</v>
      </c>
      <c r="DI99" s="29" t="s">
        <v>26</v>
      </c>
      <c r="DJ99" s="47">
        <v>0</v>
      </c>
      <c r="DK99" s="47">
        <v>0</v>
      </c>
      <c r="DL99" s="47">
        <v>34</v>
      </c>
      <c r="DM99" s="47">
        <v>12100</v>
      </c>
      <c r="DN99" s="47">
        <v>12</v>
      </c>
      <c r="DO99" s="47">
        <v>55</v>
      </c>
      <c r="DP99" s="29" t="s">
        <v>2028</v>
      </c>
      <c r="DQ99" s="47">
        <v>0</v>
      </c>
      <c r="DR99" s="47">
        <v>1760</v>
      </c>
      <c r="DS99" s="30">
        <v>47</v>
      </c>
      <c r="DT99" s="30">
        <v>25</v>
      </c>
      <c r="DU99" s="30">
        <v>25</v>
      </c>
      <c r="DV99" s="30">
        <v>36</v>
      </c>
      <c r="DX99" s="2">
        <f t="shared" si="49"/>
        <v>1760</v>
      </c>
      <c r="DY99" s="33" t="s">
        <v>2183</v>
      </c>
      <c r="DZ99" s="33" t="s">
        <v>1658</v>
      </c>
      <c r="EA99" s="33" t="s">
        <v>2035</v>
      </c>
      <c r="EB99" s="33" t="s">
        <v>2026</v>
      </c>
      <c r="EC99" s="36">
        <v>563</v>
      </c>
      <c r="ED99" s="29" t="s">
        <v>1657</v>
      </c>
      <c r="EE99" s="29" t="s">
        <v>476</v>
      </c>
      <c r="EF99" s="37">
        <v>41518</v>
      </c>
      <c r="EG99" s="37">
        <v>41882</v>
      </c>
      <c r="EH99" s="29" t="s">
        <v>1657</v>
      </c>
      <c r="EI99" s="55">
        <f t="shared" si="50"/>
        <v>4.3964180762200059E-2</v>
      </c>
      <c r="EJ99" s="54">
        <f t="shared" si="51"/>
        <v>2.3139042506421085E-4</v>
      </c>
      <c r="EK99" s="55">
        <f t="shared" si="52"/>
        <v>0.40539602471249742</v>
      </c>
      <c r="EL99" s="54">
        <f t="shared" si="53"/>
        <v>8.09866487724738E-4</v>
      </c>
    </row>
    <row r="100" spans="1:142" ht="28.8" x14ac:dyDescent="0.3">
      <c r="A100" s="29" t="s">
        <v>319</v>
      </c>
      <c r="B100" s="29"/>
      <c r="C100" s="30">
        <v>8136</v>
      </c>
      <c r="D100" s="30">
        <v>0</v>
      </c>
      <c r="E100" s="30">
        <v>0</v>
      </c>
      <c r="F100" s="30">
        <v>4641</v>
      </c>
      <c r="H100" s="2">
        <f t="shared" si="29"/>
        <v>4641</v>
      </c>
      <c r="I100" s="1">
        <f t="shared" si="28"/>
        <v>0.57042772861356927</v>
      </c>
      <c r="J100" s="31">
        <v>47213</v>
      </c>
      <c r="K100" s="31">
        <v>12846</v>
      </c>
      <c r="L100" s="31">
        <v>60059</v>
      </c>
      <c r="M100" s="45">
        <f t="shared" si="30"/>
        <v>7.3818829891838744</v>
      </c>
      <c r="N100" s="31">
        <v>9973</v>
      </c>
      <c r="O100" s="31">
        <v>667</v>
      </c>
      <c r="P100" s="31">
        <v>954</v>
      </c>
      <c r="Q100" s="31">
        <v>11594</v>
      </c>
      <c r="R100" s="45">
        <f t="shared" si="31"/>
        <v>1.4250245821042282</v>
      </c>
      <c r="S100" s="31">
        <v>12467</v>
      </c>
      <c r="T100" s="31">
        <v>84120</v>
      </c>
      <c r="U100" s="31">
        <v>0</v>
      </c>
      <c r="V100" s="31">
        <v>84120</v>
      </c>
      <c r="W100" s="45">
        <f t="shared" si="32"/>
        <v>10.339233038348082</v>
      </c>
      <c r="X100" s="4">
        <f t="shared" si="33"/>
        <v>0.71396814075130766</v>
      </c>
      <c r="Y100" s="4">
        <f t="shared" si="34"/>
        <v>0.13782691393247742</v>
      </c>
      <c r="Z100" s="4">
        <f t="shared" si="35"/>
        <v>0.14820494531621492</v>
      </c>
      <c r="AA100" s="4">
        <f t="shared" si="36"/>
        <v>0</v>
      </c>
      <c r="AB100" s="31">
        <v>0</v>
      </c>
      <c r="AC100" s="31">
        <v>11594</v>
      </c>
      <c r="AD100" s="31">
        <v>84120</v>
      </c>
      <c r="AE100" s="31">
        <v>84120</v>
      </c>
      <c r="AF100" s="31">
        <v>82664</v>
      </c>
      <c r="AG100" s="31">
        <v>2000</v>
      </c>
      <c r="AH100" s="31">
        <v>0</v>
      </c>
      <c r="AI100" s="31">
        <v>84664</v>
      </c>
      <c r="AJ100" s="45">
        <f t="shared" si="37"/>
        <v>10.406096361848574</v>
      </c>
      <c r="AK100" s="31">
        <v>0</v>
      </c>
      <c r="AL100" s="31">
        <v>0</v>
      </c>
      <c r="AM100" s="31">
        <v>0</v>
      </c>
      <c r="AN100" s="31">
        <v>0</v>
      </c>
      <c r="AO100" s="31">
        <v>0</v>
      </c>
      <c r="AP100" s="31">
        <v>2315</v>
      </c>
      <c r="AQ100" s="31">
        <v>2315</v>
      </c>
      <c r="AR100" s="31">
        <v>86979</v>
      </c>
      <c r="AS100" s="46">
        <f t="shared" si="38"/>
        <v>10.690634218289086</v>
      </c>
      <c r="AT100" s="31">
        <v>0</v>
      </c>
      <c r="AU100" s="31">
        <v>0</v>
      </c>
      <c r="AV100" s="31">
        <v>0</v>
      </c>
      <c r="AW100" s="31">
        <v>0</v>
      </c>
      <c r="AX100" s="31">
        <v>0</v>
      </c>
      <c r="AY100" s="31">
        <v>0</v>
      </c>
      <c r="AZ100" s="31">
        <v>0</v>
      </c>
      <c r="BA100" s="31">
        <v>0</v>
      </c>
      <c r="BB100" s="31">
        <v>0</v>
      </c>
      <c r="BC100" s="33" t="s">
        <v>25</v>
      </c>
      <c r="BD100" s="47">
        <v>14410</v>
      </c>
      <c r="BE100" s="47">
        <v>15020</v>
      </c>
      <c r="BF100" s="45">
        <f t="shared" si="39"/>
        <v>1.8461160275319568</v>
      </c>
      <c r="BG100" s="30">
        <v>487</v>
      </c>
      <c r="BH100" s="30">
        <v>490</v>
      </c>
      <c r="BI100" s="30">
        <v>0</v>
      </c>
      <c r="BJ100" s="30">
        <v>1988</v>
      </c>
      <c r="BK100" s="30">
        <v>2067</v>
      </c>
      <c r="BL100" s="30">
        <v>0</v>
      </c>
      <c r="BM100" s="30">
        <v>24</v>
      </c>
      <c r="BN100" s="30">
        <v>1</v>
      </c>
      <c r="BO100" s="30">
        <v>51</v>
      </c>
      <c r="BP100" s="30">
        <v>0</v>
      </c>
      <c r="BQ100" s="30">
        <v>52</v>
      </c>
      <c r="BR100" s="47">
        <v>16885</v>
      </c>
      <c r="BS100" s="47">
        <v>17602</v>
      </c>
      <c r="BT100" s="1">
        <f t="shared" si="40"/>
        <v>2.1634709931170106</v>
      </c>
      <c r="BU100" s="30">
        <v>3</v>
      </c>
      <c r="BV100" s="30">
        <v>0</v>
      </c>
      <c r="BW100" s="47">
        <v>2320</v>
      </c>
      <c r="BX100" s="52">
        <f t="shared" si="41"/>
        <v>0.28515240904621436</v>
      </c>
      <c r="BY100" s="47">
        <v>1051</v>
      </c>
      <c r="BZ100" s="47">
        <v>22</v>
      </c>
      <c r="CA100" s="47">
        <v>14497</v>
      </c>
      <c r="CB100" s="47">
        <v>269</v>
      </c>
      <c r="CC100" s="47">
        <v>15839</v>
      </c>
      <c r="CD100" s="55">
        <f t="shared" si="42"/>
        <v>1.9467797443461161</v>
      </c>
      <c r="CE100" s="3">
        <f t="shared" si="43"/>
        <v>8447.4666666666672</v>
      </c>
      <c r="CF100" s="55">
        <f t="shared" si="44"/>
        <v>9.5186298076923084</v>
      </c>
      <c r="CG100" s="55">
        <f t="shared" si="45"/>
        <v>1.4314505196565748</v>
      </c>
      <c r="CH100" s="55">
        <f t="shared" si="46"/>
        <v>0.88330871491875929</v>
      </c>
      <c r="CI100" s="30">
        <v>23</v>
      </c>
      <c r="CJ100" s="30">
        <v>0</v>
      </c>
      <c r="CK100" s="30">
        <v>32</v>
      </c>
      <c r="CL100" s="30">
        <v>55</v>
      </c>
      <c r="CM100" s="30">
        <v>405</v>
      </c>
      <c r="CN100" s="30">
        <v>0</v>
      </c>
      <c r="CO100" s="30">
        <v>212</v>
      </c>
      <c r="CP100" s="30">
        <v>617</v>
      </c>
      <c r="CQ100" s="1">
        <f t="shared" si="54"/>
        <v>7.5835791543756151E-2</v>
      </c>
      <c r="CR100" s="47">
        <v>11065</v>
      </c>
      <c r="CS100" s="55">
        <f t="shared" si="47"/>
        <v>1.3600049164208456</v>
      </c>
      <c r="CT100" s="59">
        <v>3857</v>
      </c>
      <c r="CU100" s="29" t="s">
        <v>25</v>
      </c>
      <c r="CV100" s="29" t="s">
        <v>25</v>
      </c>
      <c r="CW100" s="29" t="s">
        <v>25</v>
      </c>
      <c r="CX100" s="35">
        <v>0</v>
      </c>
      <c r="CY100" s="49">
        <v>0</v>
      </c>
      <c r="CZ100" s="35">
        <v>0.92500000000000004</v>
      </c>
      <c r="DA100" s="35">
        <v>0.95</v>
      </c>
      <c r="DB100" s="35">
        <v>1.875</v>
      </c>
      <c r="DC100" s="49">
        <f t="shared" si="48"/>
        <v>4339.2</v>
      </c>
      <c r="DD100" s="30">
        <v>927</v>
      </c>
      <c r="DE100" s="31">
        <v>30226</v>
      </c>
      <c r="DF100" s="35">
        <v>37</v>
      </c>
      <c r="DG100" s="29" t="s">
        <v>25</v>
      </c>
      <c r="DH100" s="29" t="s">
        <v>25</v>
      </c>
      <c r="DI100" s="29" t="s">
        <v>25</v>
      </c>
      <c r="DJ100" s="47">
        <v>25</v>
      </c>
      <c r="DK100" s="47">
        <v>8</v>
      </c>
      <c r="DL100" s="47">
        <v>7</v>
      </c>
      <c r="DM100" s="47">
        <v>2129</v>
      </c>
      <c r="DN100" s="47">
        <v>57</v>
      </c>
      <c r="DO100" s="47">
        <v>1016</v>
      </c>
      <c r="DP100" s="29" t="s">
        <v>2028</v>
      </c>
      <c r="DQ100" s="47">
        <v>0</v>
      </c>
      <c r="DR100" s="47">
        <v>1664</v>
      </c>
      <c r="DS100" s="30">
        <v>52</v>
      </c>
      <c r="DT100" s="30">
        <v>32</v>
      </c>
      <c r="DU100" s="30">
        <v>32</v>
      </c>
      <c r="DV100" s="30">
        <v>32</v>
      </c>
      <c r="DX100" s="2">
        <f t="shared" si="49"/>
        <v>1664</v>
      </c>
      <c r="DY100" s="33" t="s">
        <v>2179</v>
      </c>
      <c r="DZ100" s="33" t="s">
        <v>321</v>
      </c>
      <c r="EA100" s="33" t="s">
        <v>2030</v>
      </c>
      <c r="EB100" s="33" t="s">
        <v>2027</v>
      </c>
      <c r="EC100" s="36">
        <v>79</v>
      </c>
      <c r="ED100" s="29" t="s">
        <v>320</v>
      </c>
      <c r="EE100" s="29" t="s">
        <v>117</v>
      </c>
      <c r="EF100" s="37">
        <v>41548</v>
      </c>
      <c r="EG100" s="37">
        <v>41912</v>
      </c>
      <c r="EH100" s="29" t="s">
        <v>320</v>
      </c>
      <c r="EI100" s="55">
        <f t="shared" si="50"/>
        <v>0.12917895771878074</v>
      </c>
      <c r="EJ100" s="54">
        <f t="shared" si="51"/>
        <v>2.7040314650934121E-3</v>
      </c>
      <c r="EK100" s="55">
        <f t="shared" si="52"/>
        <v>1.781833824975418</v>
      </c>
      <c r="EL100" s="54">
        <f t="shared" si="53"/>
        <v>3.3062930186823991E-2</v>
      </c>
    </row>
    <row r="101" spans="1:142" ht="28.8" x14ac:dyDescent="0.3">
      <c r="A101" s="29" t="s">
        <v>2055</v>
      </c>
      <c r="B101" s="29"/>
      <c r="C101" s="30">
        <v>4288</v>
      </c>
      <c r="D101" s="30">
        <v>0</v>
      </c>
      <c r="E101" s="30">
        <v>0</v>
      </c>
      <c r="F101" s="30">
        <v>1015</v>
      </c>
      <c r="H101" s="2">
        <f t="shared" si="29"/>
        <v>1015</v>
      </c>
      <c r="I101" s="1">
        <f t="shared" si="28"/>
        <v>0.23670708955223882</v>
      </c>
      <c r="J101" s="31">
        <v>28856</v>
      </c>
      <c r="K101" s="31">
        <v>4257</v>
      </c>
      <c r="L101" s="31">
        <v>33113</v>
      </c>
      <c r="M101" s="45">
        <f t="shared" si="30"/>
        <v>7.7222481343283578</v>
      </c>
      <c r="N101" s="31">
        <v>245</v>
      </c>
      <c r="O101" s="31">
        <v>0</v>
      </c>
      <c r="P101" s="31">
        <v>0</v>
      </c>
      <c r="Q101" s="31">
        <v>245</v>
      </c>
      <c r="R101" s="45">
        <f t="shared" si="31"/>
        <v>5.7136194029850748E-2</v>
      </c>
      <c r="S101" s="31">
        <v>6367</v>
      </c>
      <c r="T101" s="31">
        <v>39725</v>
      </c>
      <c r="U101" s="31">
        <v>0</v>
      </c>
      <c r="V101" s="31">
        <v>39725</v>
      </c>
      <c r="W101" s="45">
        <f t="shared" si="32"/>
        <v>9.2642257462686572</v>
      </c>
      <c r="X101" s="4">
        <f t="shared" si="33"/>
        <v>0.83355569540591568</v>
      </c>
      <c r="Y101" s="4">
        <f t="shared" si="34"/>
        <v>6.1674008810572688E-3</v>
      </c>
      <c r="Z101" s="4">
        <f t="shared" si="35"/>
        <v>0.16027690371302705</v>
      </c>
      <c r="AA101" s="4">
        <f t="shared" si="36"/>
        <v>0</v>
      </c>
      <c r="AB101" s="31">
        <v>0</v>
      </c>
      <c r="AC101" s="31">
        <v>245</v>
      </c>
      <c r="AD101" s="31">
        <v>39725</v>
      </c>
      <c r="AE101" s="31">
        <v>39725</v>
      </c>
      <c r="AF101" s="31">
        <v>44684</v>
      </c>
      <c r="AG101" s="31">
        <v>0</v>
      </c>
      <c r="AH101" s="31">
        <v>0</v>
      </c>
      <c r="AI101" s="31">
        <v>44684</v>
      </c>
      <c r="AJ101" s="45">
        <f t="shared" si="37"/>
        <v>10.42070895522388</v>
      </c>
      <c r="AK101" s="31">
        <v>0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1">
        <v>0</v>
      </c>
      <c r="AR101" s="31">
        <v>44684</v>
      </c>
      <c r="AS101" s="46">
        <f t="shared" si="38"/>
        <v>10.42070895522388</v>
      </c>
      <c r="AT101" s="31">
        <v>0</v>
      </c>
      <c r="AU101" s="31">
        <v>0</v>
      </c>
      <c r="AV101" s="31">
        <v>0</v>
      </c>
      <c r="AW101" s="31">
        <v>0</v>
      </c>
      <c r="AX101" s="31">
        <v>0</v>
      </c>
      <c r="AY101" s="31">
        <v>0</v>
      </c>
      <c r="AZ101" s="31">
        <v>0</v>
      </c>
      <c r="BA101" s="31">
        <v>0</v>
      </c>
      <c r="BB101" s="31">
        <v>0</v>
      </c>
      <c r="BC101" s="33" t="s">
        <v>26</v>
      </c>
      <c r="BD101" s="47">
        <v>12207</v>
      </c>
      <c r="BE101" s="47">
        <v>12624</v>
      </c>
      <c r="BF101" s="45">
        <f t="shared" si="39"/>
        <v>2.9440298507462686</v>
      </c>
      <c r="BG101" s="30">
        <v>0</v>
      </c>
      <c r="BH101" s="30">
        <v>205</v>
      </c>
      <c r="BI101" s="30">
        <v>0</v>
      </c>
      <c r="BJ101" s="30">
        <v>5</v>
      </c>
      <c r="BK101" s="30">
        <v>0</v>
      </c>
      <c r="BL101" s="30">
        <v>0</v>
      </c>
      <c r="BM101" s="30">
        <v>0</v>
      </c>
      <c r="BN101" s="30">
        <v>0</v>
      </c>
      <c r="BO101" s="30">
        <v>0</v>
      </c>
      <c r="BP101" s="30">
        <v>0</v>
      </c>
      <c r="BQ101" s="30">
        <v>0</v>
      </c>
      <c r="BR101" s="47">
        <v>12212</v>
      </c>
      <c r="BS101" s="47">
        <v>12829</v>
      </c>
      <c r="BT101" s="1">
        <f t="shared" si="40"/>
        <v>2.9918376865671643</v>
      </c>
      <c r="BU101" s="30">
        <v>5</v>
      </c>
      <c r="BV101" s="30">
        <v>0</v>
      </c>
      <c r="BW101" s="47">
        <v>1040</v>
      </c>
      <c r="BX101" s="52">
        <f t="shared" si="41"/>
        <v>0.24253731343283583</v>
      </c>
      <c r="BY101" s="47">
        <v>1417</v>
      </c>
      <c r="BZ101" s="47">
        <v>0</v>
      </c>
      <c r="CA101" s="47">
        <v>75</v>
      </c>
      <c r="CB101" s="47">
        <v>0</v>
      </c>
      <c r="CC101" s="47">
        <v>1492</v>
      </c>
      <c r="CD101" s="55">
        <f t="shared" si="42"/>
        <v>0.34794776119402987</v>
      </c>
      <c r="CE101" s="3">
        <f t="shared" si="43"/>
        <v>1570.5263157894738</v>
      </c>
      <c r="CF101" s="55">
        <f t="shared" si="44"/>
        <v>1.0247252747252746</v>
      </c>
      <c r="CG101" s="55">
        <f t="shared" si="45"/>
        <v>0.25956854558107167</v>
      </c>
      <c r="CH101" s="55">
        <f t="shared" si="46"/>
        <v>0.11629901005534336</v>
      </c>
      <c r="CI101" s="30">
        <v>5</v>
      </c>
      <c r="CJ101" s="30">
        <v>0</v>
      </c>
      <c r="CK101" s="30">
        <v>0</v>
      </c>
      <c r="CL101" s="30">
        <v>5</v>
      </c>
      <c r="CM101" s="30">
        <v>118</v>
      </c>
      <c r="CN101" s="30">
        <v>0</v>
      </c>
      <c r="CO101" s="30">
        <v>0</v>
      </c>
      <c r="CP101" s="30">
        <v>118</v>
      </c>
      <c r="CQ101" s="1">
        <f t="shared" si="54"/>
        <v>2.751865671641791E-2</v>
      </c>
      <c r="CR101" s="47">
        <v>5748</v>
      </c>
      <c r="CS101" s="55">
        <f t="shared" si="47"/>
        <v>1.3404850746268657</v>
      </c>
      <c r="CT101" s="59">
        <v>8625</v>
      </c>
      <c r="CU101" s="29" t="s">
        <v>25</v>
      </c>
      <c r="CV101" s="29" t="s">
        <v>25</v>
      </c>
      <c r="CW101" s="29" t="s">
        <v>25</v>
      </c>
      <c r="CX101" s="35">
        <v>0</v>
      </c>
      <c r="CY101" s="49">
        <v>0</v>
      </c>
      <c r="CZ101" s="35">
        <v>0.7</v>
      </c>
      <c r="DA101" s="35">
        <v>0.25</v>
      </c>
      <c r="DB101" s="35">
        <v>0.95</v>
      </c>
      <c r="DC101" s="49">
        <f t="shared" si="48"/>
        <v>4513.6842105263158</v>
      </c>
      <c r="DD101" s="30">
        <v>33</v>
      </c>
      <c r="DE101" s="31">
        <v>23090</v>
      </c>
      <c r="DF101" s="35">
        <v>28</v>
      </c>
      <c r="DG101" s="29" t="s">
        <v>25</v>
      </c>
      <c r="DH101" s="29" t="s">
        <v>26</v>
      </c>
      <c r="DI101" s="29" t="s">
        <v>26</v>
      </c>
      <c r="DJ101" s="47">
        <v>0</v>
      </c>
      <c r="DK101" s="47">
        <v>0</v>
      </c>
      <c r="DL101" s="47">
        <v>10</v>
      </c>
      <c r="DM101" s="47">
        <v>3214</v>
      </c>
      <c r="DN101" s="47">
        <v>2</v>
      </c>
      <c r="DO101" s="47">
        <v>100</v>
      </c>
      <c r="DP101" s="29" t="s">
        <v>2028</v>
      </c>
      <c r="DQ101" s="47">
        <v>0</v>
      </c>
      <c r="DR101" s="47">
        <v>1456</v>
      </c>
      <c r="DS101" s="30">
        <v>52</v>
      </c>
      <c r="DT101" s="30">
        <v>28</v>
      </c>
      <c r="DU101" s="30">
        <v>28</v>
      </c>
      <c r="DV101" s="30">
        <v>28</v>
      </c>
      <c r="DX101" s="2">
        <f t="shared" si="49"/>
        <v>1456</v>
      </c>
      <c r="DY101" s="33" t="s">
        <v>2182</v>
      </c>
      <c r="DZ101" s="33" t="s">
        <v>1631</v>
      </c>
      <c r="EA101" s="33" t="s">
        <v>2030</v>
      </c>
      <c r="EB101" s="33" t="s">
        <v>2027</v>
      </c>
      <c r="EC101" s="36">
        <v>551</v>
      </c>
      <c r="ED101" s="29" t="s">
        <v>1630</v>
      </c>
      <c r="EE101" s="29" t="s">
        <v>269</v>
      </c>
      <c r="EF101" s="37">
        <v>41548</v>
      </c>
      <c r="EG101" s="37">
        <v>41912</v>
      </c>
      <c r="EH101" s="29" t="s">
        <v>1630</v>
      </c>
      <c r="EI101" s="55">
        <f t="shared" si="50"/>
        <v>0.33045708955223879</v>
      </c>
      <c r="EJ101" s="54">
        <f t="shared" si="51"/>
        <v>0</v>
      </c>
      <c r="EK101" s="55">
        <f t="shared" si="52"/>
        <v>1.7490671641791043E-2</v>
      </c>
      <c r="EL101" s="54">
        <f t="shared" si="53"/>
        <v>0</v>
      </c>
    </row>
    <row r="102" spans="1:142" ht="28.8" x14ac:dyDescent="0.3">
      <c r="A102" s="29" t="s">
        <v>1496</v>
      </c>
      <c r="B102" s="29"/>
      <c r="C102" s="30">
        <v>884</v>
      </c>
      <c r="D102" s="30">
        <v>0</v>
      </c>
      <c r="E102" s="30">
        <v>0</v>
      </c>
      <c r="F102" s="30">
        <v>3800</v>
      </c>
      <c r="H102" s="2">
        <f t="shared" si="29"/>
        <v>3800</v>
      </c>
      <c r="I102" s="1">
        <f t="shared" si="28"/>
        <v>4.2986425339366514</v>
      </c>
      <c r="J102" s="31">
        <v>27154</v>
      </c>
      <c r="K102" s="31">
        <v>2488</v>
      </c>
      <c r="L102" s="31">
        <v>29642</v>
      </c>
      <c r="M102" s="45">
        <f t="shared" si="30"/>
        <v>33.5316742081448</v>
      </c>
      <c r="N102" s="31">
        <v>3161</v>
      </c>
      <c r="O102" s="31">
        <v>650</v>
      </c>
      <c r="P102" s="31">
        <v>1008</v>
      </c>
      <c r="Q102" s="31">
        <v>4819</v>
      </c>
      <c r="R102" s="45">
        <f t="shared" si="31"/>
        <v>5.4513574660633486</v>
      </c>
      <c r="S102" s="31">
        <v>20963</v>
      </c>
      <c r="T102" s="31">
        <v>55424</v>
      </c>
      <c r="U102" s="31">
        <v>0</v>
      </c>
      <c r="V102" s="31">
        <v>55424</v>
      </c>
      <c r="W102" s="45">
        <f t="shared" si="32"/>
        <v>62.696832579185518</v>
      </c>
      <c r="X102" s="4">
        <f t="shared" si="33"/>
        <v>0.53482245958429564</v>
      </c>
      <c r="Y102" s="4">
        <f t="shared" si="34"/>
        <v>8.6947892609699776E-2</v>
      </c>
      <c r="Z102" s="4">
        <f t="shared" si="35"/>
        <v>0.3782296478060046</v>
      </c>
      <c r="AA102" s="4">
        <f t="shared" si="36"/>
        <v>0</v>
      </c>
      <c r="AB102" s="31">
        <v>0</v>
      </c>
      <c r="AC102" s="31">
        <v>4819</v>
      </c>
      <c r="AD102" s="31">
        <v>54614</v>
      </c>
      <c r="AE102" s="31">
        <v>9325</v>
      </c>
      <c r="AF102" s="31">
        <v>9325</v>
      </c>
      <c r="AG102" s="31">
        <v>0</v>
      </c>
      <c r="AH102" s="31">
        <v>0</v>
      </c>
      <c r="AI102" s="31">
        <v>9325</v>
      </c>
      <c r="AJ102" s="45">
        <f t="shared" si="37"/>
        <v>10.548642533936652</v>
      </c>
      <c r="AK102" s="31">
        <v>0</v>
      </c>
      <c r="AL102" s="31">
        <v>0</v>
      </c>
      <c r="AM102" s="31">
        <v>0</v>
      </c>
      <c r="AN102" s="31">
        <v>0</v>
      </c>
      <c r="AO102" s="31">
        <v>7344</v>
      </c>
      <c r="AP102" s="31">
        <v>44101</v>
      </c>
      <c r="AQ102" s="31">
        <v>51445</v>
      </c>
      <c r="AR102" s="31">
        <v>60770</v>
      </c>
      <c r="AS102" s="46">
        <f t="shared" si="38"/>
        <v>68.744343891402721</v>
      </c>
      <c r="AT102" s="31">
        <v>0</v>
      </c>
      <c r="AU102" s="31">
        <v>0</v>
      </c>
      <c r="AV102" s="31">
        <v>0</v>
      </c>
      <c r="AW102" s="31">
        <v>0</v>
      </c>
      <c r="AX102" s="31">
        <v>0</v>
      </c>
      <c r="AY102" s="31">
        <v>0</v>
      </c>
      <c r="AZ102" s="31">
        <v>49940</v>
      </c>
      <c r="BA102" s="31">
        <v>0</v>
      </c>
      <c r="BB102" s="31">
        <v>49940</v>
      </c>
      <c r="BC102" s="33" t="s">
        <v>25</v>
      </c>
      <c r="BD102" s="47">
        <v>10566</v>
      </c>
      <c r="BE102" s="47">
        <v>10731</v>
      </c>
      <c r="BF102" s="45">
        <f t="shared" si="39"/>
        <v>12.139140271493213</v>
      </c>
      <c r="BG102" s="30">
        <v>461</v>
      </c>
      <c r="BH102" s="30">
        <v>461</v>
      </c>
      <c r="BI102" s="30">
        <v>0</v>
      </c>
      <c r="BJ102" s="30">
        <v>807</v>
      </c>
      <c r="BK102" s="30">
        <v>812</v>
      </c>
      <c r="BL102" s="30">
        <v>0</v>
      </c>
      <c r="BM102" s="30">
        <v>0</v>
      </c>
      <c r="BN102" s="30">
        <v>1</v>
      </c>
      <c r="BO102" s="30">
        <v>51</v>
      </c>
      <c r="BP102" s="30">
        <v>0</v>
      </c>
      <c r="BQ102" s="30">
        <v>52</v>
      </c>
      <c r="BR102" s="47">
        <v>11834</v>
      </c>
      <c r="BS102" s="47">
        <v>12005</v>
      </c>
      <c r="BT102" s="1">
        <f t="shared" si="40"/>
        <v>13.580316742081449</v>
      </c>
      <c r="BU102" s="30">
        <v>5</v>
      </c>
      <c r="BV102" s="30">
        <v>0</v>
      </c>
      <c r="BW102" s="47">
        <v>700</v>
      </c>
      <c r="BX102" s="52">
        <f t="shared" si="41"/>
        <v>0.79185520361990946</v>
      </c>
      <c r="BY102" s="47">
        <v>1189</v>
      </c>
      <c r="BZ102" s="47">
        <v>0</v>
      </c>
      <c r="CA102" s="47">
        <v>6525</v>
      </c>
      <c r="CB102" s="47">
        <v>0</v>
      </c>
      <c r="CC102" s="47">
        <v>7714</v>
      </c>
      <c r="CD102" s="55">
        <f t="shared" si="42"/>
        <v>8.7262443438914019</v>
      </c>
      <c r="CE102" s="3">
        <f t="shared" si="43"/>
        <v>4675.151515151515</v>
      </c>
      <c r="CF102" s="55">
        <f t="shared" si="44"/>
        <v>4.9703608247422677</v>
      </c>
      <c r="CG102" s="55">
        <f t="shared" si="45"/>
        <v>0.64687631027253667</v>
      </c>
      <c r="CH102" s="55">
        <f t="shared" si="46"/>
        <v>0.64256559766763843</v>
      </c>
      <c r="CI102" s="30">
        <v>4</v>
      </c>
      <c r="CJ102" s="30">
        <v>0</v>
      </c>
      <c r="CK102" s="30">
        <v>1</v>
      </c>
      <c r="CL102" s="30">
        <v>5</v>
      </c>
      <c r="CM102" s="30">
        <v>66</v>
      </c>
      <c r="CN102" s="30">
        <v>0</v>
      </c>
      <c r="CO102" s="30">
        <v>22</v>
      </c>
      <c r="CP102" s="30">
        <v>88</v>
      </c>
      <c r="CQ102" s="1">
        <f t="shared" si="54"/>
        <v>9.9547511312217188E-2</v>
      </c>
      <c r="CR102" s="47">
        <v>11925</v>
      </c>
      <c r="CS102" s="55">
        <f t="shared" si="47"/>
        <v>13.489819004524886</v>
      </c>
      <c r="CT102" s="59">
        <v>5995</v>
      </c>
      <c r="CU102" s="29" t="s">
        <v>25</v>
      </c>
      <c r="CV102" s="29" t="s">
        <v>25</v>
      </c>
      <c r="CW102" s="29" t="s">
        <v>25</v>
      </c>
      <c r="CX102" s="35">
        <v>0</v>
      </c>
      <c r="CY102" s="49">
        <v>0</v>
      </c>
      <c r="CZ102" s="35">
        <v>0.82499999999999996</v>
      </c>
      <c r="DA102" s="35">
        <v>0.82499999999999996</v>
      </c>
      <c r="DB102" s="35">
        <v>1.65</v>
      </c>
      <c r="DC102" s="49">
        <f t="shared" si="48"/>
        <v>535.75757575757575</v>
      </c>
      <c r="DD102" s="30">
        <v>2545</v>
      </c>
      <c r="DE102" s="31">
        <v>16236</v>
      </c>
      <c r="DF102" s="35">
        <v>33</v>
      </c>
      <c r="DG102" s="29" t="s">
        <v>25</v>
      </c>
      <c r="DH102" s="29" t="s">
        <v>25</v>
      </c>
      <c r="DI102" s="29" t="s">
        <v>25</v>
      </c>
      <c r="DJ102" s="47">
        <v>6</v>
      </c>
      <c r="DK102" s="47">
        <v>12</v>
      </c>
      <c r="DL102" s="47">
        <v>11</v>
      </c>
      <c r="DM102" s="47">
        <v>2547</v>
      </c>
      <c r="DN102" s="47">
        <v>0</v>
      </c>
      <c r="DO102" s="47">
        <v>180</v>
      </c>
      <c r="DP102" s="29" t="s">
        <v>25</v>
      </c>
      <c r="DQ102" s="47">
        <v>508</v>
      </c>
      <c r="DR102" s="47">
        <v>1552</v>
      </c>
      <c r="DS102" s="30">
        <v>47</v>
      </c>
      <c r="DT102" s="30">
        <v>33</v>
      </c>
      <c r="DU102" s="30">
        <v>33</v>
      </c>
      <c r="DV102" s="30">
        <v>33</v>
      </c>
      <c r="DX102" s="2">
        <f t="shared" si="49"/>
        <v>1552</v>
      </c>
      <c r="DY102" s="33" t="s">
        <v>2185</v>
      </c>
      <c r="DZ102" s="33" t="s">
        <v>1498</v>
      </c>
      <c r="EA102" s="33" t="s">
        <v>2032</v>
      </c>
      <c r="EB102" s="33" t="s">
        <v>2027</v>
      </c>
      <c r="EC102" s="36">
        <v>479</v>
      </c>
      <c r="ED102" s="29" t="s">
        <v>1497</v>
      </c>
      <c r="EE102" s="29" t="s">
        <v>1213</v>
      </c>
      <c r="EF102" s="37">
        <v>41640</v>
      </c>
      <c r="EG102" s="37">
        <v>42004</v>
      </c>
      <c r="EH102" s="29" t="s">
        <v>1497</v>
      </c>
      <c r="EI102" s="55">
        <f t="shared" si="50"/>
        <v>1.3450226244343892</v>
      </c>
      <c r="EJ102" s="54">
        <f t="shared" si="51"/>
        <v>0</v>
      </c>
      <c r="EK102" s="55">
        <f t="shared" si="52"/>
        <v>7.381221719457014</v>
      </c>
      <c r="EL102" s="54">
        <f t="shared" si="53"/>
        <v>0</v>
      </c>
    </row>
    <row r="103" spans="1:142" ht="28.8" x14ac:dyDescent="0.3">
      <c r="A103" s="29" t="s">
        <v>322</v>
      </c>
      <c r="B103" s="29"/>
      <c r="C103" s="30">
        <v>8543</v>
      </c>
      <c r="D103" s="30">
        <v>0</v>
      </c>
      <c r="E103" s="30">
        <v>0</v>
      </c>
      <c r="F103" s="30">
        <v>12500</v>
      </c>
      <c r="H103" s="2">
        <f t="shared" si="29"/>
        <v>12500</v>
      </c>
      <c r="I103" s="1">
        <f t="shared" si="28"/>
        <v>1.4631862343439073</v>
      </c>
      <c r="J103" s="31">
        <v>39678</v>
      </c>
      <c r="K103" s="31">
        <v>18998</v>
      </c>
      <c r="L103" s="31">
        <v>58676</v>
      </c>
      <c r="M103" s="45">
        <f t="shared" si="30"/>
        <v>6.8683132389090487</v>
      </c>
      <c r="N103" s="31">
        <v>11167</v>
      </c>
      <c r="O103" s="31">
        <v>6342</v>
      </c>
      <c r="P103" s="31">
        <v>1796</v>
      </c>
      <c r="Q103" s="31">
        <v>19305</v>
      </c>
      <c r="R103" s="45">
        <f t="shared" si="31"/>
        <v>2.2597448203207304</v>
      </c>
      <c r="S103" s="31">
        <v>54075</v>
      </c>
      <c r="T103" s="31">
        <v>132056</v>
      </c>
      <c r="U103" s="31">
        <v>0</v>
      </c>
      <c r="V103" s="31">
        <v>132056</v>
      </c>
      <c r="W103" s="45">
        <f t="shared" si="32"/>
        <v>15.457801709001522</v>
      </c>
      <c r="X103" s="4">
        <f t="shared" si="33"/>
        <v>0.44432664930029686</v>
      </c>
      <c r="Y103" s="4">
        <f t="shared" si="34"/>
        <v>0.14618798085660628</v>
      </c>
      <c r="Z103" s="4">
        <f t="shared" si="35"/>
        <v>0.40948536984309686</v>
      </c>
      <c r="AA103" s="4">
        <f t="shared" si="36"/>
        <v>0</v>
      </c>
      <c r="AB103" s="31">
        <v>11865</v>
      </c>
      <c r="AC103" s="31">
        <v>13010</v>
      </c>
      <c r="AD103" s="31">
        <v>108782</v>
      </c>
      <c r="AE103" s="31">
        <v>96274</v>
      </c>
      <c r="AF103" s="31">
        <v>99364</v>
      </c>
      <c r="AG103" s="31">
        <v>4000</v>
      </c>
      <c r="AH103" s="31">
        <v>0</v>
      </c>
      <c r="AI103" s="31">
        <v>103364</v>
      </c>
      <c r="AJ103" s="45">
        <f t="shared" si="37"/>
        <v>12.099262554137891</v>
      </c>
      <c r="AK103" s="31">
        <v>0</v>
      </c>
      <c r="AL103" s="31">
        <v>0</v>
      </c>
      <c r="AM103" s="31">
        <v>7425</v>
      </c>
      <c r="AN103" s="31">
        <v>7425</v>
      </c>
      <c r="AO103" s="31">
        <v>45377</v>
      </c>
      <c r="AP103" s="31">
        <v>70251</v>
      </c>
      <c r="AQ103" s="31">
        <v>115628</v>
      </c>
      <c r="AR103" s="31">
        <v>226417</v>
      </c>
      <c r="AS103" s="46">
        <f t="shared" si="38"/>
        <v>26.503219009715558</v>
      </c>
      <c r="AT103" s="31">
        <v>11395</v>
      </c>
      <c r="AU103" s="31">
        <v>0</v>
      </c>
      <c r="AV103" s="31">
        <v>7425</v>
      </c>
      <c r="AW103" s="31">
        <v>0</v>
      </c>
      <c r="AX103" s="31">
        <v>0</v>
      </c>
      <c r="AY103" s="31">
        <v>0</v>
      </c>
      <c r="AZ103" s="31">
        <v>0</v>
      </c>
      <c r="BA103" s="31">
        <v>0</v>
      </c>
      <c r="BB103" s="31">
        <v>18820</v>
      </c>
      <c r="BC103" s="33" t="s">
        <v>25</v>
      </c>
      <c r="BD103" s="47">
        <v>30439</v>
      </c>
      <c r="BE103" s="47">
        <v>30499</v>
      </c>
      <c r="BF103" s="45">
        <f t="shared" si="39"/>
        <v>3.5700573569003864</v>
      </c>
      <c r="BG103" s="30">
        <v>1284</v>
      </c>
      <c r="BH103" s="30">
        <v>2769</v>
      </c>
      <c r="BI103" s="30">
        <v>0</v>
      </c>
      <c r="BJ103" s="30">
        <v>2278</v>
      </c>
      <c r="BK103" s="30">
        <v>2340</v>
      </c>
      <c r="BL103" s="30">
        <v>0</v>
      </c>
      <c r="BM103" s="30">
        <v>1929</v>
      </c>
      <c r="BN103" s="30">
        <v>3</v>
      </c>
      <c r="BO103" s="30">
        <v>51</v>
      </c>
      <c r="BP103" s="30">
        <v>0</v>
      </c>
      <c r="BQ103" s="30">
        <v>54</v>
      </c>
      <c r="BR103" s="47">
        <v>34001</v>
      </c>
      <c r="BS103" s="47">
        <v>37540</v>
      </c>
      <c r="BT103" s="1">
        <f t="shared" si="40"/>
        <v>4.3942408989816224</v>
      </c>
      <c r="BU103" s="30">
        <v>22</v>
      </c>
      <c r="BV103" s="30">
        <v>0</v>
      </c>
      <c r="BW103" s="47">
        <v>2395</v>
      </c>
      <c r="BX103" s="52">
        <f t="shared" si="41"/>
        <v>0.28034648250029265</v>
      </c>
      <c r="BY103" s="47">
        <v>5623</v>
      </c>
      <c r="BZ103" s="47">
        <v>761</v>
      </c>
      <c r="CA103" s="47">
        <v>40819</v>
      </c>
      <c r="CB103" s="47">
        <v>7038</v>
      </c>
      <c r="CC103" s="47">
        <v>54241</v>
      </c>
      <c r="CD103" s="55">
        <f t="shared" si="42"/>
        <v>6.3491747629638304</v>
      </c>
      <c r="CE103" s="3">
        <f t="shared" si="43"/>
        <v>33276.687116564419</v>
      </c>
      <c r="CF103" s="55">
        <f t="shared" si="44"/>
        <v>31.335066435586366</v>
      </c>
      <c r="CG103" s="55">
        <f t="shared" si="45"/>
        <v>2.1065284088702474</v>
      </c>
      <c r="CH103" s="55">
        <f t="shared" si="46"/>
        <v>1.2371337240277038</v>
      </c>
      <c r="CI103" s="30">
        <v>42</v>
      </c>
      <c r="CJ103" s="30">
        <v>10</v>
      </c>
      <c r="CK103" s="30">
        <v>22</v>
      </c>
      <c r="CL103" s="30">
        <v>74</v>
      </c>
      <c r="CM103" s="30">
        <v>2003</v>
      </c>
      <c r="CN103" s="30">
        <v>186</v>
      </c>
      <c r="CO103" s="30">
        <v>403</v>
      </c>
      <c r="CP103" s="30">
        <v>2592</v>
      </c>
      <c r="CQ103" s="1">
        <f t="shared" si="54"/>
        <v>0.30340629755355264</v>
      </c>
      <c r="CR103" s="47">
        <v>25749</v>
      </c>
      <c r="CS103" s="55">
        <f t="shared" si="47"/>
        <v>3.0140465878497014</v>
      </c>
      <c r="CT103" s="59">
        <v>8951</v>
      </c>
      <c r="CU103" s="29" t="s">
        <v>25</v>
      </c>
      <c r="CV103" s="29" t="s">
        <v>25</v>
      </c>
      <c r="CW103" s="29" t="s">
        <v>25</v>
      </c>
      <c r="CX103" s="35">
        <v>0</v>
      </c>
      <c r="CY103" s="49">
        <v>0</v>
      </c>
      <c r="CZ103" s="35">
        <v>0.63</v>
      </c>
      <c r="DA103" s="35">
        <v>1</v>
      </c>
      <c r="DB103" s="35">
        <v>1.63</v>
      </c>
      <c r="DC103" s="49">
        <f t="shared" si="48"/>
        <v>5241.1042944785277</v>
      </c>
      <c r="DD103" s="30">
        <v>1322</v>
      </c>
      <c r="DE103" s="31">
        <v>22070</v>
      </c>
      <c r="DF103" s="35">
        <v>25</v>
      </c>
      <c r="DG103" s="29" t="s">
        <v>25</v>
      </c>
      <c r="DH103" s="29" t="s">
        <v>25</v>
      </c>
      <c r="DI103" s="29" t="s">
        <v>25</v>
      </c>
      <c r="DJ103" s="47">
        <v>34</v>
      </c>
      <c r="DK103" s="47">
        <v>18</v>
      </c>
      <c r="DL103" s="47">
        <v>35</v>
      </c>
      <c r="DM103" s="47">
        <v>12698</v>
      </c>
      <c r="DN103" s="47">
        <v>45</v>
      </c>
      <c r="DO103" s="47">
        <v>6002</v>
      </c>
      <c r="DP103" s="29" t="s">
        <v>25</v>
      </c>
      <c r="DQ103" s="47">
        <v>88345</v>
      </c>
      <c r="DR103" s="47">
        <v>1731</v>
      </c>
      <c r="DS103" s="30">
        <v>52</v>
      </c>
      <c r="DT103" s="30">
        <v>31</v>
      </c>
      <c r="DU103" s="30">
        <v>31</v>
      </c>
      <c r="DV103" s="30">
        <v>31</v>
      </c>
      <c r="DX103" s="2">
        <f t="shared" si="49"/>
        <v>1731</v>
      </c>
      <c r="DY103" s="33" t="s">
        <v>2179</v>
      </c>
      <c r="DZ103" s="33" t="s">
        <v>324</v>
      </c>
      <c r="EA103" s="33" t="s">
        <v>2030</v>
      </c>
      <c r="EB103" s="33" t="s">
        <v>2027</v>
      </c>
      <c r="EC103" s="36">
        <v>80</v>
      </c>
      <c r="ED103" s="29" t="s">
        <v>323</v>
      </c>
      <c r="EE103" s="29" t="s">
        <v>322</v>
      </c>
      <c r="EF103" s="37">
        <v>41548</v>
      </c>
      <c r="EG103" s="37">
        <v>41912</v>
      </c>
      <c r="EH103" s="29" t="s">
        <v>323</v>
      </c>
      <c r="EI103" s="55">
        <f t="shared" si="50"/>
        <v>0.65819969565726322</v>
      </c>
      <c r="EJ103" s="54">
        <f t="shared" si="51"/>
        <v>8.9078777946857077E-2</v>
      </c>
      <c r="EK103" s="55">
        <f t="shared" si="52"/>
        <v>4.7780639119747166</v>
      </c>
      <c r="EL103" s="54">
        <f t="shared" si="53"/>
        <v>0.8238323773849936</v>
      </c>
    </row>
    <row r="104" spans="1:142" ht="28.8" x14ac:dyDescent="0.3">
      <c r="A104" s="29" t="s">
        <v>1753</v>
      </c>
      <c r="B104" s="29"/>
      <c r="C104" s="30">
        <v>24500</v>
      </c>
      <c r="D104" s="30">
        <v>0</v>
      </c>
      <c r="E104" s="30">
        <v>0</v>
      </c>
      <c r="F104" s="30">
        <v>24000</v>
      </c>
      <c r="H104" s="2">
        <f t="shared" si="29"/>
        <v>24000</v>
      </c>
      <c r="I104" s="1">
        <f t="shared" si="28"/>
        <v>0.97959183673469385</v>
      </c>
      <c r="J104" s="31">
        <v>515600</v>
      </c>
      <c r="K104" s="31">
        <v>81526</v>
      </c>
      <c r="L104" s="31">
        <v>597126</v>
      </c>
      <c r="M104" s="45">
        <f t="shared" si="30"/>
        <v>24.372489795918366</v>
      </c>
      <c r="N104" s="31">
        <v>60630</v>
      </c>
      <c r="O104" s="31">
        <v>54931</v>
      </c>
      <c r="P104" s="31">
        <v>27890</v>
      </c>
      <c r="Q104" s="31">
        <v>143451</v>
      </c>
      <c r="R104" s="45">
        <f t="shared" si="31"/>
        <v>5.855142857142857</v>
      </c>
      <c r="S104" s="31">
        <v>112800</v>
      </c>
      <c r="T104" s="31">
        <v>853377</v>
      </c>
      <c r="U104" s="31">
        <v>0</v>
      </c>
      <c r="V104" s="31">
        <v>853377</v>
      </c>
      <c r="W104" s="45">
        <f t="shared" si="32"/>
        <v>34.831714285714284</v>
      </c>
      <c r="X104" s="4">
        <f t="shared" si="33"/>
        <v>0.69972122520292912</v>
      </c>
      <c r="Y104" s="4">
        <f t="shared" si="34"/>
        <v>0.16809803873317419</v>
      </c>
      <c r="Z104" s="4">
        <f t="shared" si="35"/>
        <v>0.13218073606389674</v>
      </c>
      <c r="AA104" s="4">
        <f t="shared" si="36"/>
        <v>0</v>
      </c>
      <c r="AB104" s="31">
        <v>0</v>
      </c>
      <c r="AC104" s="31">
        <v>143451</v>
      </c>
      <c r="AD104" s="31">
        <v>647056</v>
      </c>
      <c r="AE104" s="31">
        <v>619901</v>
      </c>
      <c r="AF104" s="31">
        <v>634459</v>
      </c>
      <c r="AG104" s="31">
        <v>0</v>
      </c>
      <c r="AH104" s="31">
        <v>0</v>
      </c>
      <c r="AI104" s="31">
        <v>634459</v>
      </c>
      <c r="AJ104" s="45">
        <f t="shared" si="37"/>
        <v>25.896285714285714</v>
      </c>
      <c r="AK104" s="31">
        <v>0</v>
      </c>
      <c r="AL104" s="31">
        <v>0</v>
      </c>
      <c r="AM104" s="31">
        <v>0</v>
      </c>
      <c r="AN104" s="31">
        <v>0</v>
      </c>
      <c r="AO104" s="31">
        <v>13000</v>
      </c>
      <c r="AP104" s="31">
        <v>206322</v>
      </c>
      <c r="AQ104" s="31">
        <v>219322</v>
      </c>
      <c r="AR104" s="31">
        <v>853781</v>
      </c>
      <c r="AS104" s="46">
        <f t="shared" si="38"/>
        <v>34.848204081632652</v>
      </c>
      <c r="AT104" s="31">
        <v>0</v>
      </c>
      <c r="AU104" s="31">
        <v>0</v>
      </c>
      <c r="AV104" s="31">
        <v>0</v>
      </c>
      <c r="AW104" s="31">
        <v>0</v>
      </c>
      <c r="AX104" s="31">
        <v>0</v>
      </c>
      <c r="AY104" s="31">
        <v>0</v>
      </c>
      <c r="AZ104" s="31">
        <v>0</v>
      </c>
      <c r="BA104" s="31">
        <v>0</v>
      </c>
      <c r="BB104" s="31">
        <v>0</v>
      </c>
      <c r="BC104" s="33" t="s">
        <v>25</v>
      </c>
      <c r="BD104" s="47">
        <v>49740</v>
      </c>
      <c r="BE104" s="47">
        <v>54788</v>
      </c>
      <c r="BF104" s="45">
        <f t="shared" si="39"/>
        <v>2.2362448979591836</v>
      </c>
      <c r="BG104" s="30">
        <v>4994</v>
      </c>
      <c r="BH104" s="30">
        <v>5150</v>
      </c>
      <c r="BI104" s="30">
        <v>2177</v>
      </c>
      <c r="BJ104" s="30">
        <v>7522</v>
      </c>
      <c r="BK104" s="30">
        <v>8269</v>
      </c>
      <c r="BL104" s="30">
        <v>63</v>
      </c>
      <c r="BM104" s="30">
        <v>1710</v>
      </c>
      <c r="BN104" s="30">
        <v>10</v>
      </c>
      <c r="BO104" s="30">
        <v>51</v>
      </c>
      <c r="BP104" s="30">
        <v>0</v>
      </c>
      <c r="BQ104" s="30">
        <v>61</v>
      </c>
      <c r="BR104" s="47">
        <v>62256</v>
      </c>
      <c r="BS104" s="47">
        <v>72167</v>
      </c>
      <c r="BT104" s="1">
        <f t="shared" si="40"/>
        <v>2.9455918367346938</v>
      </c>
      <c r="BU104" s="30">
        <v>109</v>
      </c>
      <c r="BV104" s="30">
        <v>85</v>
      </c>
      <c r="BW104" s="47">
        <v>13416</v>
      </c>
      <c r="BX104" s="52">
        <f t="shared" si="41"/>
        <v>0.54759183673469392</v>
      </c>
      <c r="BY104" s="47">
        <v>111319</v>
      </c>
      <c r="BZ104" s="47">
        <v>606</v>
      </c>
      <c r="CA104" s="47">
        <v>108315</v>
      </c>
      <c r="CB104" s="47">
        <v>14880</v>
      </c>
      <c r="CC104" s="47">
        <v>235120</v>
      </c>
      <c r="CD104" s="55">
        <f t="shared" si="42"/>
        <v>9.5967346938775506</v>
      </c>
      <c r="CE104" s="3">
        <f t="shared" si="43"/>
        <v>18809.599999999999</v>
      </c>
      <c r="CF104" s="55">
        <f t="shared" si="44"/>
        <v>97.560165975103729</v>
      </c>
      <c r="CG104" s="55">
        <f t="shared" si="45"/>
        <v>1.7505248894381822</v>
      </c>
      <c r="CH104" s="55">
        <f t="shared" si="46"/>
        <v>3.0434131943963307</v>
      </c>
      <c r="CI104" s="30">
        <v>434</v>
      </c>
      <c r="CJ104" s="30">
        <v>35</v>
      </c>
      <c r="CK104" s="30">
        <v>52</v>
      </c>
      <c r="CL104" s="30">
        <v>521</v>
      </c>
      <c r="CM104" s="30">
        <v>18363</v>
      </c>
      <c r="CN104" s="30">
        <v>250</v>
      </c>
      <c r="CO104" s="30">
        <v>545</v>
      </c>
      <c r="CP104" s="30">
        <v>19158</v>
      </c>
      <c r="CQ104" s="1">
        <f t="shared" si="54"/>
        <v>0.78195918367346939</v>
      </c>
      <c r="CR104" s="47">
        <v>134314</v>
      </c>
      <c r="CS104" s="55">
        <f t="shared" si="47"/>
        <v>5.4822040816326529</v>
      </c>
      <c r="CT104" s="59">
        <v>12021</v>
      </c>
      <c r="CU104" s="29" t="s">
        <v>25</v>
      </c>
      <c r="CV104" s="29" t="s">
        <v>25</v>
      </c>
      <c r="CW104" s="29" t="s">
        <v>25</v>
      </c>
      <c r="CX104" s="35">
        <v>5.5</v>
      </c>
      <c r="CY104" s="49">
        <f>C104/CX104</f>
        <v>4454.545454545455</v>
      </c>
      <c r="CZ104" s="35">
        <v>0</v>
      </c>
      <c r="DA104" s="35">
        <v>7</v>
      </c>
      <c r="DB104" s="35">
        <v>12.5</v>
      </c>
      <c r="DC104" s="49">
        <f t="shared" si="48"/>
        <v>1960</v>
      </c>
      <c r="DD104" s="30">
        <v>3066</v>
      </c>
      <c r="DE104" s="31">
        <v>116708</v>
      </c>
      <c r="DF104" s="35">
        <v>40</v>
      </c>
      <c r="DG104" s="29" t="s">
        <v>25</v>
      </c>
      <c r="DH104" s="29" t="s">
        <v>25</v>
      </c>
      <c r="DI104" s="29" t="s">
        <v>25</v>
      </c>
      <c r="DJ104" s="47">
        <v>676</v>
      </c>
      <c r="DK104" s="47">
        <v>446</v>
      </c>
      <c r="DL104" s="47">
        <v>15</v>
      </c>
      <c r="DM104" s="47">
        <v>4756</v>
      </c>
      <c r="DN104" s="47">
        <v>3782</v>
      </c>
      <c r="DO104" s="47">
        <v>0</v>
      </c>
      <c r="DP104" s="29" t="s">
        <v>25</v>
      </c>
      <c r="DQ104" s="47">
        <v>98350</v>
      </c>
      <c r="DR104" s="47">
        <v>2410</v>
      </c>
      <c r="DS104" s="30">
        <v>52</v>
      </c>
      <c r="DT104" s="30">
        <v>48</v>
      </c>
      <c r="DU104" s="30">
        <v>48</v>
      </c>
      <c r="DV104" s="30">
        <v>48</v>
      </c>
      <c r="DX104" s="2">
        <f t="shared" si="49"/>
        <v>2410</v>
      </c>
      <c r="DY104" s="33" t="s">
        <v>2181</v>
      </c>
      <c r="DZ104" s="33" t="s">
        <v>1755</v>
      </c>
      <c r="EA104" s="33" t="s">
        <v>2030</v>
      </c>
      <c r="EB104" s="33" t="s">
        <v>2027</v>
      </c>
      <c r="EC104" s="36">
        <v>611</v>
      </c>
      <c r="ED104" s="29" t="s">
        <v>1754</v>
      </c>
      <c r="EE104" s="29" t="s">
        <v>91</v>
      </c>
      <c r="EF104" s="37">
        <v>41548</v>
      </c>
      <c r="EG104" s="37">
        <v>41912</v>
      </c>
      <c r="EH104" s="29" t="s">
        <v>1754</v>
      </c>
      <c r="EI104" s="55">
        <f t="shared" si="50"/>
        <v>4.5436326530612243</v>
      </c>
      <c r="EJ104" s="54">
        <f t="shared" si="51"/>
        <v>2.473469387755102E-2</v>
      </c>
      <c r="EK104" s="55">
        <f t="shared" si="52"/>
        <v>4.4210204081632654</v>
      </c>
      <c r="EL104" s="54">
        <f t="shared" si="53"/>
        <v>0.60734693877551016</v>
      </c>
    </row>
    <row r="105" spans="1:142" ht="28.8" x14ac:dyDescent="0.3">
      <c r="A105" s="29" t="s">
        <v>327</v>
      </c>
      <c r="B105" s="29"/>
      <c r="C105" s="30">
        <v>9402</v>
      </c>
      <c r="D105" s="30">
        <v>0</v>
      </c>
      <c r="E105" s="30">
        <v>0</v>
      </c>
      <c r="F105" s="30">
        <v>6890</v>
      </c>
      <c r="H105" s="2">
        <f t="shared" si="29"/>
        <v>6890</v>
      </c>
      <c r="I105" s="1">
        <f t="shared" si="28"/>
        <v>0.73282280365879604</v>
      </c>
      <c r="J105" s="31">
        <v>96158</v>
      </c>
      <c r="K105" s="31">
        <v>50359</v>
      </c>
      <c r="L105" s="31">
        <v>146517</v>
      </c>
      <c r="M105" s="45">
        <f t="shared" si="30"/>
        <v>15.583599234205488</v>
      </c>
      <c r="N105" s="31">
        <v>18034</v>
      </c>
      <c r="O105" s="31">
        <v>1500</v>
      </c>
      <c r="P105" s="31">
        <v>4768</v>
      </c>
      <c r="Q105" s="31">
        <v>24302</v>
      </c>
      <c r="R105" s="45">
        <f t="shared" si="31"/>
        <v>2.5847691980429697</v>
      </c>
      <c r="S105" s="31">
        <v>25334</v>
      </c>
      <c r="T105" s="31">
        <v>196153</v>
      </c>
      <c r="U105" s="31">
        <v>0</v>
      </c>
      <c r="V105" s="31">
        <v>196153</v>
      </c>
      <c r="W105" s="45">
        <f t="shared" si="32"/>
        <v>20.862901510316952</v>
      </c>
      <c r="X105" s="4">
        <f t="shared" si="33"/>
        <v>0.74695263391332278</v>
      </c>
      <c r="Y105" s="4">
        <f t="shared" si="34"/>
        <v>0.12389308346036003</v>
      </c>
      <c r="Z105" s="4">
        <f t="shared" si="35"/>
        <v>0.1291542826263172</v>
      </c>
      <c r="AA105" s="4">
        <f t="shared" si="36"/>
        <v>0</v>
      </c>
      <c r="AB105" s="31">
        <v>0</v>
      </c>
      <c r="AC105" s="31">
        <v>24302</v>
      </c>
      <c r="AD105" s="31">
        <v>196153</v>
      </c>
      <c r="AE105" s="31">
        <v>196153</v>
      </c>
      <c r="AF105" s="31">
        <v>0</v>
      </c>
      <c r="AG105" s="31">
        <v>196153</v>
      </c>
      <c r="AH105" s="31">
        <v>0</v>
      </c>
      <c r="AI105" s="31">
        <v>196153</v>
      </c>
      <c r="AJ105" s="45">
        <f t="shared" si="37"/>
        <v>20.862901510316952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8052</v>
      </c>
      <c r="AQ105" s="31">
        <v>8052</v>
      </c>
      <c r="AR105" s="31">
        <v>204205</v>
      </c>
      <c r="AS105" s="46">
        <f t="shared" si="38"/>
        <v>21.719315039353329</v>
      </c>
      <c r="AT105" s="31">
        <v>0</v>
      </c>
      <c r="AU105" s="31">
        <v>0</v>
      </c>
      <c r="AV105" s="31">
        <v>0</v>
      </c>
      <c r="AW105" s="31">
        <v>0</v>
      </c>
      <c r="AX105" s="31">
        <v>0</v>
      </c>
      <c r="AY105" s="31">
        <v>0</v>
      </c>
      <c r="AZ105" s="31">
        <v>0</v>
      </c>
      <c r="BA105" s="31">
        <v>0</v>
      </c>
      <c r="BB105" s="31">
        <v>0</v>
      </c>
      <c r="BC105" s="33" t="s">
        <v>25</v>
      </c>
      <c r="BD105" s="47">
        <v>33474</v>
      </c>
      <c r="BE105" s="47">
        <v>35362</v>
      </c>
      <c r="BF105" s="45">
        <f t="shared" si="39"/>
        <v>3.7611146564560731</v>
      </c>
      <c r="BG105" s="30">
        <v>730</v>
      </c>
      <c r="BH105" s="30">
        <v>737</v>
      </c>
      <c r="BI105" s="30">
        <v>0</v>
      </c>
      <c r="BJ105" s="30">
        <v>1215</v>
      </c>
      <c r="BK105" s="30">
        <v>1249</v>
      </c>
      <c r="BL105" s="30">
        <v>0</v>
      </c>
      <c r="BM105" s="30">
        <v>247</v>
      </c>
      <c r="BN105" s="30">
        <v>0</v>
      </c>
      <c r="BO105" s="30">
        <v>51</v>
      </c>
      <c r="BP105" s="30">
        <v>0</v>
      </c>
      <c r="BQ105" s="30">
        <v>51</v>
      </c>
      <c r="BR105" s="47">
        <v>35419</v>
      </c>
      <c r="BS105" s="47">
        <v>37595</v>
      </c>
      <c r="BT105" s="1">
        <f t="shared" si="40"/>
        <v>3.9986173154647946</v>
      </c>
      <c r="BU105" s="30">
        <v>46</v>
      </c>
      <c r="BV105" s="30">
        <v>0</v>
      </c>
      <c r="BW105" s="47">
        <v>6301</v>
      </c>
      <c r="BX105" s="52">
        <f t="shared" si="41"/>
        <v>0.67017655817911082</v>
      </c>
      <c r="BY105" s="47">
        <v>10074</v>
      </c>
      <c r="BZ105" s="47">
        <v>19</v>
      </c>
      <c r="CA105" s="47">
        <v>31628</v>
      </c>
      <c r="CB105" s="47">
        <v>746</v>
      </c>
      <c r="CC105" s="47">
        <v>42467</v>
      </c>
      <c r="CD105" s="55">
        <f t="shared" si="42"/>
        <v>4.5168049351201871</v>
      </c>
      <c r="CE105" s="3">
        <f t="shared" si="43"/>
        <v>12133.428571428571</v>
      </c>
      <c r="CF105" s="55">
        <f t="shared" si="44"/>
        <v>20.756109481915935</v>
      </c>
      <c r="CG105" s="55">
        <f t="shared" si="45"/>
        <v>0.67896142101139945</v>
      </c>
      <c r="CH105" s="55">
        <f t="shared" si="46"/>
        <v>1.1092432504322383</v>
      </c>
      <c r="CI105" s="30">
        <v>72</v>
      </c>
      <c r="CJ105" s="30">
        <v>7</v>
      </c>
      <c r="CK105" s="30">
        <v>4</v>
      </c>
      <c r="CL105" s="30">
        <v>83</v>
      </c>
      <c r="CM105" s="30">
        <v>2661</v>
      </c>
      <c r="CN105" s="30">
        <v>38</v>
      </c>
      <c r="CO105" s="30">
        <v>103</v>
      </c>
      <c r="CP105" s="30">
        <v>2802</v>
      </c>
      <c r="CQ105" s="1">
        <f t="shared" si="54"/>
        <v>0.29802169751116786</v>
      </c>
      <c r="CR105" s="47">
        <v>62547</v>
      </c>
      <c r="CS105" s="55">
        <f t="shared" si="47"/>
        <v>6.6525207402680282</v>
      </c>
      <c r="CT105" s="59">
        <v>5802</v>
      </c>
      <c r="CU105" s="29" t="s">
        <v>25</v>
      </c>
      <c r="CV105" s="29" t="s">
        <v>25</v>
      </c>
      <c r="CW105" s="29" t="s">
        <v>25</v>
      </c>
      <c r="CX105" s="35">
        <v>0</v>
      </c>
      <c r="CY105" s="49">
        <v>0</v>
      </c>
      <c r="CZ105" s="35">
        <v>1</v>
      </c>
      <c r="DA105" s="35">
        <v>2.5</v>
      </c>
      <c r="DB105" s="35">
        <v>3.5</v>
      </c>
      <c r="DC105" s="49">
        <f t="shared" si="48"/>
        <v>2686.2857142857142</v>
      </c>
      <c r="DD105" s="30">
        <v>565</v>
      </c>
      <c r="DE105" s="31">
        <v>31975</v>
      </c>
      <c r="DF105" s="35">
        <v>40</v>
      </c>
      <c r="DG105" s="29" t="s">
        <v>25</v>
      </c>
      <c r="DH105" s="29" t="s">
        <v>25</v>
      </c>
      <c r="DI105" s="29" t="s">
        <v>25</v>
      </c>
      <c r="DJ105" s="47">
        <v>17</v>
      </c>
      <c r="DK105" s="47">
        <v>62</v>
      </c>
      <c r="DL105" s="47">
        <v>13</v>
      </c>
      <c r="DM105" s="47">
        <v>4948</v>
      </c>
      <c r="DN105" s="47">
        <v>882</v>
      </c>
      <c r="DO105" s="47">
        <v>665</v>
      </c>
      <c r="DP105" s="29" t="s">
        <v>2028</v>
      </c>
      <c r="DQ105" s="47">
        <v>0</v>
      </c>
      <c r="DR105" s="47">
        <v>2046</v>
      </c>
      <c r="DS105" s="30">
        <v>52</v>
      </c>
      <c r="DT105" s="30">
        <v>42</v>
      </c>
      <c r="DU105" s="30">
        <v>42</v>
      </c>
      <c r="DV105" s="30">
        <v>42</v>
      </c>
      <c r="DX105" s="2">
        <f t="shared" si="49"/>
        <v>2046</v>
      </c>
      <c r="DY105" s="33" t="s">
        <v>2179</v>
      </c>
      <c r="DZ105" s="33" t="s">
        <v>328</v>
      </c>
      <c r="EA105" s="33" t="s">
        <v>2031</v>
      </c>
      <c r="EB105" s="33" t="s">
        <v>2027</v>
      </c>
      <c r="EC105" s="36">
        <v>81</v>
      </c>
      <c r="ED105" s="29" t="s">
        <v>325</v>
      </c>
      <c r="EE105" s="29" t="s">
        <v>326</v>
      </c>
      <c r="EF105" s="37">
        <v>41640</v>
      </c>
      <c r="EG105" s="37">
        <v>42004</v>
      </c>
      <c r="EH105" s="29" t="s">
        <v>325</v>
      </c>
      <c r="EI105" s="55">
        <f t="shared" si="50"/>
        <v>1.0714741544352266</v>
      </c>
      <c r="EJ105" s="54">
        <f t="shared" si="51"/>
        <v>2.0208466283769409E-3</v>
      </c>
      <c r="EK105" s="55">
        <f t="shared" si="52"/>
        <v>3.3639651138055733</v>
      </c>
      <c r="EL105" s="54">
        <f t="shared" si="53"/>
        <v>7.9344820251010417E-2</v>
      </c>
    </row>
    <row r="106" spans="1:142" ht="28.8" x14ac:dyDescent="0.3">
      <c r="A106" s="29" t="s">
        <v>329</v>
      </c>
      <c r="B106" s="29"/>
      <c r="C106" s="30">
        <v>5640</v>
      </c>
      <c r="D106" s="30">
        <v>0</v>
      </c>
      <c r="E106" s="30">
        <v>0</v>
      </c>
      <c r="F106" s="30">
        <v>9300</v>
      </c>
      <c r="H106" s="2">
        <f t="shared" si="29"/>
        <v>9300</v>
      </c>
      <c r="I106" s="1">
        <f t="shared" si="28"/>
        <v>1.6489361702127661</v>
      </c>
      <c r="J106" s="31">
        <v>108398</v>
      </c>
      <c r="K106" s="31">
        <v>40766</v>
      </c>
      <c r="L106" s="31">
        <v>149164</v>
      </c>
      <c r="M106" s="45">
        <f t="shared" si="30"/>
        <v>26.447517730496454</v>
      </c>
      <c r="N106" s="31">
        <v>16216</v>
      </c>
      <c r="O106" s="31">
        <v>2348</v>
      </c>
      <c r="P106" s="31">
        <v>3272</v>
      </c>
      <c r="Q106" s="31">
        <v>21836</v>
      </c>
      <c r="R106" s="45">
        <f t="shared" si="31"/>
        <v>3.8716312056737587</v>
      </c>
      <c r="S106" s="31">
        <v>55272</v>
      </c>
      <c r="T106" s="31">
        <v>226272</v>
      </c>
      <c r="U106" s="31">
        <v>0</v>
      </c>
      <c r="V106" s="31">
        <v>226272</v>
      </c>
      <c r="W106" s="45">
        <f t="shared" si="32"/>
        <v>40.119148936170212</v>
      </c>
      <c r="X106" s="4">
        <f t="shared" si="33"/>
        <v>0.65922429642200542</v>
      </c>
      <c r="Y106" s="4">
        <f t="shared" si="34"/>
        <v>9.650332343374346E-2</v>
      </c>
      <c r="Z106" s="4">
        <f t="shared" si="35"/>
        <v>0.24427238014425118</v>
      </c>
      <c r="AA106" s="4">
        <f t="shared" si="36"/>
        <v>0</v>
      </c>
      <c r="AB106" s="31">
        <v>0</v>
      </c>
      <c r="AC106" s="31">
        <v>21836</v>
      </c>
      <c r="AD106" s="31">
        <v>226272</v>
      </c>
      <c r="AE106" s="31">
        <v>194022</v>
      </c>
      <c r="AF106" s="31">
        <v>189022</v>
      </c>
      <c r="AG106" s="31">
        <v>5000</v>
      </c>
      <c r="AH106" s="31">
        <v>0</v>
      </c>
      <c r="AI106" s="31">
        <v>194022</v>
      </c>
      <c r="AJ106" s="45">
        <f t="shared" si="37"/>
        <v>34.401063829787233</v>
      </c>
      <c r="AK106" s="31">
        <v>0</v>
      </c>
      <c r="AL106" s="31">
        <v>0</v>
      </c>
      <c r="AM106" s="31">
        <v>0</v>
      </c>
      <c r="AN106" s="31">
        <v>0</v>
      </c>
      <c r="AO106" s="31">
        <v>13000</v>
      </c>
      <c r="AP106" s="31">
        <v>11844</v>
      </c>
      <c r="AQ106" s="31">
        <v>24844</v>
      </c>
      <c r="AR106" s="31">
        <v>218866</v>
      </c>
      <c r="AS106" s="46">
        <f t="shared" si="38"/>
        <v>38.80602836879433</v>
      </c>
      <c r="AT106" s="31">
        <v>0</v>
      </c>
      <c r="AU106" s="31">
        <v>0</v>
      </c>
      <c r="AV106" s="31">
        <v>0</v>
      </c>
      <c r="AW106" s="31">
        <v>0</v>
      </c>
      <c r="AX106" s="31">
        <v>0</v>
      </c>
      <c r="AY106" s="31">
        <v>0</v>
      </c>
      <c r="AZ106" s="31">
        <v>19250</v>
      </c>
      <c r="BA106" s="31">
        <v>0</v>
      </c>
      <c r="BB106" s="31">
        <v>19250</v>
      </c>
      <c r="BC106" s="33" t="s">
        <v>25</v>
      </c>
      <c r="BD106" s="47">
        <v>44573</v>
      </c>
      <c r="BE106" s="47">
        <v>46027</v>
      </c>
      <c r="BF106" s="45">
        <f t="shared" si="39"/>
        <v>8.1608156028368786</v>
      </c>
      <c r="BG106" s="30">
        <v>1902</v>
      </c>
      <c r="BH106" s="30">
        <v>1913</v>
      </c>
      <c r="BI106" s="30">
        <v>466</v>
      </c>
      <c r="BJ106" s="30">
        <v>1828</v>
      </c>
      <c r="BK106" s="30">
        <v>1916</v>
      </c>
      <c r="BL106" s="30">
        <v>57</v>
      </c>
      <c r="BM106" s="30">
        <v>3646</v>
      </c>
      <c r="BN106" s="30">
        <v>2</v>
      </c>
      <c r="BO106" s="30">
        <v>51</v>
      </c>
      <c r="BP106" s="30">
        <v>0</v>
      </c>
      <c r="BQ106" s="30">
        <v>53</v>
      </c>
      <c r="BR106" s="47">
        <v>48303</v>
      </c>
      <c r="BS106" s="47">
        <v>54027</v>
      </c>
      <c r="BT106" s="1">
        <f t="shared" si="40"/>
        <v>9.5792553191489365</v>
      </c>
      <c r="BU106" s="30">
        <v>26</v>
      </c>
      <c r="BV106" s="30">
        <v>0</v>
      </c>
      <c r="BW106" s="47">
        <v>1350</v>
      </c>
      <c r="BX106" s="52">
        <f t="shared" si="41"/>
        <v>0.23936170212765959</v>
      </c>
      <c r="BY106" s="47">
        <v>10035</v>
      </c>
      <c r="BZ106" s="47">
        <v>120</v>
      </c>
      <c r="CA106" s="47">
        <v>19899</v>
      </c>
      <c r="CB106" s="47">
        <v>1355</v>
      </c>
      <c r="CC106" s="47">
        <v>31409</v>
      </c>
      <c r="CD106" s="55">
        <f t="shared" si="42"/>
        <v>5.5689716312056738</v>
      </c>
      <c r="CE106" s="3">
        <f t="shared" si="43"/>
        <v>9038.5611510791368</v>
      </c>
      <c r="CF106" s="55">
        <f t="shared" si="44"/>
        <v>12.155185758513932</v>
      </c>
      <c r="CG106" s="55">
        <f t="shared" si="45"/>
        <v>0.60518304431599235</v>
      </c>
      <c r="CH106" s="55">
        <f t="shared" si="46"/>
        <v>0.554056305180743</v>
      </c>
      <c r="CI106" s="30">
        <v>52</v>
      </c>
      <c r="CJ106" s="30">
        <v>3</v>
      </c>
      <c r="CK106" s="30">
        <v>8</v>
      </c>
      <c r="CL106" s="30">
        <v>63</v>
      </c>
      <c r="CM106" s="30">
        <v>1486</v>
      </c>
      <c r="CN106" s="30">
        <v>35</v>
      </c>
      <c r="CO106" s="30">
        <v>481</v>
      </c>
      <c r="CP106" s="30">
        <v>2002</v>
      </c>
      <c r="CQ106" s="1">
        <f t="shared" si="54"/>
        <v>0.35496453900709218</v>
      </c>
      <c r="CR106" s="47">
        <v>51900</v>
      </c>
      <c r="CS106" s="55">
        <f t="shared" si="47"/>
        <v>9.2021276595744688</v>
      </c>
      <c r="CT106" s="59">
        <v>3275</v>
      </c>
      <c r="CU106" s="29" t="s">
        <v>25</v>
      </c>
      <c r="CV106" s="29" t="s">
        <v>25</v>
      </c>
      <c r="CW106" s="29" t="s">
        <v>25</v>
      </c>
      <c r="CX106" s="35">
        <v>1</v>
      </c>
      <c r="CY106" s="49">
        <f>C106/CX106</f>
        <v>5640</v>
      </c>
      <c r="CZ106" s="35">
        <v>2</v>
      </c>
      <c r="DA106" s="35">
        <v>0.47499999999999998</v>
      </c>
      <c r="DB106" s="35">
        <v>3.4750000000000001</v>
      </c>
      <c r="DC106" s="49">
        <f t="shared" si="48"/>
        <v>1623.0215827338129</v>
      </c>
      <c r="DD106" s="30">
        <v>321</v>
      </c>
      <c r="DE106" s="31">
        <v>38500</v>
      </c>
      <c r="DF106" s="35">
        <v>40</v>
      </c>
      <c r="DG106" s="29" t="s">
        <v>25</v>
      </c>
      <c r="DH106" s="29" t="s">
        <v>25</v>
      </c>
      <c r="DI106" s="29" t="s">
        <v>25</v>
      </c>
      <c r="DJ106" s="47">
        <v>58</v>
      </c>
      <c r="DK106" s="47">
        <v>94</v>
      </c>
      <c r="DL106" s="47">
        <v>11</v>
      </c>
      <c r="DM106" s="47">
        <v>11213</v>
      </c>
      <c r="DN106" s="47">
        <v>1350</v>
      </c>
      <c r="DO106" s="47">
        <v>11718</v>
      </c>
      <c r="DP106" s="29" t="s">
        <v>25</v>
      </c>
      <c r="DQ106" s="47">
        <v>23998</v>
      </c>
      <c r="DR106" s="47">
        <v>2584</v>
      </c>
      <c r="DS106" s="30">
        <v>52</v>
      </c>
      <c r="DT106" s="30">
        <v>52</v>
      </c>
      <c r="DU106" s="30">
        <v>52</v>
      </c>
      <c r="DV106" s="30">
        <v>52</v>
      </c>
      <c r="DX106" s="2">
        <f t="shared" si="49"/>
        <v>2584</v>
      </c>
      <c r="DY106" s="33" t="s">
        <v>2185</v>
      </c>
      <c r="DZ106" s="33" t="s">
        <v>332</v>
      </c>
      <c r="EA106" s="33" t="s">
        <v>2030</v>
      </c>
      <c r="EB106" s="33" t="s">
        <v>2027</v>
      </c>
      <c r="EC106" s="36">
        <v>82</v>
      </c>
      <c r="ED106" s="29" t="s">
        <v>330</v>
      </c>
      <c r="EE106" s="29" t="s">
        <v>331</v>
      </c>
      <c r="EF106" s="37">
        <v>41548</v>
      </c>
      <c r="EG106" s="37">
        <v>41912</v>
      </c>
      <c r="EH106" s="29" t="s">
        <v>330</v>
      </c>
      <c r="EI106" s="55">
        <f t="shared" si="50"/>
        <v>1.7792553191489362</v>
      </c>
      <c r="EJ106" s="54">
        <f t="shared" si="51"/>
        <v>2.1276595744680851E-2</v>
      </c>
      <c r="EK106" s="55">
        <f t="shared" si="52"/>
        <v>3.5281914893617023</v>
      </c>
      <c r="EL106" s="54">
        <f t="shared" si="53"/>
        <v>0.24024822695035461</v>
      </c>
    </row>
    <row r="107" spans="1:142" ht="28.8" x14ac:dyDescent="0.3">
      <c r="A107" s="29" t="s">
        <v>333</v>
      </c>
      <c r="B107" s="29"/>
      <c r="C107" s="30">
        <v>8955</v>
      </c>
      <c r="D107" s="30">
        <v>0</v>
      </c>
      <c r="E107" s="30">
        <v>0</v>
      </c>
      <c r="F107" s="30">
        <v>4500</v>
      </c>
      <c r="H107" s="2">
        <f t="shared" si="29"/>
        <v>4500</v>
      </c>
      <c r="I107" s="1">
        <f t="shared" si="28"/>
        <v>0.50251256281407031</v>
      </c>
      <c r="J107" s="31">
        <v>66678</v>
      </c>
      <c r="K107" s="31">
        <v>32330</v>
      </c>
      <c r="L107" s="31">
        <v>99008</v>
      </c>
      <c r="M107" s="45">
        <f t="shared" si="30"/>
        <v>11.056169737576774</v>
      </c>
      <c r="N107" s="31">
        <v>2077</v>
      </c>
      <c r="O107" s="31">
        <v>1554</v>
      </c>
      <c r="P107" s="31">
        <v>0</v>
      </c>
      <c r="Q107" s="31">
        <v>3631</v>
      </c>
      <c r="R107" s="45">
        <f t="shared" si="31"/>
        <v>0.40547180346175321</v>
      </c>
      <c r="S107" s="31">
        <v>21509</v>
      </c>
      <c r="T107" s="31">
        <v>124148</v>
      </c>
      <c r="U107" s="31">
        <v>0</v>
      </c>
      <c r="V107" s="31">
        <v>124148</v>
      </c>
      <c r="W107" s="45">
        <f t="shared" si="32"/>
        <v>13.863539921831379</v>
      </c>
      <c r="X107" s="4">
        <f t="shared" si="33"/>
        <v>0.79749975835293363</v>
      </c>
      <c r="Y107" s="4">
        <f t="shared" si="34"/>
        <v>2.9247349937171763E-2</v>
      </c>
      <c r="Z107" s="4">
        <f t="shared" si="35"/>
        <v>0.17325289170989464</v>
      </c>
      <c r="AA107" s="4">
        <f t="shared" si="36"/>
        <v>0</v>
      </c>
      <c r="AB107" s="31">
        <v>0</v>
      </c>
      <c r="AC107" s="31">
        <v>3631</v>
      </c>
      <c r="AD107" s="31">
        <v>124148</v>
      </c>
      <c r="AE107" s="31">
        <v>124148</v>
      </c>
      <c r="AF107" s="31">
        <v>62074</v>
      </c>
      <c r="AG107" s="31">
        <v>62074</v>
      </c>
      <c r="AH107" s="31">
        <v>0</v>
      </c>
      <c r="AI107" s="31">
        <v>124148</v>
      </c>
      <c r="AJ107" s="45">
        <f t="shared" si="37"/>
        <v>13.863539921831379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0</v>
      </c>
      <c r="AQ107" s="31">
        <v>0</v>
      </c>
      <c r="AR107" s="31">
        <v>124148</v>
      </c>
      <c r="AS107" s="46">
        <f t="shared" si="38"/>
        <v>13.863539921831379</v>
      </c>
      <c r="AT107" s="31">
        <v>0</v>
      </c>
      <c r="AU107" s="31">
        <v>0</v>
      </c>
      <c r="AV107" s="31">
        <v>0</v>
      </c>
      <c r="AW107" s="31">
        <v>0</v>
      </c>
      <c r="AX107" s="31">
        <v>0</v>
      </c>
      <c r="AY107" s="31">
        <v>0</v>
      </c>
      <c r="AZ107" s="31">
        <v>0</v>
      </c>
      <c r="BA107" s="31">
        <v>0</v>
      </c>
      <c r="BB107" s="31">
        <v>0</v>
      </c>
      <c r="BC107" s="33" t="s">
        <v>25</v>
      </c>
      <c r="BD107" s="47">
        <v>29113</v>
      </c>
      <c r="BE107" s="47">
        <v>30768</v>
      </c>
      <c r="BF107" s="45">
        <f t="shared" si="39"/>
        <v>3.4358458961474039</v>
      </c>
      <c r="BG107" s="30">
        <v>54</v>
      </c>
      <c r="BH107" s="30">
        <v>54</v>
      </c>
      <c r="BI107" s="30">
        <v>0</v>
      </c>
      <c r="BJ107" s="30">
        <v>0</v>
      </c>
      <c r="BK107" s="30">
        <v>0</v>
      </c>
      <c r="BL107" s="30">
        <v>0</v>
      </c>
      <c r="BM107" s="30">
        <v>2931</v>
      </c>
      <c r="BN107" s="30">
        <v>0</v>
      </c>
      <c r="BO107" s="30">
        <v>51</v>
      </c>
      <c r="BP107" s="30">
        <v>0</v>
      </c>
      <c r="BQ107" s="30">
        <v>51</v>
      </c>
      <c r="BR107" s="47">
        <v>29167</v>
      </c>
      <c r="BS107" s="47">
        <v>33753</v>
      </c>
      <c r="BT107" s="1">
        <f t="shared" si="40"/>
        <v>3.7691792294807369</v>
      </c>
      <c r="BU107" s="30">
        <v>15</v>
      </c>
      <c r="BV107" s="30">
        <v>0</v>
      </c>
      <c r="BW107" s="47">
        <v>250</v>
      </c>
      <c r="BX107" s="52">
        <f t="shared" si="41"/>
        <v>2.7917364600781685E-2</v>
      </c>
      <c r="BY107" s="47">
        <v>2890</v>
      </c>
      <c r="BZ107" s="47">
        <v>0</v>
      </c>
      <c r="CA107" s="47">
        <v>9306</v>
      </c>
      <c r="CB107" s="47">
        <v>937</v>
      </c>
      <c r="CC107" s="47">
        <v>13133</v>
      </c>
      <c r="CD107" s="55">
        <f t="shared" si="42"/>
        <v>1.4665549972082634</v>
      </c>
      <c r="CE107" s="3">
        <f t="shared" si="43"/>
        <v>5051.1538461538457</v>
      </c>
      <c r="CF107" s="55">
        <f t="shared" si="44"/>
        <v>7.2080131723380898</v>
      </c>
      <c r="CG107" s="55">
        <f t="shared" si="45"/>
        <v>1.1939090909090908</v>
      </c>
      <c r="CH107" s="55">
        <f t="shared" si="46"/>
        <v>0.36133084466565935</v>
      </c>
      <c r="CI107" s="30">
        <v>7</v>
      </c>
      <c r="CJ107" s="30">
        <v>0</v>
      </c>
      <c r="CK107" s="30">
        <v>5</v>
      </c>
      <c r="CL107" s="30">
        <v>12</v>
      </c>
      <c r="CM107" s="30">
        <v>720</v>
      </c>
      <c r="CN107" s="30">
        <v>0</v>
      </c>
      <c r="CO107" s="30">
        <v>26</v>
      </c>
      <c r="CP107" s="30">
        <v>746</v>
      </c>
      <c r="CQ107" s="1">
        <f t="shared" si="54"/>
        <v>8.3305415968732546E-2</v>
      </c>
      <c r="CR107" s="47">
        <v>11000</v>
      </c>
      <c r="CS107" s="55">
        <f t="shared" si="47"/>
        <v>1.2283640424343942</v>
      </c>
      <c r="CT107" s="59">
        <v>1750</v>
      </c>
      <c r="CU107" s="29" t="s">
        <v>25</v>
      </c>
      <c r="CV107" s="29" t="s">
        <v>25</v>
      </c>
      <c r="CW107" s="29" t="s">
        <v>25</v>
      </c>
      <c r="CX107" s="35">
        <v>0</v>
      </c>
      <c r="CY107" s="49">
        <v>0</v>
      </c>
      <c r="CZ107" s="35">
        <v>1</v>
      </c>
      <c r="DA107" s="35">
        <v>1.6</v>
      </c>
      <c r="DB107" s="35">
        <v>2.6</v>
      </c>
      <c r="DC107" s="49">
        <f t="shared" si="48"/>
        <v>3444.2307692307691</v>
      </c>
      <c r="DD107" s="30">
        <v>955</v>
      </c>
      <c r="DE107" s="31">
        <v>30655</v>
      </c>
      <c r="DF107" s="35">
        <v>40</v>
      </c>
      <c r="DG107" s="29" t="s">
        <v>25</v>
      </c>
      <c r="DH107" s="29" t="s">
        <v>25</v>
      </c>
      <c r="DI107" s="29" t="s">
        <v>25</v>
      </c>
      <c r="DJ107" s="47">
        <v>38</v>
      </c>
      <c r="DK107" s="47">
        <v>0</v>
      </c>
      <c r="DL107" s="47">
        <v>9</v>
      </c>
      <c r="DM107" s="47">
        <v>5711</v>
      </c>
      <c r="DN107" s="47">
        <v>125</v>
      </c>
      <c r="DO107" s="47">
        <v>0</v>
      </c>
      <c r="DP107" s="29" t="s">
        <v>2028</v>
      </c>
      <c r="DQ107" s="47">
        <v>0</v>
      </c>
      <c r="DR107" s="47">
        <v>1822</v>
      </c>
      <c r="DS107" s="30">
        <v>52</v>
      </c>
      <c r="DT107" s="30">
        <v>35</v>
      </c>
      <c r="DU107" s="30">
        <v>35</v>
      </c>
      <c r="DV107" s="30">
        <v>35</v>
      </c>
      <c r="DX107" s="2">
        <f t="shared" si="49"/>
        <v>1822</v>
      </c>
      <c r="DY107" s="33" t="s">
        <v>2179</v>
      </c>
      <c r="DZ107" s="33" t="s">
        <v>335</v>
      </c>
      <c r="EA107" s="33" t="s">
        <v>2031</v>
      </c>
      <c r="EB107" s="33" t="s">
        <v>2027</v>
      </c>
      <c r="EC107" s="36">
        <v>83</v>
      </c>
      <c r="ED107" s="29" t="s">
        <v>334</v>
      </c>
      <c r="EE107" s="29" t="s">
        <v>333</v>
      </c>
      <c r="EF107" s="37">
        <v>41548</v>
      </c>
      <c r="EG107" s="37">
        <v>41912</v>
      </c>
      <c r="EH107" s="29" t="s">
        <v>334</v>
      </c>
      <c r="EI107" s="55">
        <f t="shared" si="50"/>
        <v>0.32272473478503627</v>
      </c>
      <c r="EJ107" s="54">
        <f t="shared" si="51"/>
        <v>0</v>
      </c>
      <c r="EK107" s="55">
        <f t="shared" si="52"/>
        <v>1.0391959798994974</v>
      </c>
      <c r="EL107" s="54">
        <f t="shared" si="53"/>
        <v>0.10463428252372976</v>
      </c>
    </row>
    <row r="108" spans="1:142" ht="28.8" x14ac:dyDescent="0.3">
      <c r="A108" s="29" t="s">
        <v>336</v>
      </c>
      <c r="B108" s="29"/>
      <c r="C108" s="30">
        <v>12532</v>
      </c>
      <c r="D108" s="30">
        <v>0</v>
      </c>
      <c r="E108" s="30">
        <v>0</v>
      </c>
      <c r="F108" s="30">
        <v>5400</v>
      </c>
      <c r="H108" s="2">
        <f t="shared" si="29"/>
        <v>5400</v>
      </c>
      <c r="I108" s="1">
        <f t="shared" si="28"/>
        <v>0.43089690392594959</v>
      </c>
      <c r="J108" s="31">
        <v>67312</v>
      </c>
      <c r="K108" s="31">
        <v>5149</v>
      </c>
      <c r="L108" s="31">
        <v>72461</v>
      </c>
      <c r="M108" s="45">
        <f t="shared" si="30"/>
        <v>5.7820778806255984</v>
      </c>
      <c r="N108" s="31">
        <v>14028</v>
      </c>
      <c r="O108" s="31">
        <v>2210</v>
      </c>
      <c r="P108" s="31">
        <v>0</v>
      </c>
      <c r="Q108" s="31">
        <v>16238</v>
      </c>
      <c r="R108" s="45">
        <f t="shared" si="31"/>
        <v>1.2957229492499203</v>
      </c>
      <c r="S108" s="31">
        <v>47263</v>
      </c>
      <c r="T108" s="31">
        <v>135962</v>
      </c>
      <c r="U108" s="31">
        <v>0</v>
      </c>
      <c r="V108" s="31">
        <v>135962</v>
      </c>
      <c r="W108" s="45">
        <f t="shared" si="32"/>
        <v>10.849186083625918</v>
      </c>
      <c r="X108" s="4">
        <f t="shared" si="33"/>
        <v>0.53295038319530452</v>
      </c>
      <c r="Y108" s="4">
        <f t="shared" si="34"/>
        <v>0.11943042909048117</v>
      </c>
      <c r="Z108" s="4">
        <f t="shared" si="35"/>
        <v>0.34761918771421424</v>
      </c>
      <c r="AA108" s="4">
        <f t="shared" si="36"/>
        <v>0</v>
      </c>
      <c r="AB108" s="31">
        <v>1147</v>
      </c>
      <c r="AC108" s="31">
        <v>16238</v>
      </c>
      <c r="AD108" s="31">
        <v>135962</v>
      </c>
      <c r="AE108" s="31">
        <v>113591</v>
      </c>
      <c r="AF108" s="31">
        <v>0</v>
      </c>
      <c r="AG108" s="31">
        <v>113591</v>
      </c>
      <c r="AH108" s="31">
        <v>0</v>
      </c>
      <c r="AI108" s="31">
        <v>113591</v>
      </c>
      <c r="AJ108" s="45">
        <f t="shared" si="37"/>
        <v>9.0640759655282483</v>
      </c>
      <c r="AK108" s="31">
        <v>0</v>
      </c>
      <c r="AL108" s="31">
        <v>0</v>
      </c>
      <c r="AM108" s="31">
        <v>0</v>
      </c>
      <c r="AN108" s="31">
        <v>0</v>
      </c>
      <c r="AO108" s="31">
        <v>5382</v>
      </c>
      <c r="AP108" s="31">
        <v>62841</v>
      </c>
      <c r="AQ108" s="31">
        <v>68223</v>
      </c>
      <c r="AR108" s="31">
        <v>181814</v>
      </c>
      <c r="AS108" s="46">
        <f t="shared" si="38"/>
        <v>14.507979572294925</v>
      </c>
      <c r="AT108" s="31">
        <v>0</v>
      </c>
      <c r="AU108" s="31">
        <v>0</v>
      </c>
      <c r="AV108" s="31">
        <v>0</v>
      </c>
      <c r="AW108" s="31">
        <v>0</v>
      </c>
      <c r="AX108" s="31">
        <v>0</v>
      </c>
      <c r="AY108" s="31">
        <v>0</v>
      </c>
      <c r="AZ108" s="31">
        <v>208000</v>
      </c>
      <c r="BA108" s="31">
        <v>58488</v>
      </c>
      <c r="BB108" s="31">
        <v>266488</v>
      </c>
      <c r="BC108" s="33" t="s">
        <v>25</v>
      </c>
      <c r="BD108" s="47">
        <v>19654</v>
      </c>
      <c r="BE108" s="47">
        <v>20243</v>
      </c>
      <c r="BF108" s="45">
        <f t="shared" si="39"/>
        <v>1.6153048196616662</v>
      </c>
      <c r="BG108" s="30">
        <v>446</v>
      </c>
      <c r="BH108" s="30">
        <v>466</v>
      </c>
      <c r="BI108" s="30">
        <v>32</v>
      </c>
      <c r="BJ108" s="30">
        <v>1010</v>
      </c>
      <c r="BK108" s="30">
        <v>1116</v>
      </c>
      <c r="BL108" s="30">
        <v>209</v>
      </c>
      <c r="BM108" s="30">
        <v>4687</v>
      </c>
      <c r="BN108" s="30">
        <v>2</v>
      </c>
      <c r="BO108" s="30">
        <v>51</v>
      </c>
      <c r="BP108" s="30">
        <v>0</v>
      </c>
      <c r="BQ108" s="30">
        <v>53</v>
      </c>
      <c r="BR108" s="47">
        <v>21110</v>
      </c>
      <c r="BS108" s="47">
        <v>26755</v>
      </c>
      <c r="BT108" s="1">
        <f t="shared" si="40"/>
        <v>2.1349345675071816</v>
      </c>
      <c r="BU108" s="30">
        <v>58</v>
      </c>
      <c r="BV108" s="30">
        <v>0</v>
      </c>
      <c r="BW108" s="47">
        <v>5742</v>
      </c>
      <c r="BX108" s="52">
        <f t="shared" si="41"/>
        <v>0.45818704117459302</v>
      </c>
      <c r="BY108" s="47">
        <v>2107</v>
      </c>
      <c r="BZ108" s="47">
        <v>0</v>
      </c>
      <c r="CA108" s="47">
        <v>12903</v>
      </c>
      <c r="CB108" s="47">
        <v>929</v>
      </c>
      <c r="CC108" s="47">
        <v>15939</v>
      </c>
      <c r="CD108" s="55">
        <f t="shared" si="42"/>
        <v>1.2718640280880944</v>
      </c>
      <c r="CE108" s="3">
        <f t="shared" si="43"/>
        <v>7969.5</v>
      </c>
      <c r="CF108" s="55">
        <f t="shared" si="44"/>
        <v>11.208860759493671</v>
      </c>
      <c r="CG108" s="55">
        <f t="shared" si="45"/>
        <v>0.99506804844549879</v>
      </c>
      <c r="CH108" s="55">
        <f t="shared" si="46"/>
        <v>0.56101663240515787</v>
      </c>
      <c r="CI108" s="30">
        <v>22</v>
      </c>
      <c r="CJ108" s="30">
        <v>1</v>
      </c>
      <c r="CK108" s="30">
        <v>63</v>
      </c>
      <c r="CL108" s="30">
        <v>86</v>
      </c>
      <c r="CM108" s="30">
        <v>751</v>
      </c>
      <c r="CN108" s="30">
        <v>23</v>
      </c>
      <c r="CO108" s="30">
        <v>719</v>
      </c>
      <c r="CP108" s="30">
        <v>1493</v>
      </c>
      <c r="CQ108" s="1">
        <f t="shared" si="54"/>
        <v>0.11913501436323012</v>
      </c>
      <c r="CR108" s="47">
        <v>16018</v>
      </c>
      <c r="CS108" s="55">
        <f t="shared" si="47"/>
        <v>1.2781678902010851</v>
      </c>
      <c r="CT108" s="59">
        <v>5107</v>
      </c>
      <c r="CU108" s="29" t="s">
        <v>25</v>
      </c>
      <c r="CV108" s="29" t="s">
        <v>25</v>
      </c>
      <c r="CW108" s="29" t="s">
        <v>25</v>
      </c>
      <c r="CX108" s="35">
        <v>0</v>
      </c>
      <c r="CY108" s="49">
        <v>0</v>
      </c>
      <c r="CZ108" s="35">
        <v>0.77500000000000002</v>
      </c>
      <c r="DA108" s="35">
        <v>1.2250000000000001</v>
      </c>
      <c r="DB108" s="35">
        <v>2</v>
      </c>
      <c r="DC108" s="49">
        <f t="shared" si="48"/>
        <v>6266</v>
      </c>
      <c r="DD108" s="30">
        <v>5236</v>
      </c>
      <c r="DE108" s="31">
        <v>32876</v>
      </c>
      <c r="DF108" s="35">
        <v>31</v>
      </c>
      <c r="DG108" s="29" t="s">
        <v>25</v>
      </c>
      <c r="DH108" s="29" t="s">
        <v>25</v>
      </c>
      <c r="DI108" s="29" t="s">
        <v>25</v>
      </c>
      <c r="DJ108" s="47">
        <v>222</v>
      </c>
      <c r="DK108" s="47">
        <v>54</v>
      </c>
      <c r="DL108" s="47">
        <v>12</v>
      </c>
      <c r="DM108" s="47">
        <v>2473</v>
      </c>
      <c r="DN108" s="47">
        <v>491</v>
      </c>
      <c r="DO108" s="47">
        <v>156</v>
      </c>
      <c r="DP108" s="29" t="s">
        <v>2028</v>
      </c>
      <c r="DQ108" s="47">
        <v>0</v>
      </c>
      <c r="DR108" s="47">
        <v>1422</v>
      </c>
      <c r="DS108" s="30">
        <v>52</v>
      </c>
      <c r="DT108" s="30">
        <v>31</v>
      </c>
      <c r="DU108" s="30">
        <v>31</v>
      </c>
      <c r="DV108" s="30">
        <v>31</v>
      </c>
      <c r="DX108" s="2">
        <f t="shared" si="49"/>
        <v>1422</v>
      </c>
      <c r="DY108" s="33" t="s">
        <v>2187</v>
      </c>
      <c r="DZ108" s="33" t="s">
        <v>338</v>
      </c>
      <c r="EA108" s="33" t="s">
        <v>2032</v>
      </c>
      <c r="EB108" s="33" t="s">
        <v>2027</v>
      </c>
      <c r="EC108" s="36">
        <v>84</v>
      </c>
      <c r="ED108" s="29" t="s">
        <v>337</v>
      </c>
      <c r="EE108" s="29" t="s">
        <v>175</v>
      </c>
      <c r="EF108" s="37">
        <v>41640</v>
      </c>
      <c r="EG108" s="37">
        <v>42004</v>
      </c>
      <c r="EH108" s="29" t="s">
        <v>337</v>
      </c>
      <c r="EI108" s="55">
        <f t="shared" si="50"/>
        <v>0.1681295882540696</v>
      </c>
      <c r="EJ108" s="54">
        <f t="shared" si="51"/>
        <v>0</v>
      </c>
      <c r="EK108" s="55">
        <f t="shared" si="52"/>
        <v>1.0296042132141716</v>
      </c>
      <c r="EL108" s="54">
        <f t="shared" si="53"/>
        <v>7.4130226619853176E-2</v>
      </c>
    </row>
    <row r="109" spans="1:142" ht="28.8" x14ac:dyDescent="0.3">
      <c r="A109" s="29" t="s">
        <v>339</v>
      </c>
      <c r="B109" s="29"/>
      <c r="C109" s="30">
        <v>18990</v>
      </c>
      <c r="D109" s="30">
        <v>0</v>
      </c>
      <c r="E109" s="30">
        <v>0</v>
      </c>
      <c r="F109" s="30">
        <v>9300</v>
      </c>
      <c r="H109" s="2">
        <f t="shared" si="29"/>
        <v>9300</v>
      </c>
      <c r="I109" s="1">
        <f t="shared" si="28"/>
        <v>0.48973143759873616</v>
      </c>
      <c r="J109" s="31">
        <v>72298</v>
      </c>
      <c r="K109" s="31">
        <v>5372</v>
      </c>
      <c r="L109" s="31">
        <v>77670</v>
      </c>
      <c r="M109" s="45">
        <f t="shared" si="30"/>
        <v>4.0900473933649293</v>
      </c>
      <c r="N109" s="31">
        <v>10479</v>
      </c>
      <c r="O109" s="31">
        <v>3500</v>
      </c>
      <c r="P109" s="31">
        <v>1327</v>
      </c>
      <c r="Q109" s="31">
        <v>15306</v>
      </c>
      <c r="R109" s="45">
        <f t="shared" si="31"/>
        <v>0.80600315955766189</v>
      </c>
      <c r="S109" s="31">
        <v>17513</v>
      </c>
      <c r="T109" s="31">
        <v>110489</v>
      </c>
      <c r="U109" s="31">
        <v>4094</v>
      </c>
      <c r="V109" s="31">
        <v>114583</v>
      </c>
      <c r="W109" s="45">
        <f t="shared" si="32"/>
        <v>6.0338599262769881</v>
      </c>
      <c r="X109" s="4">
        <f t="shared" si="33"/>
        <v>0.67784924465234808</v>
      </c>
      <c r="Y109" s="4">
        <f t="shared" si="34"/>
        <v>0.13358002496007262</v>
      </c>
      <c r="Z109" s="4">
        <f t="shared" si="35"/>
        <v>0.15284117190159099</v>
      </c>
      <c r="AA109" s="4">
        <f t="shared" si="36"/>
        <v>3.5729558485988321E-2</v>
      </c>
      <c r="AB109" s="31">
        <v>8580</v>
      </c>
      <c r="AC109" s="31">
        <v>10306</v>
      </c>
      <c r="AD109" s="31">
        <v>109583</v>
      </c>
      <c r="AE109" s="31">
        <v>47500</v>
      </c>
      <c r="AF109" s="31">
        <v>43500</v>
      </c>
      <c r="AG109" s="31">
        <v>4000</v>
      </c>
      <c r="AH109" s="31">
        <v>0</v>
      </c>
      <c r="AI109" s="31">
        <v>47500</v>
      </c>
      <c r="AJ109" s="45">
        <f t="shared" si="37"/>
        <v>2.5013164823591363</v>
      </c>
      <c r="AK109" s="31">
        <v>0</v>
      </c>
      <c r="AL109" s="31">
        <v>0</v>
      </c>
      <c r="AM109" s="31">
        <v>0</v>
      </c>
      <c r="AN109" s="31">
        <v>0</v>
      </c>
      <c r="AO109" s="31">
        <v>13000</v>
      </c>
      <c r="AP109" s="31">
        <v>107347</v>
      </c>
      <c r="AQ109" s="31">
        <v>120347</v>
      </c>
      <c r="AR109" s="31">
        <v>167847</v>
      </c>
      <c r="AS109" s="46">
        <f t="shared" si="38"/>
        <v>8.8387045813586091</v>
      </c>
      <c r="AT109" s="31">
        <v>8500</v>
      </c>
      <c r="AU109" s="31">
        <v>0</v>
      </c>
      <c r="AV109" s="31">
        <v>0</v>
      </c>
      <c r="AW109" s="31">
        <v>0</v>
      </c>
      <c r="AX109" s="31">
        <v>0</v>
      </c>
      <c r="AY109" s="31">
        <v>0</v>
      </c>
      <c r="AZ109" s="31">
        <v>0</v>
      </c>
      <c r="BA109" s="31">
        <v>0</v>
      </c>
      <c r="BB109" s="31">
        <v>8500</v>
      </c>
      <c r="BC109" s="33" t="s">
        <v>25</v>
      </c>
      <c r="BD109" s="47">
        <v>24655</v>
      </c>
      <c r="BE109" s="47">
        <v>24937</v>
      </c>
      <c r="BF109" s="45">
        <f t="shared" si="39"/>
        <v>1.3131648235913638</v>
      </c>
      <c r="BG109" s="30">
        <v>1051</v>
      </c>
      <c r="BH109" s="30">
        <v>1060</v>
      </c>
      <c r="BI109" s="30">
        <v>1447</v>
      </c>
      <c r="BJ109" s="30">
        <v>1329</v>
      </c>
      <c r="BK109" s="30">
        <v>1343</v>
      </c>
      <c r="BL109" s="30">
        <v>24</v>
      </c>
      <c r="BM109" s="30">
        <v>39775</v>
      </c>
      <c r="BN109" s="30">
        <v>2</v>
      </c>
      <c r="BO109" s="30">
        <v>51</v>
      </c>
      <c r="BP109" s="30">
        <v>0</v>
      </c>
      <c r="BQ109" s="30">
        <v>53</v>
      </c>
      <c r="BR109" s="47">
        <v>27035</v>
      </c>
      <c r="BS109" s="47">
        <v>68588</v>
      </c>
      <c r="BT109" s="1">
        <f t="shared" si="40"/>
        <v>3.611795681937862</v>
      </c>
      <c r="BU109" s="30">
        <v>22</v>
      </c>
      <c r="BV109" s="30">
        <v>0</v>
      </c>
      <c r="BW109" s="47">
        <v>1500</v>
      </c>
      <c r="BX109" s="52">
        <f t="shared" si="41"/>
        <v>7.8988941548183256E-2</v>
      </c>
      <c r="BY109" s="47">
        <v>6118</v>
      </c>
      <c r="BZ109" s="47">
        <v>220</v>
      </c>
      <c r="CA109" s="47">
        <v>5337</v>
      </c>
      <c r="CB109" s="47">
        <v>1207</v>
      </c>
      <c r="CC109" s="47">
        <v>12882</v>
      </c>
      <c r="CD109" s="55">
        <f t="shared" si="42"/>
        <v>0.67835703001579783</v>
      </c>
      <c r="CE109" s="3">
        <f t="shared" si="43"/>
        <v>4189.2682926829266</v>
      </c>
      <c r="CF109" s="55">
        <f t="shared" si="44"/>
        <v>6.1932692307692312</v>
      </c>
      <c r="CG109" s="55">
        <f t="shared" si="45"/>
        <v>0.80668795791846704</v>
      </c>
      <c r="CH109" s="55">
        <f t="shared" si="46"/>
        <v>0.16701172216714294</v>
      </c>
      <c r="CI109" s="30">
        <v>60</v>
      </c>
      <c r="CJ109" s="30">
        <v>1</v>
      </c>
      <c r="CK109" s="30">
        <v>149</v>
      </c>
      <c r="CL109" s="30">
        <v>210</v>
      </c>
      <c r="CM109" s="30">
        <v>1263</v>
      </c>
      <c r="CN109" s="30">
        <v>16</v>
      </c>
      <c r="CO109" s="30">
        <v>664</v>
      </c>
      <c r="CP109" s="30">
        <v>1943</v>
      </c>
      <c r="CQ109" s="1">
        <f t="shared" si="54"/>
        <v>0.10231700895208004</v>
      </c>
      <c r="CR109" s="47">
        <v>15969</v>
      </c>
      <c r="CS109" s="55">
        <f t="shared" si="47"/>
        <v>0.84091627172195893</v>
      </c>
      <c r="CT109" s="59">
        <v>9152</v>
      </c>
      <c r="CU109" s="29" t="s">
        <v>25</v>
      </c>
      <c r="CV109" s="29" t="s">
        <v>25</v>
      </c>
      <c r="CW109" s="29" t="s">
        <v>25</v>
      </c>
      <c r="CX109" s="35">
        <v>0.875</v>
      </c>
      <c r="CY109" s="49">
        <f t="shared" ref="CY109:CY114" si="56">C109/CX109</f>
        <v>21702.857142857141</v>
      </c>
      <c r="CZ109" s="35">
        <v>0.4</v>
      </c>
      <c r="DA109" s="35">
        <v>1.8</v>
      </c>
      <c r="DB109" s="35">
        <v>3.0750000000000002</v>
      </c>
      <c r="DC109" s="49">
        <f t="shared" si="48"/>
        <v>6175.6097560975604</v>
      </c>
      <c r="DD109" s="30">
        <v>1154</v>
      </c>
      <c r="DE109" s="31">
        <v>32760</v>
      </c>
      <c r="DF109" s="35">
        <v>35</v>
      </c>
      <c r="DG109" s="29" t="s">
        <v>25</v>
      </c>
      <c r="DH109" s="29" t="s">
        <v>25</v>
      </c>
      <c r="DI109" s="29" t="s">
        <v>25</v>
      </c>
      <c r="DJ109" s="47">
        <v>18</v>
      </c>
      <c r="DK109" s="47">
        <v>39</v>
      </c>
      <c r="DL109" s="47">
        <v>8</v>
      </c>
      <c r="DM109" s="47">
        <v>4321</v>
      </c>
      <c r="DN109" s="47">
        <v>200</v>
      </c>
      <c r="DO109" s="47">
        <v>225</v>
      </c>
      <c r="DP109" s="29" t="s">
        <v>25</v>
      </c>
      <c r="DQ109" s="47">
        <v>12368</v>
      </c>
      <c r="DR109" s="47">
        <v>2080</v>
      </c>
      <c r="DS109" s="30">
        <v>52</v>
      </c>
      <c r="DT109" s="30">
        <v>40</v>
      </c>
      <c r="DU109" s="30">
        <v>40</v>
      </c>
      <c r="DV109" s="30">
        <v>40</v>
      </c>
      <c r="DX109" s="2">
        <f t="shared" si="49"/>
        <v>2080</v>
      </c>
      <c r="DY109" s="33" t="s">
        <v>2182</v>
      </c>
      <c r="DZ109" s="33" t="s">
        <v>343</v>
      </c>
      <c r="EA109" s="33" t="s">
        <v>2032</v>
      </c>
      <c r="EB109" s="33" t="s">
        <v>2027</v>
      </c>
      <c r="EC109" s="36">
        <v>85</v>
      </c>
      <c r="ED109" s="29" t="s">
        <v>340</v>
      </c>
      <c r="EE109" s="29" t="s">
        <v>341</v>
      </c>
      <c r="EF109" s="37">
        <v>41548</v>
      </c>
      <c r="EG109" s="37">
        <v>41912</v>
      </c>
      <c r="EH109" s="29" t="s">
        <v>340</v>
      </c>
      <c r="EI109" s="55">
        <f t="shared" si="50"/>
        <v>0.32216956292785676</v>
      </c>
      <c r="EJ109" s="54">
        <f t="shared" si="51"/>
        <v>1.1585044760400211E-2</v>
      </c>
      <c r="EK109" s="55">
        <f t="shared" si="52"/>
        <v>0.28104265402843603</v>
      </c>
      <c r="EL109" s="54">
        <f t="shared" si="53"/>
        <v>6.3559768299104785E-2</v>
      </c>
    </row>
    <row r="110" spans="1:142" ht="43.2" x14ac:dyDescent="0.3">
      <c r="A110" s="29" t="s">
        <v>344</v>
      </c>
      <c r="B110" s="29"/>
      <c r="C110" s="30">
        <v>494852</v>
      </c>
      <c r="D110" s="30">
        <v>6</v>
      </c>
      <c r="E110" s="30">
        <v>0</v>
      </c>
      <c r="F110" s="30">
        <v>51900</v>
      </c>
      <c r="G110">
        <v>117476</v>
      </c>
      <c r="H110" s="2">
        <f t="shared" si="29"/>
        <v>169376</v>
      </c>
      <c r="I110" s="1">
        <f t="shared" si="28"/>
        <v>0.34227607446266761</v>
      </c>
      <c r="J110" s="31">
        <v>4944865</v>
      </c>
      <c r="K110" s="31">
        <v>2255829</v>
      </c>
      <c r="L110" s="31">
        <v>7200694</v>
      </c>
      <c r="M110" s="45">
        <f t="shared" si="30"/>
        <v>14.551207229636336</v>
      </c>
      <c r="N110" s="31">
        <v>552595</v>
      </c>
      <c r="O110" s="31">
        <v>160433</v>
      </c>
      <c r="P110" s="31">
        <v>221320</v>
      </c>
      <c r="Q110" s="31">
        <v>934348</v>
      </c>
      <c r="R110" s="45">
        <f t="shared" si="31"/>
        <v>1.8881362508386346</v>
      </c>
      <c r="S110" s="31">
        <v>721965</v>
      </c>
      <c r="T110" s="31">
        <v>8857007</v>
      </c>
      <c r="U110" s="31">
        <v>0</v>
      </c>
      <c r="V110" s="31">
        <v>8857007</v>
      </c>
      <c r="W110" s="45">
        <f t="shared" si="32"/>
        <v>17.898294843710847</v>
      </c>
      <c r="X110" s="4">
        <f t="shared" si="33"/>
        <v>0.81299405092487786</v>
      </c>
      <c r="Y110" s="4">
        <f t="shared" si="34"/>
        <v>0.10549252134496451</v>
      </c>
      <c r="Z110" s="4">
        <f t="shared" si="35"/>
        <v>8.15134277301576E-2</v>
      </c>
      <c r="AA110" s="4">
        <f t="shared" si="36"/>
        <v>0</v>
      </c>
      <c r="AB110" s="31">
        <v>54048</v>
      </c>
      <c r="AC110" s="31">
        <v>934348</v>
      </c>
      <c r="AD110" s="31">
        <v>8857007</v>
      </c>
      <c r="AE110" s="31">
        <v>8762056</v>
      </c>
      <c r="AF110" s="31">
        <v>0</v>
      </c>
      <c r="AG110" s="31">
        <v>9164097</v>
      </c>
      <c r="AH110" s="31">
        <v>0</v>
      </c>
      <c r="AI110" s="31">
        <v>9164097</v>
      </c>
      <c r="AJ110" s="45">
        <f t="shared" si="37"/>
        <v>18.518864226071635</v>
      </c>
      <c r="AK110" s="31">
        <v>0</v>
      </c>
      <c r="AL110" s="31">
        <v>0</v>
      </c>
      <c r="AM110" s="31">
        <v>0</v>
      </c>
      <c r="AN110" s="31">
        <v>0</v>
      </c>
      <c r="AO110" s="31">
        <v>0</v>
      </c>
      <c r="AP110" s="31">
        <v>230831</v>
      </c>
      <c r="AQ110" s="31">
        <v>230831</v>
      </c>
      <c r="AR110" s="31">
        <v>9394928</v>
      </c>
      <c r="AS110" s="46">
        <f t="shared" si="38"/>
        <v>18.985328946836631</v>
      </c>
      <c r="AT110" s="31">
        <v>0</v>
      </c>
      <c r="AU110" s="31">
        <v>20446</v>
      </c>
      <c r="AV110" s="31">
        <v>0</v>
      </c>
      <c r="AW110" s="31">
        <v>0</v>
      </c>
      <c r="AX110" s="31">
        <v>0</v>
      </c>
      <c r="AY110" s="31">
        <v>0</v>
      </c>
      <c r="AZ110" s="31">
        <v>0</v>
      </c>
      <c r="BA110" s="31">
        <v>33602</v>
      </c>
      <c r="BB110" s="31">
        <v>54048</v>
      </c>
      <c r="BC110" s="33" t="s">
        <v>25</v>
      </c>
      <c r="BD110" s="47">
        <v>262482</v>
      </c>
      <c r="BE110" s="47">
        <v>600401</v>
      </c>
      <c r="BF110" s="45">
        <f t="shared" si="39"/>
        <v>1.213294075804483</v>
      </c>
      <c r="BG110" s="30">
        <v>23333</v>
      </c>
      <c r="BH110" s="30">
        <v>38628</v>
      </c>
      <c r="BI110" s="30">
        <v>10662</v>
      </c>
      <c r="BJ110" s="30">
        <v>13798</v>
      </c>
      <c r="BK110" s="30">
        <v>33366</v>
      </c>
      <c r="BL110" s="30">
        <v>322</v>
      </c>
      <c r="BM110" s="30">
        <v>26383</v>
      </c>
      <c r="BN110" s="30">
        <v>20</v>
      </c>
      <c r="BO110" s="30">
        <v>51</v>
      </c>
      <c r="BP110" s="30">
        <v>5</v>
      </c>
      <c r="BQ110" s="30">
        <v>76</v>
      </c>
      <c r="BR110" s="47">
        <v>299613</v>
      </c>
      <c r="BS110" s="47">
        <v>709782</v>
      </c>
      <c r="BT110" s="1">
        <f t="shared" si="40"/>
        <v>1.4343318810472627</v>
      </c>
      <c r="BU110" s="30">
        <v>955</v>
      </c>
      <c r="BV110" s="30">
        <v>71</v>
      </c>
      <c r="BW110" s="47">
        <v>238133</v>
      </c>
      <c r="BX110" s="52">
        <f t="shared" si="41"/>
        <v>0.48122064778964213</v>
      </c>
      <c r="BY110" s="47">
        <v>902958</v>
      </c>
      <c r="BZ110" s="47">
        <v>0</v>
      </c>
      <c r="CA110" s="47">
        <v>964769</v>
      </c>
      <c r="CB110" s="47">
        <v>150764</v>
      </c>
      <c r="CC110" s="47">
        <v>2018491</v>
      </c>
      <c r="CD110" s="55">
        <f t="shared" si="42"/>
        <v>4.0789791695294753</v>
      </c>
      <c r="CE110" s="3">
        <f t="shared" si="43"/>
        <v>5878.3866035675283</v>
      </c>
      <c r="CF110" s="55">
        <f t="shared" si="44"/>
        <v>98.926239952950397</v>
      </c>
      <c r="CG110" s="55">
        <f t="shared" si="45"/>
        <v>1.8204579439420914</v>
      </c>
      <c r="CH110" s="55">
        <f t="shared" si="46"/>
        <v>2.6314093623112447</v>
      </c>
      <c r="CI110" s="30">
        <v>1677</v>
      </c>
      <c r="CJ110" s="30">
        <v>245</v>
      </c>
      <c r="CK110" s="30">
        <v>7655</v>
      </c>
      <c r="CL110" s="30">
        <v>9577</v>
      </c>
      <c r="CM110" s="30">
        <v>49252</v>
      </c>
      <c r="CN110" s="30">
        <v>7586</v>
      </c>
      <c r="CO110" s="30">
        <v>67900</v>
      </c>
      <c r="CP110" s="30">
        <v>124738</v>
      </c>
      <c r="CQ110" s="1">
        <f t="shared" si="54"/>
        <v>0.25207132637637114</v>
      </c>
      <c r="CR110" s="47">
        <v>1108782</v>
      </c>
      <c r="CS110" s="55">
        <f t="shared" si="47"/>
        <v>2.240633563166361</v>
      </c>
      <c r="CT110" s="59">
        <v>229093</v>
      </c>
      <c r="CU110" s="29" t="s">
        <v>25</v>
      </c>
      <c r="CV110" s="29" t="s">
        <v>25</v>
      </c>
      <c r="CW110" s="29" t="s">
        <v>25</v>
      </c>
      <c r="CX110" s="35">
        <v>50</v>
      </c>
      <c r="CY110" s="49">
        <f t="shared" si="56"/>
        <v>9897.0400000000009</v>
      </c>
      <c r="CZ110" s="35">
        <v>0</v>
      </c>
      <c r="DA110" s="35">
        <v>293.375</v>
      </c>
      <c r="DB110" s="35">
        <v>343.375</v>
      </c>
      <c r="DC110" s="49">
        <f t="shared" si="48"/>
        <v>1441.1416090280306</v>
      </c>
      <c r="DD110" s="30">
        <v>18918</v>
      </c>
      <c r="DE110" s="31">
        <v>126766</v>
      </c>
      <c r="DF110" s="35">
        <v>40</v>
      </c>
      <c r="DG110" s="29" t="s">
        <v>25</v>
      </c>
      <c r="DH110" s="29" t="s">
        <v>25</v>
      </c>
      <c r="DI110" s="29" t="s">
        <v>25</v>
      </c>
      <c r="DJ110" s="47">
        <v>85758</v>
      </c>
      <c r="DK110" s="47">
        <v>83746</v>
      </c>
      <c r="DL110" s="47">
        <v>237</v>
      </c>
      <c r="DM110" s="47">
        <v>140714</v>
      </c>
      <c r="DN110" s="47">
        <v>40551</v>
      </c>
      <c r="DO110" s="47">
        <v>64151</v>
      </c>
      <c r="DP110" s="29" t="s">
        <v>25</v>
      </c>
      <c r="DQ110" s="47">
        <v>808122</v>
      </c>
      <c r="DR110" s="47">
        <v>3136</v>
      </c>
      <c r="DS110" s="30">
        <v>52</v>
      </c>
      <c r="DT110" s="30">
        <v>64</v>
      </c>
      <c r="DU110" s="30">
        <v>64</v>
      </c>
      <c r="DV110" s="30">
        <v>64</v>
      </c>
      <c r="DW110">
        <f>VLOOKUP(EC110,branch!$I$4:$K$77,3,0)</f>
        <v>17268</v>
      </c>
      <c r="DX110" s="2">
        <f t="shared" si="49"/>
        <v>20404</v>
      </c>
      <c r="DY110" s="33" t="s">
        <v>2185</v>
      </c>
      <c r="DZ110" s="33" t="s">
        <v>347</v>
      </c>
      <c r="EA110" s="33" t="s">
        <v>2031</v>
      </c>
      <c r="EB110" s="33" t="s">
        <v>2027</v>
      </c>
      <c r="EC110" s="36">
        <v>86</v>
      </c>
      <c r="ED110" s="29" t="s">
        <v>345</v>
      </c>
      <c r="EE110" s="29" t="s">
        <v>346</v>
      </c>
      <c r="EF110" s="37">
        <v>41548</v>
      </c>
      <c r="EG110" s="37">
        <v>41912</v>
      </c>
      <c r="EH110" s="29" t="s">
        <v>345</v>
      </c>
      <c r="EI110" s="55">
        <f t="shared" si="50"/>
        <v>1.8247031435661571</v>
      </c>
      <c r="EJ110" s="54">
        <f t="shared" si="51"/>
        <v>0</v>
      </c>
      <c r="EK110" s="55">
        <f t="shared" si="52"/>
        <v>1.9496111968831085</v>
      </c>
      <c r="EL110" s="54">
        <f t="shared" si="53"/>
        <v>0.30466482908020986</v>
      </c>
    </row>
    <row r="111" spans="1:142" ht="28.8" x14ac:dyDescent="0.3">
      <c r="A111" s="29" t="s">
        <v>1622</v>
      </c>
      <c r="B111" s="29"/>
      <c r="C111" s="30">
        <v>20323</v>
      </c>
      <c r="D111" s="30">
        <v>0</v>
      </c>
      <c r="E111" s="30">
        <v>0</v>
      </c>
      <c r="F111" s="30">
        <v>4500</v>
      </c>
      <c r="H111" s="2">
        <f t="shared" si="29"/>
        <v>4500</v>
      </c>
      <c r="I111" s="1">
        <f t="shared" si="28"/>
        <v>0.22142400236185603</v>
      </c>
      <c r="J111" s="31">
        <v>93479</v>
      </c>
      <c r="K111" s="31">
        <v>22227</v>
      </c>
      <c r="L111" s="31">
        <v>115706</v>
      </c>
      <c r="M111" s="45">
        <f t="shared" si="30"/>
        <v>5.6933523593957585</v>
      </c>
      <c r="N111" s="31">
        <v>18557</v>
      </c>
      <c r="O111" s="31">
        <v>3750</v>
      </c>
      <c r="P111" s="31">
        <v>0</v>
      </c>
      <c r="Q111" s="31">
        <v>22307</v>
      </c>
      <c r="R111" s="45">
        <f t="shared" si="31"/>
        <v>1.0976233823746495</v>
      </c>
      <c r="S111" s="31">
        <v>34741</v>
      </c>
      <c r="T111" s="31">
        <v>172754</v>
      </c>
      <c r="U111" s="31">
        <v>0</v>
      </c>
      <c r="V111" s="31">
        <v>172754</v>
      </c>
      <c r="W111" s="45">
        <f t="shared" si="32"/>
        <v>8.5004182453377943</v>
      </c>
      <c r="X111" s="4">
        <f t="shared" si="33"/>
        <v>0.6697732035148245</v>
      </c>
      <c r="Y111" s="4">
        <f t="shared" si="34"/>
        <v>0.1291258089537724</v>
      </c>
      <c r="Z111" s="4">
        <f t="shared" si="35"/>
        <v>0.20110098753140304</v>
      </c>
      <c r="AA111" s="4">
        <f t="shared" si="36"/>
        <v>0</v>
      </c>
      <c r="AB111" s="31">
        <v>0</v>
      </c>
      <c r="AC111" s="31">
        <v>22307</v>
      </c>
      <c r="AD111" s="31">
        <v>172754</v>
      </c>
      <c r="AE111" s="31">
        <v>172754</v>
      </c>
      <c r="AF111" s="31">
        <v>179933</v>
      </c>
      <c r="AG111" s="31">
        <v>0</v>
      </c>
      <c r="AH111" s="31">
        <v>0</v>
      </c>
      <c r="AI111" s="31">
        <v>179933</v>
      </c>
      <c r="AJ111" s="45">
        <f t="shared" si="37"/>
        <v>8.8536633371057416</v>
      </c>
      <c r="AK111" s="31">
        <v>0</v>
      </c>
      <c r="AL111" s="31">
        <v>0</v>
      </c>
      <c r="AM111" s="31">
        <v>0</v>
      </c>
      <c r="AN111" s="31">
        <v>0</v>
      </c>
      <c r="AO111" s="31">
        <v>0</v>
      </c>
      <c r="AP111" s="31">
        <v>20351</v>
      </c>
      <c r="AQ111" s="31">
        <v>20351</v>
      </c>
      <c r="AR111" s="31">
        <v>200284</v>
      </c>
      <c r="AS111" s="46">
        <f t="shared" si="38"/>
        <v>9.8550410864537721</v>
      </c>
      <c r="AT111" s="31">
        <v>0</v>
      </c>
      <c r="AU111" s="31">
        <v>0</v>
      </c>
      <c r="AV111" s="31">
        <v>0</v>
      </c>
      <c r="AW111" s="31">
        <v>0</v>
      </c>
      <c r="AX111" s="31">
        <v>0</v>
      </c>
      <c r="AY111" s="31">
        <v>0</v>
      </c>
      <c r="AZ111" s="31">
        <v>0</v>
      </c>
      <c r="BA111" s="31">
        <v>0</v>
      </c>
      <c r="BB111" s="31">
        <v>0</v>
      </c>
      <c r="BC111" s="33" t="s">
        <v>25</v>
      </c>
      <c r="BD111" s="47">
        <v>20504</v>
      </c>
      <c r="BE111" s="47">
        <v>21464</v>
      </c>
      <c r="BF111" s="45">
        <f t="shared" si="39"/>
        <v>1.0561432859321951</v>
      </c>
      <c r="BG111" s="30">
        <v>288</v>
      </c>
      <c r="BH111" s="30">
        <v>308</v>
      </c>
      <c r="BI111" s="30">
        <v>1071</v>
      </c>
      <c r="BJ111" s="30">
        <v>1270</v>
      </c>
      <c r="BK111" s="30">
        <v>1293</v>
      </c>
      <c r="BL111" s="30">
        <v>147</v>
      </c>
      <c r="BM111" s="30">
        <v>4571</v>
      </c>
      <c r="BN111" s="30">
        <v>1</v>
      </c>
      <c r="BO111" s="30">
        <v>51</v>
      </c>
      <c r="BP111" s="30">
        <v>0</v>
      </c>
      <c r="BQ111" s="30">
        <v>52</v>
      </c>
      <c r="BR111" s="47">
        <v>22062</v>
      </c>
      <c r="BS111" s="47">
        <v>28855</v>
      </c>
      <c r="BT111" s="1">
        <f t="shared" si="40"/>
        <v>1.4198199084780789</v>
      </c>
      <c r="BU111" s="30">
        <v>0</v>
      </c>
      <c r="BV111" s="30">
        <v>0</v>
      </c>
      <c r="BW111" s="47">
        <v>7780</v>
      </c>
      <c r="BX111" s="52">
        <f t="shared" si="41"/>
        <v>0.38281749741672</v>
      </c>
      <c r="BY111" s="47">
        <v>7395</v>
      </c>
      <c r="BZ111" s="47">
        <v>1</v>
      </c>
      <c r="CA111" s="47">
        <v>11965</v>
      </c>
      <c r="CB111" s="47">
        <v>6</v>
      </c>
      <c r="CC111" s="47">
        <v>19367</v>
      </c>
      <c r="CD111" s="55">
        <f t="shared" si="42"/>
        <v>0.95295970083157011</v>
      </c>
      <c r="CE111" s="3">
        <f t="shared" si="43"/>
        <v>6455.666666666667</v>
      </c>
      <c r="CF111" s="55">
        <f t="shared" si="44"/>
        <v>8.069583333333334</v>
      </c>
      <c r="CG111" s="55">
        <f t="shared" si="45"/>
        <v>0.57834383492101415</v>
      </c>
      <c r="CH111" s="55">
        <f t="shared" si="46"/>
        <v>0.67094091145382084</v>
      </c>
      <c r="CI111" s="30">
        <v>44</v>
      </c>
      <c r="CJ111" s="30">
        <v>0</v>
      </c>
      <c r="CK111" s="30">
        <v>0</v>
      </c>
      <c r="CL111" s="30">
        <v>44</v>
      </c>
      <c r="CM111" s="30">
        <v>1322</v>
      </c>
      <c r="CN111" s="30">
        <v>0</v>
      </c>
      <c r="CO111" s="30">
        <v>0</v>
      </c>
      <c r="CP111" s="30">
        <v>1322</v>
      </c>
      <c r="CQ111" s="1">
        <f t="shared" si="54"/>
        <v>6.5049451360527477E-2</v>
      </c>
      <c r="CR111" s="47">
        <v>33487</v>
      </c>
      <c r="CS111" s="55">
        <f t="shared" si="47"/>
        <v>1.6477390149092161</v>
      </c>
      <c r="CT111" s="59">
        <v>27396</v>
      </c>
      <c r="CU111" s="29" t="s">
        <v>25</v>
      </c>
      <c r="CV111" s="29" t="s">
        <v>25</v>
      </c>
      <c r="CW111" s="29" t="s">
        <v>25</v>
      </c>
      <c r="CX111" s="35">
        <v>1</v>
      </c>
      <c r="CY111" s="49">
        <f t="shared" si="56"/>
        <v>20323</v>
      </c>
      <c r="CZ111" s="35">
        <v>0</v>
      </c>
      <c r="DA111" s="35">
        <v>2</v>
      </c>
      <c r="DB111" s="35">
        <v>3</v>
      </c>
      <c r="DC111" s="49">
        <f t="shared" si="48"/>
        <v>6774.333333333333</v>
      </c>
      <c r="DD111" s="30">
        <v>1731</v>
      </c>
      <c r="DE111" s="31">
        <v>48880</v>
      </c>
      <c r="DF111" s="35">
        <v>40</v>
      </c>
      <c r="DG111" s="29" t="s">
        <v>25</v>
      </c>
      <c r="DH111" s="29" t="s">
        <v>25</v>
      </c>
      <c r="DI111" s="29" t="s">
        <v>25</v>
      </c>
      <c r="DJ111" s="47">
        <v>153</v>
      </c>
      <c r="DK111" s="47">
        <v>33</v>
      </c>
      <c r="DL111" s="47">
        <v>10</v>
      </c>
      <c r="DM111" s="47">
        <v>16332</v>
      </c>
      <c r="DN111" s="47">
        <v>5446</v>
      </c>
      <c r="DO111" s="47">
        <v>0</v>
      </c>
      <c r="DP111" s="29" t="s">
        <v>2028</v>
      </c>
      <c r="DQ111" s="47">
        <v>0</v>
      </c>
      <c r="DR111" s="47">
        <v>2400</v>
      </c>
      <c r="DS111" s="30">
        <v>50</v>
      </c>
      <c r="DT111" s="30">
        <v>48</v>
      </c>
      <c r="DU111" s="30">
        <v>48</v>
      </c>
      <c r="DV111" s="30">
        <v>48</v>
      </c>
      <c r="DX111" s="2">
        <f t="shared" si="49"/>
        <v>2400</v>
      </c>
      <c r="DY111" s="33" t="s">
        <v>2187</v>
      </c>
      <c r="DZ111" s="33" t="s">
        <v>1624</v>
      </c>
      <c r="EA111" s="33" t="s">
        <v>2030</v>
      </c>
      <c r="EB111" s="33" t="s">
        <v>2027</v>
      </c>
      <c r="EC111" s="36">
        <v>546</v>
      </c>
      <c r="ED111" s="29" t="s">
        <v>1623</v>
      </c>
      <c r="EE111" s="29" t="s">
        <v>814</v>
      </c>
      <c r="EF111" s="37">
        <v>41548</v>
      </c>
      <c r="EG111" s="37">
        <v>41912</v>
      </c>
      <c r="EH111" s="29" t="s">
        <v>1623</v>
      </c>
      <c r="EI111" s="55">
        <f t="shared" si="50"/>
        <v>0.36387344388131676</v>
      </c>
      <c r="EJ111" s="54">
        <f t="shared" si="51"/>
        <v>4.9205333858190226E-5</v>
      </c>
      <c r="EK111" s="55">
        <f t="shared" si="52"/>
        <v>0.58874181961324612</v>
      </c>
      <c r="EL111" s="54">
        <f t="shared" si="53"/>
        <v>2.9523200314914136E-4</v>
      </c>
    </row>
    <row r="112" spans="1:142" ht="28.8" x14ac:dyDescent="0.3">
      <c r="A112" s="29" t="s">
        <v>1394</v>
      </c>
      <c r="B112" s="29"/>
      <c r="C112" s="30">
        <v>40342</v>
      </c>
      <c r="D112" s="30">
        <v>0</v>
      </c>
      <c r="E112" s="30">
        <v>0</v>
      </c>
      <c r="F112" s="30">
        <v>28000</v>
      </c>
      <c r="H112" s="2">
        <f t="shared" si="29"/>
        <v>28000</v>
      </c>
      <c r="I112" s="1">
        <f t="shared" si="28"/>
        <v>0.69406573794060777</v>
      </c>
      <c r="J112" s="31">
        <v>1048902</v>
      </c>
      <c r="K112" s="31">
        <v>417471</v>
      </c>
      <c r="L112" s="31">
        <v>1466373</v>
      </c>
      <c r="M112" s="45">
        <f t="shared" si="30"/>
        <v>36.348544940756533</v>
      </c>
      <c r="N112" s="31">
        <v>124831</v>
      </c>
      <c r="O112" s="31">
        <v>98044</v>
      </c>
      <c r="P112" s="31">
        <v>49803</v>
      </c>
      <c r="Q112" s="31">
        <v>272678</v>
      </c>
      <c r="R112" s="45">
        <f t="shared" si="31"/>
        <v>6.7591591889346088</v>
      </c>
      <c r="S112" s="31">
        <v>213385</v>
      </c>
      <c r="T112" s="31">
        <v>1952436</v>
      </c>
      <c r="U112" s="31">
        <v>0</v>
      </c>
      <c r="V112" s="31">
        <v>1952436</v>
      </c>
      <c r="W112" s="45">
        <f t="shared" si="32"/>
        <v>48.397104754350302</v>
      </c>
      <c r="X112" s="4">
        <f t="shared" si="33"/>
        <v>0.75104792167323287</v>
      </c>
      <c r="Y112" s="4">
        <f t="shared" si="34"/>
        <v>0.13966040372129995</v>
      </c>
      <c r="Z112" s="4">
        <f t="shared" si="35"/>
        <v>0.10929167460546722</v>
      </c>
      <c r="AA112" s="4">
        <f t="shared" si="36"/>
        <v>0</v>
      </c>
      <c r="AB112" s="31">
        <v>0</v>
      </c>
      <c r="AC112" s="31">
        <v>272678</v>
      </c>
      <c r="AD112" s="31">
        <v>1952436</v>
      </c>
      <c r="AE112" s="31">
        <v>1943955</v>
      </c>
      <c r="AF112" s="31">
        <v>1943955</v>
      </c>
      <c r="AG112" s="31">
        <v>0</v>
      </c>
      <c r="AH112" s="31">
        <v>0</v>
      </c>
      <c r="AI112" s="31">
        <v>1943955</v>
      </c>
      <c r="AJ112" s="45">
        <f t="shared" si="37"/>
        <v>48.186877199940511</v>
      </c>
      <c r="AK112" s="31">
        <v>0</v>
      </c>
      <c r="AL112" s="31">
        <v>0</v>
      </c>
      <c r="AM112" s="31">
        <v>0</v>
      </c>
      <c r="AN112" s="31">
        <v>0</v>
      </c>
      <c r="AO112" s="31">
        <v>0</v>
      </c>
      <c r="AP112" s="31">
        <v>8481</v>
      </c>
      <c r="AQ112" s="31">
        <v>8481</v>
      </c>
      <c r="AR112" s="31">
        <v>1952436</v>
      </c>
      <c r="AS112" s="46">
        <f t="shared" si="38"/>
        <v>48.397104754350302</v>
      </c>
      <c r="AT112" s="31">
        <v>0</v>
      </c>
      <c r="AU112" s="31">
        <v>0</v>
      </c>
      <c r="AV112" s="31">
        <v>0</v>
      </c>
      <c r="AW112" s="31">
        <v>0</v>
      </c>
      <c r="AX112" s="31">
        <v>0</v>
      </c>
      <c r="AY112" s="31">
        <v>0</v>
      </c>
      <c r="AZ112" s="31">
        <v>0</v>
      </c>
      <c r="BA112" s="31">
        <v>0</v>
      </c>
      <c r="BB112" s="31">
        <v>0</v>
      </c>
      <c r="BC112" s="33" t="s">
        <v>25</v>
      </c>
      <c r="BD112" s="47">
        <v>60755</v>
      </c>
      <c r="BE112" s="47">
        <v>76134</v>
      </c>
      <c r="BF112" s="45">
        <f t="shared" si="39"/>
        <v>1.8872143175846512</v>
      </c>
      <c r="BG112" s="30">
        <v>4016</v>
      </c>
      <c r="BH112" s="30">
        <v>4270</v>
      </c>
      <c r="BI112" s="30">
        <v>3678</v>
      </c>
      <c r="BJ112" s="30">
        <v>4678</v>
      </c>
      <c r="BK112" s="30">
        <v>6592</v>
      </c>
      <c r="BL112" s="30">
        <v>0</v>
      </c>
      <c r="BM112" s="30">
        <v>4638</v>
      </c>
      <c r="BN112" s="30">
        <v>8</v>
      </c>
      <c r="BO112" s="30">
        <v>54</v>
      </c>
      <c r="BP112" s="30">
        <v>0</v>
      </c>
      <c r="BQ112" s="30">
        <v>62</v>
      </c>
      <c r="BR112" s="47">
        <v>69449</v>
      </c>
      <c r="BS112" s="47">
        <v>95320</v>
      </c>
      <c r="BT112" s="1">
        <f t="shared" si="40"/>
        <v>2.3627980764463836</v>
      </c>
      <c r="BU112" s="30">
        <v>176</v>
      </c>
      <c r="BV112" s="30">
        <v>58</v>
      </c>
      <c r="BW112" s="47">
        <v>20626</v>
      </c>
      <c r="BX112" s="52">
        <f t="shared" si="41"/>
        <v>0.51127856824153484</v>
      </c>
      <c r="BY112" s="47">
        <v>324179</v>
      </c>
      <c r="BZ112" s="47">
        <v>13602</v>
      </c>
      <c r="CA112" s="47">
        <v>220602</v>
      </c>
      <c r="CB112" s="47">
        <v>14675</v>
      </c>
      <c r="CC112" s="47">
        <v>573058</v>
      </c>
      <c r="CD112" s="55">
        <f t="shared" si="42"/>
        <v>14.204997273313172</v>
      </c>
      <c r="CE112" s="3">
        <f t="shared" si="43"/>
        <v>27954.048780487807</v>
      </c>
      <c r="CF112" s="55">
        <f t="shared" si="44"/>
        <v>182.27035623409668</v>
      </c>
      <c r="CG112" s="55">
        <f t="shared" si="45"/>
        <v>2.0605962539059268</v>
      </c>
      <c r="CH112" s="55">
        <f t="shared" si="46"/>
        <v>5.7152853545950482</v>
      </c>
      <c r="CI112" s="30">
        <v>326</v>
      </c>
      <c r="CJ112" s="30">
        <v>72</v>
      </c>
      <c r="CK112" s="30">
        <v>60</v>
      </c>
      <c r="CL112" s="30">
        <v>458</v>
      </c>
      <c r="CM112" s="30">
        <v>11560</v>
      </c>
      <c r="CN112" s="30">
        <v>2330</v>
      </c>
      <c r="CO112" s="30">
        <v>1278</v>
      </c>
      <c r="CP112" s="30">
        <v>15168</v>
      </c>
      <c r="CQ112" s="1">
        <f t="shared" si="54"/>
        <v>0.37598532546725499</v>
      </c>
      <c r="CR112" s="47">
        <v>278103</v>
      </c>
      <c r="CS112" s="55">
        <f t="shared" si="47"/>
        <v>6.8936344256606015</v>
      </c>
      <c r="CT112" s="59">
        <v>27084</v>
      </c>
      <c r="CU112" s="29" t="s">
        <v>25</v>
      </c>
      <c r="CV112" s="29" t="s">
        <v>25</v>
      </c>
      <c r="CW112" s="29" t="s">
        <v>25</v>
      </c>
      <c r="CX112" s="35">
        <v>9.5</v>
      </c>
      <c r="CY112" s="49">
        <f t="shared" si="56"/>
        <v>4246.5263157894733</v>
      </c>
      <c r="CZ112" s="35">
        <v>0</v>
      </c>
      <c r="DA112" s="35">
        <v>11</v>
      </c>
      <c r="DB112" s="35">
        <v>20.5</v>
      </c>
      <c r="DC112" s="49">
        <f t="shared" si="48"/>
        <v>1967.9024390243903</v>
      </c>
      <c r="DD112" s="30">
        <v>1063</v>
      </c>
      <c r="DE112" s="31">
        <v>134181</v>
      </c>
      <c r="DF112" s="35">
        <v>40</v>
      </c>
      <c r="DG112" s="29" t="s">
        <v>25</v>
      </c>
      <c r="DH112" s="29" t="s">
        <v>25</v>
      </c>
      <c r="DI112" s="29" t="s">
        <v>25</v>
      </c>
      <c r="DJ112" s="47">
        <v>2763</v>
      </c>
      <c r="DK112" s="47">
        <v>901</v>
      </c>
      <c r="DL112" s="47">
        <v>28</v>
      </c>
      <c r="DM112" s="47">
        <v>16186</v>
      </c>
      <c r="DN112" s="47">
        <v>3237</v>
      </c>
      <c r="DO112" s="47">
        <v>62984</v>
      </c>
      <c r="DP112" s="29" t="s">
        <v>25</v>
      </c>
      <c r="DQ112" s="47">
        <v>168149</v>
      </c>
      <c r="DR112" s="47">
        <v>3144</v>
      </c>
      <c r="DS112" s="30">
        <v>52</v>
      </c>
      <c r="DT112" s="30">
        <v>63</v>
      </c>
      <c r="DU112" s="30">
        <v>63</v>
      </c>
      <c r="DV112" s="30">
        <v>63</v>
      </c>
      <c r="DX112" s="2">
        <f t="shared" si="49"/>
        <v>3144</v>
      </c>
      <c r="DY112" s="33" t="s">
        <v>2182</v>
      </c>
      <c r="DZ112" s="33" t="s">
        <v>1396</v>
      </c>
      <c r="EA112" s="33" t="s">
        <v>2030</v>
      </c>
      <c r="EB112" s="33" t="s">
        <v>2027</v>
      </c>
      <c r="EC112" s="36">
        <v>434</v>
      </c>
      <c r="ED112" s="29" t="s">
        <v>1395</v>
      </c>
      <c r="EE112" s="29" t="s">
        <v>269</v>
      </c>
      <c r="EF112" s="37">
        <v>41548</v>
      </c>
      <c r="EG112" s="37">
        <v>41912</v>
      </c>
      <c r="EH112" s="29" t="s">
        <v>1395</v>
      </c>
      <c r="EI112" s="55">
        <f t="shared" si="50"/>
        <v>8.0357691735660097</v>
      </c>
      <c r="EJ112" s="54">
        <f t="shared" si="51"/>
        <v>0.33716722026671953</v>
      </c>
      <c r="EK112" s="55">
        <f t="shared" si="52"/>
        <v>5.4682960686133555</v>
      </c>
      <c r="EL112" s="54">
        <f t="shared" si="53"/>
        <v>0.3637648108670864</v>
      </c>
    </row>
    <row r="113" spans="1:142" ht="28.8" x14ac:dyDescent="0.3">
      <c r="A113" s="29" t="s">
        <v>350</v>
      </c>
      <c r="B113" s="29"/>
      <c r="C113" s="30">
        <v>33122</v>
      </c>
      <c r="D113" s="30">
        <v>0</v>
      </c>
      <c r="E113" s="30">
        <v>0</v>
      </c>
      <c r="F113" s="30">
        <v>19250</v>
      </c>
      <c r="H113" s="2">
        <f t="shared" si="29"/>
        <v>19250</v>
      </c>
      <c r="I113" s="1">
        <f t="shared" si="28"/>
        <v>0.58118471106817227</v>
      </c>
      <c r="J113" s="31">
        <v>215615</v>
      </c>
      <c r="K113" s="31">
        <v>44866</v>
      </c>
      <c r="L113" s="31">
        <v>260481</v>
      </c>
      <c r="M113" s="45">
        <f t="shared" si="30"/>
        <v>7.8642895960388861</v>
      </c>
      <c r="N113" s="31">
        <v>18705</v>
      </c>
      <c r="O113" s="31">
        <v>3900</v>
      </c>
      <c r="P113" s="31">
        <v>4121</v>
      </c>
      <c r="Q113" s="31">
        <v>26726</v>
      </c>
      <c r="R113" s="45">
        <f t="shared" si="31"/>
        <v>0.80689571885755695</v>
      </c>
      <c r="S113" s="31">
        <v>164510</v>
      </c>
      <c r="T113" s="31">
        <v>451717</v>
      </c>
      <c r="U113" s="31">
        <v>51777</v>
      </c>
      <c r="V113" s="31">
        <v>503494</v>
      </c>
      <c r="W113" s="45">
        <f t="shared" si="32"/>
        <v>15.201195579977055</v>
      </c>
      <c r="X113" s="4">
        <f t="shared" si="33"/>
        <v>0.51734678069649287</v>
      </c>
      <c r="Y113" s="4">
        <f t="shared" si="34"/>
        <v>5.3081069486428836E-2</v>
      </c>
      <c r="Z113" s="4">
        <f t="shared" si="35"/>
        <v>0.32673676349668518</v>
      </c>
      <c r="AA113" s="4">
        <f t="shared" si="36"/>
        <v>0.10283538632039309</v>
      </c>
      <c r="AB113" s="31">
        <v>0</v>
      </c>
      <c r="AC113" s="31">
        <v>26726</v>
      </c>
      <c r="AD113" s="31">
        <v>503494</v>
      </c>
      <c r="AE113" s="31">
        <v>463836</v>
      </c>
      <c r="AF113" s="31">
        <v>463836</v>
      </c>
      <c r="AG113" s="31">
        <v>0</v>
      </c>
      <c r="AH113" s="31">
        <v>0</v>
      </c>
      <c r="AI113" s="31">
        <v>463836</v>
      </c>
      <c r="AJ113" s="45">
        <f t="shared" si="37"/>
        <v>14.003864500935935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39658</v>
      </c>
      <c r="AQ113" s="31">
        <v>39658</v>
      </c>
      <c r="AR113" s="31">
        <v>503494</v>
      </c>
      <c r="AS113" s="46">
        <f t="shared" si="38"/>
        <v>15.201195579977055</v>
      </c>
      <c r="AT113" s="31">
        <v>0</v>
      </c>
      <c r="AU113" s="31">
        <v>0</v>
      </c>
      <c r="AV113" s="31">
        <v>0</v>
      </c>
      <c r="AW113" s="31">
        <v>0</v>
      </c>
      <c r="AX113" s="31">
        <v>0</v>
      </c>
      <c r="AY113" s="31">
        <v>0</v>
      </c>
      <c r="AZ113" s="31">
        <v>0</v>
      </c>
      <c r="BA113" s="31">
        <v>0</v>
      </c>
      <c r="BB113" s="31">
        <v>0</v>
      </c>
      <c r="BC113" s="33" t="s">
        <v>25</v>
      </c>
      <c r="BD113" s="47">
        <v>51525</v>
      </c>
      <c r="BE113" s="47">
        <v>54204</v>
      </c>
      <c r="BF113" s="45">
        <f t="shared" si="39"/>
        <v>1.636495380713725</v>
      </c>
      <c r="BG113" s="30">
        <v>1491</v>
      </c>
      <c r="BH113" s="30">
        <v>1500</v>
      </c>
      <c r="BI113" s="30">
        <v>1085</v>
      </c>
      <c r="BJ113" s="30">
        <v>1185</v>
      </c>
      <c r="BK113" s="30">
        <v>1208</v>
      </c>
      <c r="BL113" s="30">
        <v>96</v>
      </c>
      <c r="BM113" s="30">
        <v>7411</v>
      </c>
      <c r="BN113" s="30">
        <v>2</v>
      </c>
      <c r="BO113" s="30">
        <v>51</v>
      </c>
      <c r="BP113" s="30">
        <v>0</v>
      </c>
      <c r="BQ113" s="30">
        <v>53</v>
      </c>
      <c r="BR113" s="47">
        <v>54201</v>
      </c>
      <c r="BS113" s="47">
        <v>65506</v>
      </c>
      <c r="BT113" s="1">
        <f t="shared" si="40"/>
        <v>1.9777187367912565</v>
      </c>
      <c r="BU113" s="30">
        <v>32</v>
      </c>
      <c r="BV113" s="30">
        <v>0</v>
      </c>
      <c r="BW113" s="47">
        <v>22413</v>
      </c>
      <c r="BX113" s="52">
        <f t="shared" si="41"/>
        <v>0.67668015216472432</v>
      </c>
      <c r="BY113" s="47">
        <v>21847</v>
      </c>
      <c r="BZ113" s="47">
        <v>1241</v>
      </c>
      <c r="CA113" s="47">
        <v>26230</v>
      </c>
      <c r="CB113" s="47">
        <v>798</v>
      </c>
      <c r="CC113" s="47">
        <v>50116</v>
      </c>
      <c r="CD113" s="55">
        <f t="shared" si="42"/>
        <v>1.5130728820723387</v>
      </c>
      <c r="CE113" s="3">
        <f t="shared" si="43"/>
        <v>7263.188405797101</v>
      </c>
      <c r="CF113" s="55">
        <f t="shared" si="44"/>
        <v>20.078525641025642</v>
      </c>
      <c r="CG113" s="55">
        <f t="shared" si="45"/>
        <v>0.57241410818713445</v>
      </c>
      <c r="CH113" s="55">
        <f t="shared" si="46"/>
        <v>0.73393276951729614</v>
      </c>
      <c r="CI113" s="30">
        <v>104</v>
      </c>
      <c r="CJ113" s="30">
        <v>15</v>
      </c>
      <c r="CK113" s="30">
        <v>28</v>
      </c>
      <c r="CL113" s="30">
        <v>147</v>
      </c>
      <c r="CM113" s="30">
        <v>8316</v>
      </c>
      <c r="CN113" s="30">
        <v>193</v>
      </c>
      <c r="CO113" s="30">
        <v>1023</v>
      </c>
      <c r="CP113" s="30">
        <v>9532</v>
      </c>
      <c r="CQ113" s="1">
        <f t="shared" si="54"/>
        <v>0.28778455407282166</v>
      </c>
      <c r="CR113" s="47">
        <v>87552</v>
      </c>
      <c r="CS113" s="55">
        <f t="shared" si="47"/>
        <v>2.643318640178733</v>
      </c>
      <c r="CT113" s="59">
        <v>10937</v>
      </c>
      <c r="CU113" s="29" t="s">
        <v>25</v>
      </c>
      <c r="CV113" s="29" t="s">
        <v>25</v>
      </c>
      <c r="CW113" s="29" t="s">
        <v>25</v>
      </c>
      <c r="CX113" s="35">
        <v>1</v>
      </c>
      <c r="CY113" s="49">
        <f t="shared" si="56"/>
        <v>33122</v>
      </c>
      <c r="CZ113" s="35">
        <v>0</v>
      </c>
      <c r="DA113" s="35">
        <v>5.9</v>
      </c>
      <c r="DB113" s="35">
        <v>6.9</v>
      </c>
      <c r="DC113" s="49">
        <f t="shared" si="48"/>
        <v>4800.2898550724631</v>
      </c>
      <c r="DD113" s="30">
        <v>1758</v>
      </c>
      <c r="DE113" s="31">
        <v>65000</v>
      </c>
      <c r="DF113" s="35">
        <v>40</v>
      </c>
      <c r="DG113" s="29" t="s">
        <v>25</v>
      </c>
      <c r="DH113" s="29" t="s">
        <v>25</v>
      </c>
      <c r="DI113" s="29" t="s">
        <v>25</v>
      </c>
      <c r="DJ113" s="47">
        <v>21</v>
      </c>
      <c r="DK113" s="47">
        <v>0</v>
      </c>
      <c r="DL113" s="47">
        <v>20</v>
      </c>
      <c r="DM113" s="47">
        <v>39432</v>
      </c>
      <c r="DN113" s="47">
        <v>3633</v>
      </c>
      <c r="DO113" s="47">
        <v>2642</v>
      </c>
      <c r="DP113" s="29" t="s">
        <v>25</v>
      </c>
      <c r="DQ113" s="47">
        <v>15439</v>
      </c>
      <c r="DR113" s="47">
        <v>2496</v>
      </c>
      <c r="DS113" s="30">
        <v>52</v>
      </c>
      <c r="DT113" s="30">
        <v>48</v>
      </c>
      <c r="DU113" s="30">
        <v>48</v>
      </c>
      <c r="DV113" s="30">
        <v>48</v>
      </c>
      <c r="DX113" s="2">
        <f t="shared" si="49"/>
        <v>2496</v>
      </c>
      <c r="DY113" s="33" t="s">
        <v>2186</v>
      </c>
      <c r="DZ113" s="33" t="s">
        <v>352</v>
      </c>
      <c r="EA113" s="33" t="s">
        <v>2030</v>
      </c>
      <c r="EB113" s="33" t="s">
        <v>2027</v>
      </c>
      <c r="EC113" s="36">
        <v>87</v>
      </c>
      <c r="ED113" s="29" t="s">
        <v>348</v>
      </c>
      <c r="EE113" s="29" t="s">
        <v>349</v>
      </c>
      <c r="EF113" s="37">
        <v>41548</v>
      </c>
      <c r="EG113" s="37">
        <v>41912</v>
      </c>
      <c r="EH113" s="29" t="s">
        <v>348</v>
      </c>
      <c r="EI113" s="55">
        <f t="shared" si="50"/>
        <v>0.65959181208864204</v>
      </c>
      <c r="EJ113" s="54">
        <f t="shared" si="51"/>
        <v>3.7467544230420868E-2</v>
      </c>
      <c r="EK113" s="55">
        <f t="shared" si="52"/>
        <v>0.79192077773081337</v>
      </c>
      <c r="EL113" s="54">
        <f t="shared" si="53"/>
        <v>2.4092748022462411E-2</v>
      </c>
    </row>
    <row r="114" spans="1:142" ht="28.8" x14ac:dyDescent="0.3">
      <c r="A114" s="29" t="s">
        <v>355</v>
      </c>
      <c r="B114" s="29"/>
      <c r="C114" s="30">
        <v>316381</v>
      </c>
      <c r="D114" s="30">
        <v>5</v>
      </c>
      <c r="E114" s="30">
        <v>0</v>
      </c>
      <c r="F114" s="30">
        <v>50000</v>
      </c>
      <c r="G114">
        <v>68271</v>
      </c>
      <c r="H114" s="2">
        <f t="shared" si="29"/>
        <v>118271</v>
      </c>
      <c r="I114" s="1">
        <f t="shared" si="28"/>
        <v>0.37382459755800757</v>
      </c>
      <c r="J114" s="31">
        <v>1471406</v>
      </c>
      <c r="K114" s="31">
        <v>500818</v>
      </c>
      <c r="L114" s="31">
        <v>1972224</v>
      </c>
      <c r="M114" s="45">
        <f t="shared" si="30"/>
        <v>6.2336992423691688</v>
      </c>
      <c r="N114" s="31">
        <v>324462</v>
      </c>
      <c r="O114" s="31">
        <v>75465</v>
      </c>
      <c r="P114" s="31">
        <v>3390</v>
      </c>
      <c r="Q114" s="31">
        <v>403317</v>
      </c>
      <c r="R114" s="45">
        <f t="shared" si="31"/>
        <v>1.2747826196895515</v>
      </c>
      <c r="S114" s="31">
        <v>1279391</v>
      </c>
      <c r="T114" s="31">
        <v>3654932</v>
      </c>
      <c r="U114" s="31">
        <v>103097</v>
      </c>
      <c r="V114" s="31">
        <v>3758029</v>
      </c>
      <c r="W114" s="45">
        <f t="shared" si="32"/>
        <v>11.878175364513039</v>
      </c>
      <c r="X114" s="4">
        <f t="shared" si="33"/>
        <v>0.52480276229906686</v>
      </c>
      <c r="Y114" s="4">
        <f t="shared" si="34"/>
        <v>0.1073214176899646</v>
      </c>
      <c r="Z114" s="4">
        <f t="shared" si="35"/>
        <v>0.34044202426325076</v>
      </c>
      <c r="AA114" s="4">
        <f t="shared" si="36"/>
        <v>2.7433795747717753E-2</v>
      </c>
      <c r="AB114" s="31">
        <v>12000</v>
      </c>
      <c r="AC114" s="31">
        <v>403317</v>
      </c>
      <c r="AD114" s="31">
        <v>3758029</v>
      </c>
      <c r="AE114" s="31">
        <v>3733274</v>
      </c>
      <c r="AF114" s="31">
        <v>3777303</v>
      </c>
      <c r="AG114" s="31">
        <v>0</v>
      </c>
      <c r="AH114" s="31">
        <v>0</v>
      </c>
      <c r="AI114" s="31">
        <v>3777303</v>
      </c>
      <c r="AJ114" s="45">
        <f t="shared" si="37"/>
        <v>11.939095584121675</v>
      </c>
      <c r="AK114" s="31">
        <v>0</v>
      </c>
      <c r="AL114" s="31">
        <v>0</v>
      </c>
      <c r="AM114" s="31">
        <v>0</v>
      </c>
      <c r="AN114" s="31">
        <v>0</v>
      </c>
      <c r="AO114" s="31">
        <v>0</v>
      </c>
      <c r="AP114" s="31">
        <v>24756</v>
      </c>
      <c r="AQ114" s="31">
        <v>24756</v>
      </c>
      <c r="AR114" s="31">
        <v>3802059</v>
      </c>
      <c r="AS114" s="46">
        <f t="shared" si="38"/>
        <v>12.017343013644942</v>
      </c>
      <c r="AT114" s="31">
        <v>12000</v>
      </c>
      <c r="AU114" s="31">
        <v>0</v>
      </c>
      <c r="AV114" s="31">
        <v>0</v>
      </c>
      <c r="AW114" s="31">
        <v>0</v>
      </c>
      <c r="AX114" s="31">
        <v>0</v>
      </c>
      <c r="AY114" s="31">
        <v>0</v>
      </c>
      <c r="AZ114" s="31">
        <v>0</v>
      </c>
      <c r="BA114" s="31">
        <v>0</v>
      </c>
      <c r="BB114" s="31">
        <v>12000</v>
      </c>
      <c r="BC114" s="33" t="s">
        <v>25</v>
      </c>
      <c r="BD114" s="47">
        <v>206251</v>
      </c>
      <c r="BE114" s="47">
        <v>357047</v>
      </c>
      <c r="BF114" s="45">
        <f t="shared" si="39"/>
        <v>1.1285348993776492</v>
      </c>
      <c r="BG114" s="30">
        <v>7575</v>
      </c>
      <c r="BH114" s="30">
        <v>12138</v>
      </c>
      <c r="BI114" s="30">
        <v>1237</v>
      </c>
      <c r="BJ114" s="30">
        <v>9322</v>
      </c>
      <c r="BK114" s="30">
        <v>16017</v>
      </c>
      <c r="BL114" s="30">
        <v>458</v>
      </c>
      <c r="BM114" s="30">
        <v>11408</v>
      </c>
      <c r="BN114" s="30">
        <v>4</v>
      </c>
      <c r="BO114" s="30">
        <v>51</v>
      </c>
      <c r="BP114" s="30">
        <v>0</v>
      </c>
      <c r="BQ114" s="30">
        <v>55</v>
      </c>
      <c r="BR114" s="47">
        <v>223148</v>
      </c>
      <c r="BS114" s="47">
        <v>398309</v>
      </c>
      <c r="BT114" s="1">
        <f t="shared" si="40"/>
        <v>1.2589536034085484</v>
      </c>
      <c r="BU114" s="30">
        <v>257</v>
      </c>
      <c r="BV114" s="30">
        <v>258</v>
      </c>
      <c r="BW114" s="47">
        <v>115703</v>
      </c>
      <c r="BX114" s="52">
        <f t="shared" si="41"/>
        <v>0.36570780166950606</v>
      </c>
      <c r="BY114" s="47">
        <v>301531</v>
      </c>
      <c r="BZ114" s="47">
        <v>0</v>
      </c>
      <c r="CA114" s="47">
        <v>442423</v>
      </c>
      <c r="CB114" s="47">
        <v>44362</v>
      </c>
      <c r="CC114" s="47">
        <v>788316</v>
      </c>
      <c r="CD114" s="55">
        <f t="shared" si="42"/>
        <v>2.4916666930062172</v>
      </c>
      <c r="CE114" s="3">
        <f t="shared" si="43"/>
        <v>15877.462235649547</v>
      </c>
      <c r="CF114" s="55">
        <f t="shared" si="44"/>
        <v>47.898651111921254</v>
      </c>
      <c r="CG114" s="55">
        <f t="shared" si="45"/>
        <v>1.0129250363311861</v>
      </c>
      <c r="CH114" s="55">
        <f t="shared" si="46"/>
        <v>1.8677810443650533</v>
      </c>
      <c r="CI114" s="30">
        <v>1531</v>
      </c>
      <c r="CJ114" s="30">
        <v>0</v>
      </c>
      <c r="CK114" s="30">
        <v>217</v>
      </c>
      <c r="CL114" s="30">
        <v>1748</v>
      </c>
      <c r="CM114" s="30">
        <v>49763</v>
      </c>
      <c r="CN114" s="30">
        <v>0</v>
      </c>
      <c r="CO114" s="30">
        <v>5689</v>
      </c>
      <c r="CP114" s="30">
        <v>55452</v>
      </c>
      <c r="CQ114" s="1">
        <f t="shared" si="54"/>
        <v>0.17526969065778286</v>
      </c>
      <c r="CR114" s="47">
        <v>778257</v>
      </c>
      <c r="CS114" s="55">
        <f t="shared" si="47"/>
        <v>2.4598727483635239</v>
      </c>
      <c r="CT114" s="59">
        <v>179831</v>
      </c>
      <c r="CU114" s="29" t="s">
        <v>25</v>
      </c>
      <c r="CV114" s="29" t="s">
        <v>25</v>
      </c>
      <c r="CW114" s="29" t="s">
        <v>25</v>
      </c>
      <c r="CX114" s="35">
        <v>11</v>
      </c>
      <c r="CY114" s="49">
        <f t="shared" si="56"/>
        <v>28761.909090909092</v>
      </c>
      <c r="CZ114" s="35">
        <v>2</v>
      </c>
      <c r="DA114" s="35">
        <v>36.65</v>
      </c>
      <c r="DB114" s="35">
        <v>49.65</v>
      </c>
      <c r="DC114" s="49">
        <f t="shared" si="48"/>
        <v>6372.2255790533736</v>
      </c>
      <c r="DD114" s="30">
        <v>1440</v>
      </c>
      <c r="DE114" s="31">
        <v>74464</v>
      </c>
      <c r="DF114" s="35">
        <v>40</v>
      </c>
      <c r="DG114" s="29" t="s">
        <v>25</v>
      </c>
      <c r="DH114" s="29" t="s">
        <v>25</v>
      </c>
      <c r="DI114" s="29" t="s">
        <v>25</v>
      </c>
      <c r="DJ114" s="47">
        <v>146</v>
      </c>
      <c r="DK114" s="47">
        <v>2259</v>
      </c>
      <c r="DL114" s="47">
        <v>154</v>
      </c>
      <c r="DM114" s="47">
        <v>231305</v>
      </c>
      <c r="DN114" s="47">
        <v>0</v>
      </c>
      <c r="DO114" s="47">
        <v>0</v>
      </c>
      <c r="DP114" s="29" t="s">
        <v>25</v>
      </c>
      <c r="DQ114" s="47">
        <v>6348878</v>
      </c>
      <c r="DR114" s="47">
        <v>2024</v>
      </c>
      <c r="DS114" s="30">
        <v>52</v>
      </c>
      <c r="DT114" s="30">
        <v>64</v>
      </c>
      <c r="DU114" s="30">
        <v>40</v>
      </c>
      <c r="DV114" s="30">
        <v>40</v>
      </c>
      <c r="DW114">
        <f>VLOOKUP(EC114,branch!$I$4:$K$77,3,0)</f>
        <v>14434</v>
      </c>
      <c r="DX114" s="2">
        <f t="shared" si="49"/>
        <v>16458</v>
      </c>
      <c r="DY114" s="33" t="s">
        <v>2180</v>
      </c>
      <c r="DZ114" s="33" t="s">
        <v>356</v>
      </c>
      <c r="EA114" s="33" t="s">
        <v>2030</v>
      </c>
      <c r="EB114" s="33" t="s">
        <v>2027</v>
      </c>
      <c r="EC114" s="36">
        <v>88</v>
      </c>
      <c r="ED114" s="29" t="s">
        <v>353</v>
      </c>
      <c r="EE114" s="29" t="s">
        <v>354</v>
      </c>
      <c r="EF114" s="37">
        <v>41548</v>
      </c>
      <c r="EG114" s="37">
        <v>41912</v>
      </c>
      <c r="EH114" s="29" t="s">
        <v>353</v>
      </c>
      <c r="EI114" s="55">
        <f t="shared" si="50"/>
        <v>0.95306292097186618</v>
      </c>
      <c r="EJ114" s="54">
        <f t="shared" si="51"/>
        <v>0</v>
      </c>
      <c r="EK114" s="55">
        <f t="shared" si="52"/>
        <v>1.3983867552096998</v>
      </c>
      <c r="EL114" s="54">
        <f t="shared" si="53"/>
        <v>0.14021701682465129</v>
      </c>
    </row>
    <row r="115" spans="1:142" ht="28.8" x14ac:dyDescent="0.3">
      <c r="A115" s="29" t="s">
        <v>357</v>
      </c>
      <c r="B115" s="29"/>
      <c r="C115" s="30">
        <v>1551</v>
      </c>
      <c r="D115" s="30">
        <v>0</v>
      </c>
      <c r="E115" s="30">
        <v>0</v>
      </c>
      <c r="F115" s="30">
        <v>5400</v>
      </c>
      <c r="H115" s="2">
        <f t="shared" si="29"/>
        <v>5400</v>
      </c>
      <c r="I115" s="1">
        <f t="shared" si="28"/>
        <v>3.4816247582205029</v>
      </c>
      <c r="J115" s="31">
        <v>70988</v>
      </c>
      <c r="K115" s="31">
        <v>31761</v>
      </c>
      <c r="L115" s="31">
        <v>102749</v>
      </c>
      <c r="M115" s="45">
        <f t="shared" si="30"/>
        <v>66.246937459703418</v>
      </c>
      <c r="N115" s="31">
        <v>10325</v>
      </c>
      <c r="O115" s="31">
        <v>0</v>
      </c>
      <c r="P115" s="31">
        <v>2517</v>
      </c>
      <c r="Q115" s="31">
        <v>12842</v>
      </c>
      <c r="R115" s="45">
        <f t="shared" si="31"/>
        <v>8.2798194713088336</v>
      </c>
      <c r="S115" s="31">
        <v>22727</v>
      </c>
      <c r="T115" s="31">
        <v>138318</v>
      </c>
      <c r="U115" s="31">
        <v>0</v>
      </c>
      <c r="V115" s="31">
        <v>138318</v>
      </c>
      <c r="W115" s="45">
        <f t="shared" si="32"/>
        <v>89.179883945841397</v>
      </c>
      <c r="X115" s="4">
        <f t="shared" si="33"/>
        <v>0.74284619499992766</v>
      </c>
      <c r="Y115" s="4">
        <f t="shared" si="34"/>
        <v>9.2844026084819037E-2</v>
      </c>
      <c r="Z115" s="4">
        <f t="shared" si="35"/>
        <v>0.16430977891525325</v>
      </c>
      <c r="AA115" s="4">
        <f t="shared" si="36"/>
        <v>0</v>
      </c>
      <c r="AB115" s="31">
        <v>0</v>
      </c>
      <c r="AC115" s="31">
        <v>12842</v>
      </c>
      <c r="AD115" s="31">
        <v>138318</v>
      </c>
      <c r="AE115" s="31">
        <v>138318</v>
      </c>
      <c r="AF115" s="31">
        <v>138318</v>
      </c>
      <c r="AG115" s="31">
        <v>0</v>
      </c>
      <c r="AH115" s="31">
        <v>0</v>
      </c>
      <c r="AI115" s="31">
        <v>138318</v>
      </c>
      <c r="AJ115" s="45">
        <f t="shared" si="37"/>
        <v>89.179883945841397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31">
        <v>6302</v>
      </c>
      <c r="AQ115" s="31">
        <v>6302</v>
      </c>
      <c r="AR115" s="31">
        <v>144620</v>
      </c>
      <c r="AS115" s="46">
        <f t="shared" si="38"/>
        <v>93.243068987749837</v>
      </c>
      <c r="AT115" s="31">
        <v>0</v>
      </c>
      <c r="AU115" s="31">
        <v>0</v>
      </c>
      <c r="AV115" s="31">
        <v>0</v>
      </c>
      <c r="AW115" s="31">
        <v>0</v>
      </c>
      <c r="AX115" s="31">
        <v>0</v>
      </c>
      <c r="AY115" s="31">
        <v>0</v>
      </c>
      <c r="AZ115" s="31">
        <v>0</v>
      </c>
      <c r="BA115" s="31">
        <v>0</v>
      </c>
      <c r="BB115" s="31">
        <v>0</v>
      </c>
      <c r="BC115" s="33" t="s">
        <v>25</v>
      </c>
      <c r="BD115" s="47">
        <v>21331</v>
      </c>
      <c r="BE115" s="47">
        <v>21634</v>
      </c>
      <c r="BF115" s="45">
        <f t="shared" si="39"/>
        <v>13.948420373952288</v>
      </c>
      <c r="BG115" s="30">
        <v>548</v>
      </c>
      <c r="BH115" s="30">
        <v>3348</v>
      </c>
      <c r="BI115" s="30">
        <v>0</v>
      </c>
      <c r="BJ115" s="30">
        <v>1043</v>
      </c>
      <c r="BK115" s="30">
        <v>1050</v>
      </c>
      <c r="BL115" s="30">
        <v>0</v>
      </c>
      <c r="BM115" s="30">
        <v>0</v>
      </c>
      <c r="BN115" s="30">
        <v>0</v>
      </c>
      <c r="BO115" s="30">
        <v>51</v>
      </c>
      <c r="BP115" s="30">
        <v>0</v>
      </c>
      <c r="BQ115" s="30">
        <v>51</v>
      </c>
      <c r="BR115" s="47">
        <v>22922</v>
      </c>
      <c r="BS115" s="47">
        <v>26032</v>
      </c>
      <c r="BT115" s="1">
        <f t="shared" si="40"/>
        <v>16.784010315925208</v>
      </c>
      <c r="BU115" s="30">
        <v>19</v>
      </c>
      <c r="BV115" s="30">
        <v>0</v>
      </c>
      <c r="BW115" s="47">
        <v>7046</v>
      </c>
      <c r="BX115" s="52">
        <f t="shared" si="41"/>
        <v>4.5428755641521601</v>
      </c>
      <c r="BY115" s="47">
        <v>1159</v>
      </c>
      <c r="BZ115" s="47">
        <v>0</v>
      </c>
      <c r="CA115" s="47">
        <v>4330</v>
      </c>
      <c r="CB115" s="47">
        <v>0</v>
      </c>
      <c r="CC115" s="47">
        <v>5489</v>
      </c>
      <c r="CD115" s="55">
        <f t="shared" si="42"/>
        <v>3.5390070921985815</v>
      </c>
      <c r="CE115" s="3">
        <f t="shared" si="43"/>
        <v>1829.6666666666667</v>
      </c>
      <c r="CF115" s="55">
        <f t="shared" si="44"/>
        <v>2.975067750677507</v>
      </c>
      <c r="CG115" s="55">
        <f t="shared" si="45"/>
        <v>0.43078009731596295</v>
      </c>
      <c r="CH115" s="55">
        <f t="shared" si="46"/>
        <v>0.21085586969883222</v>
      </c>
      <c r="CI115" s="30">
        <v>7</v>
      </c>
      <c r="CJ115" s="30">
        <v>0</v>
      </c>
      <c r="CK115" s="30">
        <v>0</v>
      </c>
      <c r="CL115" s="30">
        <v>7</v>
      </c>
      <c r="CM115" s="30">
        <v>248</v>
      </c>
      <c r="CN115" s="30">
        <v>0</v>
      </c>
      <c r="CO115" s="30">
        <v>0</v>
      </c>
      <c r="CP115" s="30">
        <v>248</v>
      </c>
      <c r="CQ115" s="1">
        <f t="shared" si="54"/>
        <v>0.15989684074790458</v>
      </c>
      <c r="CR115" s="47">
        <v>12742</v>
      </c>
      <c r="CS115" s="55">
        <f t="shared" si="47"/>
        <v>8.2153449387491939</v>
      </c>
      <c r="CT115" s="59">
        <v>4510</v>
      </c>
      <c r="CU115" s="29" t="s">
        <v>25</v>
      </c>
      <c r="CV115" s="29" t="s">
        <v>25</v>
      </c>
      <c r="CW115" s="29" t="s">
        <v>25</v>
      </c>
      <c r="CX115" s="35">
        <v>0</v>
      </c>
      <c r="CY115" s="49">
        <v>0</v>
      </c>
      <c r="CZ115" s="35">
        <v>3</v>
      </c>
      <c r="DA115" s="35">
        <v>0</v>
      </c>
      <c r="DB115" s="35">
        <v>3</v>
      </c>
      <c r="DC115" s="49">
        <f t="shared" si="48"/>
        <v>517</v>
      </c>
      <c r="DD115" s="30">
        <v>21</v>
      </c>
      <c r="DE115" s="31">
        <v>28893</v>
      </c>
      <c r="DF115" s="35">
        <v>40</v>
      </c>
      <c r="DG115" s="29" t="s">
        <v>25</v>
      </c>
      <c r="DH115" s="29" t="s">
        <v>26</v>
      </c>
      <c r="DI115" s="29" t="s">
        <v>26</v>
      </c>
      <c r="DJ115" s="47">
        <v>0</v>
      </c>
      <c r="DK115" s="47">
        <v>0</v>
      </c>
      <c r="DL115" s="47">
        <v>9</v>
      </c>
      <c r="DM115" s="47">
        <v>5180</v>
      </c>
      <c r="DN115" s="47">
        <v>364</v>
      </c>
      <c r="DO115" s="47">
        <v>785</v>
      </c>
      <c r="DP115" s="29" t="s">
        <v>2028</v>
      </c>
      <c r="DQ115" s="47">
        <v>0</v>
      </c>
      <c r="DR115" s="47">
        <v>1845</v>
      </c>
      <c r="DS115" s="30">
        <v>49</v>
      </c>
      <c r="DT115" s="30">
        <v>37</v>
      </c>
      <c r="DU115" s="30">
        <v>37</v>
      </c>
      <c r="DV115" s="30">
        <v>37</v>
      </c>
      <c r="DX115" s="2">
        <f t="shared" si="49"/>
        <v>1845</v>
      </c>
      <c r="DY115" s="33" t="s">
        <v>2185</v>
      </c>
      <c r="DZ115" s="33" t="s">
        <v>360</v>
      </c>
      <c r="EA115" s="33" t="s">
        <v>2030</v>
      </c>
      <c r="EB115" s="33" t="s">
        <v>2027</v>
      </c>
      <c r="EC115" s="36">
        <v>89</v>
      </c>
      <c r="ED115" s="29" t="s">
        <v>358</v>
      </c>
      <c r="EE115" s="29" t="s">
        <v>359</v>
      </c>
      <c r="EF115" s="37">
        <v>41548</v>
      </c>
      <c r="EG115" s="37">
        <v>41912</v>
      </c>
      <c r="EH115" s="29" t="s">
        <v>358</v>
      </c>
      <c r="EI115" s="55">
        <f t="shared" si="50"/>
        <v>0.74725983236621529</v>
      </c>
      <c r="EJ115" s="54">
        <f t="shared" si="51"/>
        <v>0</v>
      </c>
      <c r="EK115" s="55">
        <f t="shared" si="52"/>
        <v>2.7917472598323663</v>
      </c>
      <c r="EL115" s="54">
        <f t="shared" si="53"/>
        <v>0</v>
      </c>
    </row>
    <row r="116" spans="1:142" ht="28.8" x14ac:dyDescent="0.3">
      <c r="A116" s="29" t="s">
        <v>361</v>
      </c>
      <c r="B116" s="29"/>
      <c r="C116" s="30">
        <v>48038</v>
      </c>
      <c r="D116" s="30">
        <v>0</v>
      </c>
      <c r="E116" s="30">
        <v>0</v>
      </c>
      <c r="F116" s="30">
        <v>17500</v>
      </c>
      <c r="H116" s="2">
        <f t="shared" si="29"/>
        <v>17500</v>
      </c>
      <c r="I116" s="1">
        <f t="shared" si="28"/>
        <v>0.36429493317790085</v>
      </c>
      <c r="J116" s="31">
        <v>232313</v>
      </c>
      <c r="K116" s="31">
        <v>77688</v>
      </c>
      <c r="L116" s="31">
        <v>310001</v>
      </c>
      <c r="M116" s="45">
        <f t="shared" si="30"/>
        <v>6.453245347433282</v>
      </c>
      <c r="N116" s="31">
        <v>41901</v>
      </c>
      <c r="O116" s="31">
        <v>5525</v>
      </c>
      <c r="P116" s="31">
        <v>5141</v>
      </c>
      <c r="Q116" s="31">
        <v>52567</v>
      </c>
      <c r="R116" s="45">
        <f t="shared" si="31"/>
        <v>1.0942795287064406</v>
      </c>
      <c r="S116" s="31">
        <v>91458</v>
      </c>
      <c r="T116" s="31">
        <v>454026</v>
      </c>
      <c r="U116" s="31">
        <v>58571</v>
      </c>
      <c r="V116" s="31">
        <v>512597</v>
      </c>
      <c r="W116" s="45">
        <f t="shared" si="32"/>
        <v>10.670656563553854</v>
      </c>
      <c r="X116" s="4">
        <f t="shared" si="33"/>
        <v>0.60476553705932734</v>
      </c>
      <c r="Y116" s="4">
        <f t="shared" si="34"/>
        <v>0.1025503465685519</v>
      </c>
      <c r="Z116" s="4">
        <f t="shared" si="35"/>
        <v>0.17842086473389426</v>
      </c>
      <c r="AA116" s="4">
        <f t="shared" si="36"/>
        <v>0.11426325163822652</v>
      </c>
      <c r="AB116" s="31">
        <v>0</v>
      </c>
      <c r="AC116" s="31">
        <v>52567</v>
      </c>
      <c r="AD116" s="31">
        <v>512597</v>
      </c>
      <c r="AE116" s="31">
        <v>512597</v>
      </c>
      <c r="AF116" s="31">
        <v>411150</v>
      </c>
      <c r="AG116" s="31">
        <v>30000</v>
      </c>
      <c r="AH116" s="31">
        <v>0</v>
      </c>
      <c r="AI116" s="31">
        <v>441150</v>
      </c>
      <c r="AJ116" s="45">
        <f t="shared" si="37"/>
        <v>9.1833548440817694</v>
      </c>
      <c r="AK116" s="31">
        <v>0</v>
      </c>
      <c r="AL116" s="31">
        <v>0</v>
      </c>
      <c r="AM116" s="31">
        <v>0</v>
      </c>
      <c r="AN116" s="31">
        <v>0</v>
      </c>
      <c r="AO116" s="31">
        <v>0</v>
      </c>
      <c r="AP116" s="31">
        <v>13105</v>
      </c>
      <c r="AQ116" s="31">
        <v>13105</v>
      </c>
      <c r="AR116" s="31">
        <v>454255</v>
      </c>
      <c r="AS116" s="46">
        <f t="shared" si="38"/>
        <v>9.4561597068987044</v>
      </c>
      <c r="AT116" s="31">
        <v>0</v>
      </c>
      <c r="AU116" s="31">
        <v>0</v>
      </c>
      <c r="AV116" s="31">
        <v>0</v>
      </c>
      <c r="AW116" s="31">
        <v>0</v>
      </c>
      <c r="AX116" s="31">
        <v>0</v>
      </c>
      <c r="AY116" s="31">
        <v>0</v>
      </c>
      <c r="AZ116" s="31">
        <v>0</v>
      </c>
      <c r="BA116" s="31">
        <v>0</v>
      </c>
      <c r="BB116" s="31">
        <v>0</v>
      </c>
      <c r="BC116" s="33" t="s">
        <v>25</v>
      </c>
      <c r="BD116" s="47">
        <v>80471</v>
      </c>
      <c r="BE116" s="47">
        <v>83126</v>
      </c>
      <c r="BF116" s="45">
        <f t="shared" si="39"/>
        <v>1.7304217494483534</v>
      </c>
      <c r="BG116" s="30">
        <v>1491</v>
      </c>
      <c r="BH116" s="30">
        <v>1591</v>
      </c>
      <c r="BI116" s="30">
        <v>1137</v>
      </c>
      <c r="BJ116" s="30">
        <v>2118</v>
      </c>
      <c r="BK116" s="30">
        <v>2318</v>
      </c>
      <c r="BL116" s="30">
        <v>43</v>
      </c>
      <c r="BM116" s="30">
        <v>8320</v>
      </c>
      <c r="BN116" s="30">
        <v>1</v>
      </c>
      <c r="BO116" s="30">
        <v>51</v>
      </c>
      <c r="BP116" s="30">
        <v>0</v>
      </c>
      <c r="BQ116" s="30">
        <v>52</v>
      </c>
      <c r="BR116" s="47">
        <v>84080</v>
      </c>
      <c r="BS116" s="47">
        <v>96536</v>
      </c>
      <c r="BT116" s="1">
        <f t="shared" si="40"/>
        <v>2.0095757525292477</v>
      </c>
      <c r="BU116" s="30">
        <v>63</v>
      </c>
      <c r="BV116" s="30">
        <v>0</v>
      </c>
      <c r="BW116" s="47">
        <v>21555</v>
      </c>
      <c r="BX116" s="52">
        <f t="shared" si="41"/>
        <v>0.44870727340855154</v>
      </c>
      <c r="BY116" s="47">
        <v>29261</v>
      </c>
      <c r="BZ116" s="47">
        <v>0</v>
      </c>
      <c r="CA116" s="47">
        <v>74372</v>
      </c>
      <c r="CB116" s="47">
        <v>4140</v>
      </c>
      <c r="CC116" s="47">
        <v>107773</v>
      </c>
      <c r="CD116" s="55">
        <f t="shared" si="42"/>
        <v>2.2434947333361088</v>
      </c>
      <c r="CE116" s="3">
        <f t="shared" si="43"/>
        <v>14613.28813559322</v>
      </c>
      <c r="CF116" s="55">
        <f t="shared" si="44"/>
        <v>43.178285256410255</v>
      </c>
      <c r="CG116" s="55">
        <f t="shared" si="45"/>
        <v>1.3398935773429146</v>
      </c>
      <c r="CH116" s="55">
        <f t="shared" si="46"/>
        <v>1.073516615563106</v>
      </c>
      <c r="CI116" s="30">
        <v>62</v>
      </c>
      <c r="CJ116" s="30">
        <v>0</v>
      </c>
      <c r="CK116" s="30">
        <v>5</v>
      </c>
      <c r="CL116" s="30">
        <v>67</v>
      </c>
      <c r="CM116" s="30">
        <v>3842</v>
      </c>
      <c r="CN116" s="30">
        <v>0</v>
      </c>
      <c r="CO116" s="30">
        <v>85</v>
      </c>
      <c r="CP116" s="30">
        <v>3927</v>
      </c>
      <c r="CQ116" s="1">
        <f t="shared" si="54"/>
        <v>8.174778300512095E-2</v>
      </c>
      <c r="CR116" s="47">
        <v>80434</v>
      </c>
      <c r="CS116" s="55">
        <f t="shared" si="47"/>
        <v>1.67438278029893</v>
      </c>
      <c r="CT116" s="59">
        <v>9881</v>
      </c>
      <c r="CU116" s="29" t="s">
        <v>25</v>
      </c>
      <c r="CV116" s="29" t="s">
        <v>25</v>
      </c>
      <c r="CW116" s="29" t="s">
        <v>25</v>
      </c>
      <c r="CX116" s="35">
        <v>2.5</v>
      </c>
      <c r="CY116" s="49">
        <f>C116/CX116</f>
        <v>19215.2</v>
      </c>
      <c r="CZ116" s="35">
        <v>4.875</v>
      </c>
      <c r="DA116" s="35">
        <v>0</v>
      </c>
      <c r="DB116" s="35">
        <v>7.375</v>
      </c>
      <c r="DC116" s="49">
        <f t="shared" si="48"/>
        <v>6513.6271186440681</v>
      </c>
      <c r="DD116" s="30">
        <v>4995</v>
      </c>
      <c r="DE116" s="31">
        <v>54590</v>
      </c>
      <c r="DF116" s="35">
        <v>40</v>
      </c>
      <c r="DG116" s="29" t="s">
        <v>25</v>
      </c>
      <c r="DH116" s="29" t="s">
        <v>25</v>
      </c>
      <c r="DI116" s="29" t="s">
        <v>25</v>
      </c>
      <c r="DJ116" s="47">
        <v>701</v>
      </c>
      <c r="DK116" s="47">
        <v>570</v>
      </c>
      <c r="DL116" s="47">
        <v>14</v>
      </c>
      <c r="DM116" s="47">
        <v>14767</v>
      </c>
      <c r="DN116" s="47">
        <v>1794</v>
      </c>
      <c r="DO116" s="47">
        <v>12487</v>
      </c>
      <c r="DP116" s="29" t="s">
        <v>2028</v>
      </c>
      <c r="DQ116" s="47">
        <v>0</v>
      </c>
      <c r="DR116" s="47">
        <v>2496</v>
      </c>
      <c r="DS116" s="30">
        <v>52</v>
      </c>
      <c r="DT116" s="30">
        <v>50</v>
      </c>
      <c r="DU116" s="30">
        <v>50</v>
      </c>
      <c r="DV116" s="30">
        <v>50</v>
      </c>
      <c r="DX116" s="2">
        <f t="shared" si="49"/>
        <v>2496</v>
      </c>
      <c r="DY116" s="33" t="s">
        <v>2182</v>
      </c>
      <c r="DZ116" s="33" t="s">
        <v>364</v>
      </c>
      <c r="EA116" s="33" t="s">
        <v>2030</v>
      </c>
      <c r="EB116" s="33" t="s">
        <v>2027</v>
      </c>
      <c r="EC116" s="36">
        <v>90</v>
      </c>
      <c r="ED116" s="29" t="s">
        <v>362</v>
      </c>
      <c r="EE116" s="29" t="s">
        <v>363</v>
      </c>
      <c r="EF116" s="37">
        <v>41548</v>
      </c>
      <c r="EG116" s="37">
        <v>41912</v>
      </c>
      <c r="EH116" s="29" t="s">
        <v>362</v>
      </c>
      <c r="EI116" s="55">
        <f t="shared" si="50"/>
        <v>0.60912194512677464</v>
      </c>
      <c r="EJ116" s="54">
        <f t="shared" si="51"/>
        <v>0</v>
      </c>
      <c r="EK116" s="55">
        <f t="shared" si="52"/>
        <v>1.5481910154461052</v>
      </c>
      <c r="EL116" s="54">
        <f t="shared" si="53"/>
        <v>8.6181772763229109E-2</v>
      </c>
    </row>
    <row r="117" spans="1:142" ht="28.8" x14ac:dyDescent="0.3">
      <c r="A117" s="29" t="s">
        <v>365</v>
      </c>
      <c r="B117" s="29"/>
      <c r="C117" s="30">
        <v>7369</v>
      </c>
      <c r="D117" s="30">
        <v>1</v>
      </c>
      <c r="E117" s="30">
        <v>0</v>
      </c>
      <c r="F117" s="30">
        <v>5600</v>
      </c>
      <c r="G117">
        <v>1000</v>
      </c>
      <c r="H117" s="2">
        <f t="shared" si="29"/>
        <v>6600</v>
      </c>
      <c r="I117" s="1">
        <f t="shared" si="28"/>
        <v>0.89564391369249563</v>
      </c>
      <c r="J117" s="31">
        <v>38898</v>
      </c>
      <c r="K117" s="31">
        <v>2976</v>
      </c>
      <c r="L117" s="31">
        <v>41874</v>
      </c>
      <c r="M117" s="45">
        <f t="shared" si="30"/>
        <v>5.6824535215090242</v>
      </c>
      <c r="N117" s="31">
        <v>12087</v>
      </c>
      <c r="O117" s="31">
        <v>2000</v>
      </c>
      <c r="P117" s="31">
        <v>296</v>
      </c>
      <c r="Q117" s="31">
        <v>14383</v>
      </c>
      <c r="R117" s="45">
        <f t="shared" si="31"/>
        <v>1.9518252137332066</v>
      </c>
      <c r="S117" s="31">
        <v>39525</v>
      </c>
      <c r="T117" s="31">
        <v>95782</v>
      </c>
      <c r="U117" s="31">
        <v>0</v>
      </c>
      <c r="V117" s="31">
        <v>95782</v>
      </c>
      <c r="W117" s="45">
        <f t="shared" si="32"/>
        <v>12.997964445650698</v>
      </c>
      <c r="X117" s="4">
        <f t="shared" si="33"/>
        <v>0.43718026351506545</v>
      </c>
      <c r="Y117" s="4">
        <f t="shared" si="34"/>
        <v>0.15016391388778685</v>
      </c>
      <c r="Z117" s="4">
        <f t="shared" si="35"/>
        <v>0.41265582259714767</v>
      </c>
      <c r="AA117" s="4">
        <f t="shared" si="36"/>
        <v>0</v>
      </c>
      <c r="AB117" s="31">
        <v>18200</v>
      </c>
      <c r="AC117" s="31">
        <v>14383</v>
      </c>
      <c r="AD117" s="31">
        <v>95782</v>
      </c>
      <c r="AE117" s="31">
        <v>76200</v>
      </c>
      <c r="AF117" s="31">
        <v>37200</v>
      </c>
      <c r="AG117" s="31">
        <v>39000</v>
      </c>
      <c r="AH117" s="31">
        <v>0</v>
      </c>
      <c r="AI117" s="31">
        <v>76200</v>
      </c>
      <c r="AJ117" s="45">
        <f t="shared" si="37"/>
        <v>10.340616094449722</v>
      </c>
      <c r="AK117" s="31">
        <v>0</v>
      </c>
      <c r="AL117" s="31">
        <v>0</v>
      </c>
      <c r="AM117" s="31">
        <v>0</v>
      </c>
      <c r="AN117" s="31">
        <v>0</v>
      </c>
      <c r="AO117" s="31">
        <v>0</v>
      </c>
      <c r="AP117" s="31">
        <v>19582</v>
      </c>
      <c r="AQ117" s="31">
        <v>19582</v>
      </c>
      <c r="AR117" s="31">
        <v>95782</v>
      </c>
      <c r="AS117" s="46">
        <f t="shared" si="38"/>
        <v>12.997964445650698</v>
      </c>
      <c r="AT117" s="31">
        <v>0</v>
      </c>
      <c r="AU117" s="31">
        <v>0</v>
      </c>
      <c r="AV117" s="31">
        <v>0</v>
      </c>
      <c r="AW117" s="31">
        <v>0</v>
      </c>
      <c r="AX117" s="31">
        <v>0</v>
      </c>
      <c r="AY117" s="31">
        <v>0</v>
      </c>
      <c r="AZ117" s="31">
        <v>0</v>
      </c>
      <c r="BA117" s="31">
        <v>18200</v>
      </c>
      <c r="BB117" s="31">
        <v>18200</v>
      </c>
      <c r="BC117" s="33" t="s">
        <v>25</v>
      </c>
      <c r="BD117" s="47">
        <v>16033</v>
      </c>
      <c r="BE117" s="47">
        <v>16511</v>
      </c>
      <c r="BF117" s="45">
        <f t="shared" si="39"/>
        <v>2.240602524087393</v>
      </c>
      <c r="BG117" s="30">
        <v>847</v>
      </c>
      <c r="BH117" s="30">
        <v>870</v>
      </c>
      <c r="BI117" s="30">
        <v>1040</v>
      </c>
      <c r="BJ117" s="30">
        <v>2404</v>
      </c>
      <c r="BK117" s="30">
        <v>2404</v>
      </c>
      <c r="BL117" s="30">
        <v>200</v>
      </c>
      <c r="BM117" s="30">
        <v>15946</v>
      </c>
      <c r="BN117" s="30">
        <v>0</v>
      </c>
      <c r="BO117" s="30">
        <v>51</v>
      </c>
      <c r="BP117" s="30">
        <v>0</v>
      </c>
      <c r="BQ117" s="30">
        <v>51</v>
      </c>
      <c r="BR117" s="47">
        <v>19284</v>
      </c>
      <c r="BS117" s="47">
        <v>36971</v>
      </c>
      <c r="BT117" s="1">
        <f t="shared" si="40"/>
        <v>5.0170986565341291</v>
      </c>
      <c r="BU117" s="30">
        <v>14</v>
      </c>
      <c r="BV117" s="30">
        <v>0</v>
      </c>
      <c r="BW117" s="47">
        <v>912</v>
      </c>
      <c r="BX117" s="52">
        <f t="shared" si="41"/>
        <v>0.12376170443750849</v>
      </c>
      <c r="BY117" s="47">
        <v>5580</v>
      </c>
      <c r="BZ117" s="47">
        <v>24</v>
      </c>
      <c r="CA117" s="47">
        <v>8499</v>
      </c>
      <c r="CB117" s="47">
        <v>614</v>
      </c>
      <c r="CC117" s="47">
        <v>14717</v>
      </c>
      <c r="CD117" s="55">
        <f t="shared" si="42"/>
        <v>1.9971502239109784</v>
      </c>
      <c r="CE117" s="3">
        <f t="shared" si="43"/>
        <v>6689.545454545454</v>
      </c>
      <c r="CF117" s="55">
        <f t="shared" si="44"/>
        <v>6.2439541790411539</v>
      </c>
      <c r="CG117" s="55">
        <f t="shared" si="45"/>
        <v>0.59582995951417006</v>
      </c>
      <c r="CH117" s="55">
        <f t="shared" si="46"/>
        <v>0.38081198777420139</v>
      </c>
      <c r="CI117" s="30">
        <v>37</v>
      </c>
      <c r="CJ117" s="30">
        <v>0</v>
      </c>
      <c r="CK117" s="30">
        <v>0</v>
      </c>
      <c r="CL117" s="30">
        <v>37</v>
      </c>
      <c r="CM117" s="30">
        <v>491</v>
      </c>
      <c r="CN117" s="30">
        <v>0</v>
      </c>
      <c r="CO117" s="30">
        <v>0</v>
      </c>
      <c r="CP117" s="30">
        <v>491</v>
      </c>
      <c r="CQ117" s="1">
        <f t="shared" si="54"/>
        <v>6.6630479033790199E-2</v>
      </c>
      <c r="CR117" s="47">
        <v>24700</v>
      </c>
      <c r="CS117" s="55">
        <f t="shared" si="47"/>
        <v>3.3518794951825215</v>
      </c>
      <c r="CT117" s="59">
        <v>3714</v>
      </c>
      <c r="CU117" s="29" t="s">
        <v>25</v>
      </c>
      <c r="CV117" s="29" t="s">
        <v>25</v>
      </c>
      <c r="CW117" s="29" t="s">
        <v>25</v>
      </c>
      <c r="CX117" s="35">
        <v>0</v>
      </c>
      <c r="CY117" s="49">
        <v>0</v>
      </c>
      <c r="CZ117" s="35">
        <v>0.72499999999999998</v>
      </c>
      <c r="DA117" s="35">
        <v>1.4750000000000001</v>
      </c>
      <c r="DB117" s="35">
        <v>2.2000000000000002</v>
      </c>
      <c r="DC117" s="49">
        <f t="shared" si="48"/>
        <v>3349.545454545454</v>
      </c>
      <c r="DD117" s="30">
        <v>778</v>
      </c>
      <c r="DE117" s="31">
        <v>17103</v>
      </c>
      <c r="DF117" s="35">
        <v>29</v>
      </c>
      <c r="DG117" s="29" t="s">
        <v>25</v>
      </c>
      <c r="DH117" s="29" t="s">
        <v>25</v>
      </c>
      <c r="DI117" s="29" t="s">
        <v>25</v>
      </c>
      <c r="DJ117" s="47">
        <v>54</v>
      </c>
      <c r="DK117" s="47">
        <v>278</v>
      </c>
      <c r="DL117" s="47">
        <v>12</v>
      </c>
      <c r="DM117" s="47">
        <v>3739</v>
      </c>
      <c r="DN117" s="47">
        <v>203</v>
      </c>
      <c r="DO117" s="47">
        <v>1903</v>
      </c>
      <c r="DP117" s="29" t="s">
        <v>2028</v>
      </c>
      <c r="DQ117" s="47">
        <v>0</v>
      </c>
      <c r="DR117" s="47">
        <v>1477</v>
      </c>
      <c r="DS117" s="30">
        <v>52</v>
      </c>
      <c r="DT117" s="30">
        <v>40</v>
      </c>
      <c r="DU117" s="30">
        <v>29</v>
      </c>
      <c r="DV117" s="30">
        <v>29</v>
      </c>
      <c r="DW117">
        <f>VLOOKUP(EC117,branch!$I$4:$K$77,3,0)</f>
        <v>880</v>
      </c>
      <c r="DX117" s="2">
        <f t="shared" si="49"/>
        <v>2357</v>
      </c>
      <c r="DY117" s="33" t="s">
        <v>2187</v>
      </c>
      <c r="DZ117" s="33" t="s">
        <v>368</v>
      </c>
      <c r="EA117" s="33" t="s">
        <v>2030</v>
      </c>
      <c r="EB117" s="33" t="s">
        <v>2027</v>
      </c>
      <c r="EC117" s="36">
        <v>91</v>
      </c>
      <c r="ED117" s="29" t="s">
        <v>366</v>
      </c>
      <c r="EE117" s="29" t="s">
        <v>367</v>
      </c>
      <c r="EF117" s="37">
        <v>41640</v>
      </c>
      <c r="EG117" s="37">
        <v>42004</v>
      </c>
      <c r="EH117" s="29" t="s">
        <v>366</v>
      </c>
      <c r="EI117" s="55">
        <f t="shared" si="50"/>
        <v>0.75722621794001899</v>
      </c>
      <c r="EJ117" s="54">
        <f t="shared" si="51"/>
        <v>3.2568869588818022E-3</v>
      </c>
      <c r="EK117" s="55">
        <f t="shared" si="52"/>
        <v>1.1533450943140182</v>
      </c>
      <c r="EL117" s="54">
        <f t="shared" si="53"/>
        <v>8.3322024698059438E-2</v>
      </c>
    </row>
    <row r="118" spans="1:142" ht="43.2" x14ac:dyDescent="0.3">
      <c r="A118" s="29" t="s">
        <v>1677</v>
      </c>
      <c r="B118" s="29"/>
      <c r="C118" s="30">
        <v>12583</v>
      </c>
      <c r="D118" s="30">
        <v>0</v>
      </c>
      <c r="E118" s="30">
        <v>0</v>
      </c>
      <c r="F118" s="30">
        <v>6973</v>
      </c>
      <c r="H118" s="2">
        <f t="shared" si="29"/>
        <v>6973</v>
      </c>
      <c r="I118" s="1">
        <f t="shared" si="28"/>
        <v>0.55416037510927441</v>
      </c>
      <c r="J118" s="31">
        <v>106037</v>
      </c>
      <c r="K118" s="31">
        <v>9224</v>
      </c>
      <c r="L118" s="31">
        <v>115261</v>
      </c>
      <c r="M118" s="45">
        <f t="shared" si="30"/>
        <v>9.1600572200588086</v>
      </c>
      <c r="N118" s="31">
        <v>12215</v>
      </c>
      <c r="O118" s="31">
        <v>4662</v>
      </c>
      <c r="P118" s="31">
        <v>2040</v>
      </c>
      <c r="Q118" s="31">
        <v>18917</v>
      </c>
      <c r="R118" s="45">
        <f t="shared" si="31"/>
        <v>1.5033775729158387</v>
      </c>
      <c r="S118" s="31">
        <v>2989</v>
      </c>
      <c r="T118" s="31">
        <v>137167</v>
      </c>
      <c r="U118" s="31">
        <v>0</v>
      </c>
      <c r="V118" s="31">
        <v>137167</v>
      </c>
      <c r="W118" s="45">
        <f t="shared" si="32"/>
        <v>10.900977509337995</v>
      </c>
      <c r="X118" s="4">
        <f t="shared" si="33"/>
        <v>0.8402968644061618</v>
      </c>
      <c r="Y118" s="4">
        <f t="shared" si="34"/>
        <v>0.13791218004330488</v>
      </c>
      <c r="Z118" s="4">
        <f t="shared" si="35"/>
        <v>2.179095555053329E-2</v>
      </c>
      <c r="AA118" s="4">
        <f t="shared" si="36"/>
        <v>0</v>
      </c>
      <c r="AB118" s="31">
        <v>0</v>
      </c>
      <c r="AC118" s="31">
        <v>18917</v>
      </c>
      <c r="AD118" s="31">
        <v>137167</v>
      </c>
      <c r="AE118" s="31">
        <v>136778</v>
      </c>
      <c r="AF118" s="31">
        <v>3800</v>
      </c>
      <c r="AG118" s="31">
        <v>4000</v>
      </c>
      <c r="AH118" s="31">
        <v>128978</v>
      </c>
      <c r="AI118" s="31">
        <v>136778</v>
      </c>
      <c r="AJ118" s="45">
        <f t="shared" si="37"/>
        <v>10.870062783120083</v>
      </c>
      <c r="AK118" s="31">
        <v>0</v>
      </c>
      <c r="AL118" s="31">
        <v>0</v>
      </c>
      <c r="AM118" s="31">
        <v>0</v>
      </c>
      <c r="AN118" s="31">
        <v>0</v>
      </c>
      <c r="AO118" s="31">
        <v>0</v>
      </c>
      <c r="AP118" s="31">
        <v>389</v>
      </c>
      <c r="AQ118" s="31">
        <v>389</v>
      </c>
      <c r="AR118" s="31">
        <v>137167</v>
      </c>
      <c r="AS118" s="46">
        <f t="shared" si="38"/>
        <v>10.900977509337995</v>
      </c>
      <c r="AT118" s="31">
        <v>0</v>
      </c>
      <c r="AU118" s="31">
        <v>0</v>
      </c>
      <c r="AV118" s="31">
        <v>0</v>
      </c>
      <c r="AW118" s="31">
        <v>0</v>
      </c>
      <c r="AX118" s="31">
        <v>0</v>
      </c>
      <c r="AY118" s="31">
        <v>0</v>
      </c>
      <c r="AZ118" s="31">
        <v>0</v>
      </c>
      <c r="BA118" s="31">
        <v>0</v>
      </c>
      <c r="BB118" s="31">
        <v>0</v>
      </c>
      <c r="BC118" s="33" t="s">
        <v>25</v>
      </c>
      <c r="BD118" s="47">
        <v>33286</v>
      </c>
      <c r="BE118" s="47">
        <v>35319</v>
      </c>
      <c r="BF118" s="45">
        <f t="shared" si="39"/>
        <v>2.8068823015179212</v>
      </c>
      <c r="BG118" s="30">
        <v>645</v>
      </c>
      <c r="BH118" s="30">
        <v>657</v>
      </c>
      <c r="BI118" s="30">
        <v>0</v>
      </c>
      <c r="BJ118" s="30">
        <v>487</v>
      </c>
      <c r="BK118" s="30">
        <v>509</v>
      </c>
      <c r="BL118" s="30">
        <v>0</v>
      </c>
      <c r="BM118" s="30">
        <v>113</v>
      </c>
      <c r="BN118" s="30">
        <v>2</v>
      </c>
      <c r="BO118" s="30">
        <v>51</v>
      </c>
      <c r="BP118" s="30">
        <v>25</v>
      </c>
      <c r="BQ118" s="30">
        <v>78</v>
      </c>
      <c r="BR118" s="47">
        <v>34418</v>
      </c>
      <c r="BS118" s="47">
        <v>36600</v>
      </c>
      <c r="BT118" s="1">
        <f t="shared" si="40"/>
        <v>2.9086863228164983</v>
      </c>
      <c r="BU118" s="30">
        <v>20</v>
      </c>
      <c r="BV118" s="30">
        <v>0</v>
      </c>
      <c r="BW118" s="47">
        <v>5714</v>
      </c>
      <c r="BX118" s="52">
        <f t="shared" si="41"/>
        <v>0.45410474449654298</v>
      </c>
      <c r="BY118" s="47">
        <v>13744</v>
      </c>
      <c r="BZ118" s="47">
        <v>11</v>
      </c>
      <c r="CA118" s="47">
        <v>14591</v>
      </c>
      <c r="CB118" s="47">
        <v>37</v>
      </c>
      <c r="CC118" s="47">
        <v>28383</v>
      </c>
      <c r="CD118" s="55">
        <f t="shared" si="42"/>
        <v>2.2556624016530238</v>
      </c>
      <c r="CE118" s="3">
        <f t="shared" si="43"/>
        <v>11353.2</v>
      </c>
      <c r="CF118" s="55">
        <f t="shared" si="44"/>
        <v>13.535050071530758</v>
      </c>
      <c r="CG118" s="55">
        <f t="shared" si="45"/>
        <v>0.9750592600226734</v>
      </c>
      <c r="CH118" s="55">
        <f t="shared" si="46"/>
        <v>0.77418032786885249</v>
      </c>
      <c r="CI118" s="30">
        <v>24</v>
      </c>
      <c r="CJ118" s="30">
        <v>2</v>
      </c>
      <c r="CK118" s="30">
        <v>0</v>
      </c>
      <c r="CL118" s="30">
        <v>26</v>
      </c>
      <c r="CM118" s="30">
        <v>1026</v>
      </c>
      <c r="CN118" s="30">
        <v>41</v>
      </c>
      <c r="CO118" s="30">
        <v>0</v>
      </c>
      <c r="CP118" s="30">
        <v>1067</v>
      </c>
      <c r="CQ118" s="1">
        <f t="shared" si="54"/>
        <v>8.4796948263530153E-2</v>
      </c>
      <c r="CR118" s="47">
        <v>29109</v>
      </c>
      <c r="CS118" s="55">
        <f t="shared" si="47"/>
        <v>2.3133592942859416</v>
      </c>
      <c r="CT118" s="59">
        <v>4274</v>
      </c>
      <c r="CU118" s="29" t="s">
        <v>25</v>
      </c>
      <c r="CV118" s="29" t="s">
        <v>25</v>
      </c>
      <c r="CW118" s="29" t="s">
        <v>25</v>
      </c>
      <c r="CX118" s="35">
        <v>0</v>
      </c>
      <c r="CY118" s="49">
        <v>0</v>
      </c>
      <c r="CZ118" s="35">
        <v>1</v>
      </c>
      <c r="DA118" s="35">
        <v>1.5</v>
      </c>
      <c r="DB118" s="35">
        <v>2.5</v>
      </c>
      <c r="DC118" s="49">
        <f t="shared" si="48"/>
        <v>5033.2</v>
      </c>
      <c r="DD118" s="30">
        <v>43</v>
      </c>
      <c r="DE118" s="31">
        <v>71712</v>
      </c>
      <c r="DF118" s="35">
        <v>40</v>
      </c>
      <c r="DG118" s="29" t="s">
        <v>25</v>
      </c>
      <c r="DH118" s="29" t="s">
        <v>26</v>
      </c>
      <c r="DI118" s="29" t="s">
        <v>26</v>
      </c>
      <c r="DJ118" s="47">
        <v>0</v>
      </c>
      <c r="DK118" s="47">
        <v>0</v>
      </c>
      <c r="DL118" s="47">
        <v>45</v>
      </c>
      <c r="DM118" s="47">
        <v>2572</v>
      </c>
      <c r="DN118" s="47">
        <v>143</v>
      </c>
      <c r="DO118" s="47">
        <v>0</v>
      </c>
      <c r="DP118" s="29" t="s">
        <v>2028</v>
      </c>
      <c r="DQ118" s="47">
        <v>0</v>
      </c>
      <c r="DR118" s="47">
        <v>2097</v>
      </c>
      <c r="DS118" s="30">
        <v>48</v>
      </c>
      <c r="DT118" s="30">
        <v>51</v>
      </c>
      <c r="DU118" s="30">
        <v>51</v>
      </c>
      <c r="DV118" s="30">
        <v>39</v>
      </c>
      <c r="DX118" s="2">
        <f t="shared" si="49"/>
        <v>2097</v>
      </c>
      <c r="DY118" s="33" t="s">
        <v>2182</v>
      </c>
      <c r="DZ118" s="33" t="s">
        <v>1679</v>
      </c>
      <c r="EA118" s="33" t="s">
        <v>2035</v>
      </c>
      <c r="EB118" s="33" t="s">
        <v>2027</v>
      </c>
      <c r="EC118" s="36">
        <v>571</v>
      </c>
      <c r="ED118" s="29" t="s">
        <v>1678</v>
      </c>
      <c r="EE118" s="29" t="s">
        <v>736</v>
      </c>
      <c r="EF118" s="37">
        <v>41518</v>
      </c>
      <c r="EG118" s="37">
        <v>41882</v>
      </c>
      <c r="EH118" s="29" t="s">
        <v>1678</v>
      </c>
      <c r="EI118" s="55">
        <f t="shared" si="50"/>
        <v>1.0922673448303266</v>
      </c>
      <c r="EJ118" s="54">
        <f t="shared" si="51"/>
        <v>8.7419534292299136E-4</v>
      </c>
      <c r="EK118" s="55">
        <f t="shared" si="52"/>
        <v>1.1595803862353971</v>
      </c>
      <c r="EL118" s="54">
        <f t="shared" si="53"/>
        <v>2.9404752443773345E-3</v>
      </c>
    </row>
    <row r="119" spans="1:142" ht="28.8" x14ac:dyDescent="0.3">
      <c r="A119" s="29" t="s">
        <v>369</v>
      </c>
      <c r="B119" s="29"/>
      <c r="C119" s="30">
        <v>4773</v>
      </c>
      <c r="D119" s="30">
        <v>0</v>
      </c>
      <c r="E119" s="30">
        <v>0</v>
      </c>
      <c r="F119" s="30">
        <v>5226</v>
      </c>
      <c r="H119" s="2">
        <f t="shared" si="29"/>
        <v>5226</v>
      </c>
      <c r="I119" s="1">
        <f t="shared" si="28"/>
        <v>1.0949088623507228</v>
      </c>
      <c r="J119" s="31">
        <v>87828</v>
      </c>
      <c r="K119" s="31">
        <v>40601</v>
      </c>
      <c r="L119" s="31">
        <v>128429</v>
      </c>
      <c r="M119" s="45">
        <f t="shared" si="30"/>
        <v>26.907395767860883</v>
      </c>
      <c r="N119" s="31">
        <v>18550</v>
      </c>
      <c r="O119" s="31">
        <v>1680</v>
      </c>
      <c r="P119" s="31">
        <v>8380</v>
      </c>
      <c r="Q119" s="31">
        <v>28610</v>
      </c>
      <c r="R119" s="45">
        <f t="shared" si="31"/>
        <v>5.9941336685522728</v>
      </c>
      <c r="S119" s="31">
        <v>27003</v>
      </c>
      <c r="T119" s="31">
        <v>184042</v>
      </c>
      <c r="U119" s="31">
        <v>0</v>
      </c>
      <c r="V119" s="31">
        <v>184042</v>
      </c>
      <c r="W119" s="45">
        <f t="shared" si="32"/>
        <v>38.558977582233396</v>
      </c>
      <c r="X119" s="4">
        <f t="shared" si="33"/>
        <v>0.69782440964562442</v>
      </c>
      <c r="Y119" s="4">
        <f t="shared" si="34"/>
        <v>0.1554536464502668</v>
      </c>
      <c r="Z119" s="4">
        <f t="shared" si="35"/>
        <v>0.14672194390410884</v>
      </c>
      <c r="AA119" s="4">
        <f t="shared" si="36"/>
        <v>0</v>
      </c>
      <c r="AB119" s="31">
        <v>0</v>
      </c>
      <c r="AC119" s="31">
        <v>28610</v>
      </c>
      <c r="AD119" s="31">
        <v>184042</v>
      </c>
      <c r="AE119" s="31">
        <v>184042</v>
      </c>
      <c r="AF119" s="31">
        <v>0</v>
      </c>
      <c r="AG119" s="31">
        <v>184042</v>
      </c>
      <c r="AH119" s="31">
        <v>0</v>
      </c>
      <c r="AI119" s="31">
        <v>184042</v>
      </c>
      <c r="AJ119" s="45">
        <f t="shared" si="37"/>
        <v>38.558977582233396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0</v>
      </c>
      <c r="AQ119" s="31">
        <v>0</v>
      </c>
      <c r="AR119" s="31">
        <v>184042</v>
      </c>
      <c r="AS119" s="46">
        <f t="shared" si="38"/>
        <v>38.558977582233396</v>
      </c>
      <c r="AT119" s="31">
        <v>0</v>
      </c>
      <c r="AU119" s="31">
        <v>0</v>
      </c>
      <c r="AV119" s="31">
        <v>0</v>
      </c>
      <c r="AW119" s="31">
        <v>0</v>
      </c>
      <c r="AX119" s="31">
        <v>0</v>
      </c>
      <c r="AY119" s="31">
        <v>0</v>
      </c>
      <c r="AZ119" s="31">
        <v>0</v>
      </c>
      <c r="BA119" s="31">
        <v>0</v>
      </c>
      <c r="BB119" s="31">
        <v>0</v>
      </c>
      <c r="BC119" s="33" t="s">
        <v>25</v>
      </c>
      <c r="BD119" s="47">
        <v>21187</v>
      </c>
      <c r="BE119" s="47">
        <v>21963</v>
      </c>
      <c r="BF119" s="45">
        <f t="shared" si="39"/>
        <v>4.6015084852294157</v>
      </c>
      <c r="BG119" s="30">
        <v>227</v>
      </c>
      <c r="BH119" s="30">
        <v>304</v>
      </c>
      <c r="BI119" s="30">
        <v>0</v>
      </c>
      <c r="BJ119" s="30">
        <v>1248</v>
      </c>
      <c r="BK119" s="30">
        <v>1280</v>
      </c>
      <c r="BL119" s="30">
        <v>0</v>
      </c>
      <c r="BM119" s="30">
        <v>610</v>
      </c>
      <c r="BN119" s="30">
        <v>1</v>
      </c>
      <c r="BO119" s="30">
        <v>51</v>
      </c>
      <c r="BP119" s="30">
        <v>0</v>
      </c>
      <c r="BQ119" s="30">
        <v>52</v>
      </c>
      <c r="BR119" s="47">
        <v>22662</v>
      </c>
      <c r="BS119" s="47">
        <v>24158</v>
      </c>
      <c r="BT119" s="1">
        <f t="shared" si="40"/>
        <v>5.0613869683637125</v>
      </c>
      <c r="BU119" s="30">
        <v>25</v>
      </c>
      <c r="BV119" s="30">
        <v>0</v>
      </c>
      <c r="BW119" s="47">
        <v>12400</v>
      </c>
      <c r="BX119" s="52">
        <f t="shared" si="41"/>
        <v>2.5979467839932955</v>
      </c>
      <c r="BY119" s="47">
        <v>12445</v>
      </c>
      <c r="BZ119" s="47">
        <v>0</v>
      </c>
      <c r="CA119" s="47">
        <v>12822</v>
      </c>
      <c r="CB119" s="47">
        <v>456</v>
      </c>
      <c r="CC119" s="47">
        <v>25723</v>
      </c>
      <c r="CD119" s="55">
        <f t="shared" si="42"/>
        <v>5.3892729939241564</v>
      </c>
      <c r="CE119" s="3">
        <f t="shared" si="43"/>
        <v>6430.75</v>
      </c>
      <c r="CF119" s="55">
        <f t="shared" si="44"/>
        <v>14.732531500572737</v>
      </c>
      <c r="CG119" s="55">
        <f t="shared" si="45"/>
        <v>2.7481837606837605</v>
      </c>
      <c r="CH119" s="55">
        <f t="shared" si="46"/>
        <v>1.0459061180561304</v>
      </c>
      <c r="CI119" s="30">
        <v>7</v>
      </c>
      <c r="CJ119" s="30">
        <v>0</v>
      </c>
      <c r="CK119" s="30">
        <v>0</v>
      </c>
      <c r="CL119" s="30">
        <v>7</v>
      </c>
      <c r="CM119" s="30">
        <v>700</v>
      </c>
      <c r="CN119" s="30">
        <v>0</v>
      </c>
      <c r="CO119" s="30">
        <v>0</v>
      </c>
      <c r="CP119" s="30">
        <v>700</v>
      </c>
      <c r="CQ119" s="1">
        <f t="shared" si="54"/>
        <v>0.14665828619316992</v>
      </c>
      <c r="CR119" s="47">
        <v>9360</v>
      </c>
      <c r="CS119" s="55">
        <f t="shared" si="47"/>
        <v>1.9610307982401005</v>
      </c>
      <c r="CT119" s="59">
        <v>1906</v>
      </c>
      <c r="CU119" s="29" t="s">
        <v>25</v>
      </c>
      <c r="CV119" s="29" t="s">
        <v>25</v>
      </c>
      <c r="CW119" s="29" t="s">
        <v>25</v>
      </c>
      <c r="CX119" s="35">
        <v>0</v>
      </c>
      <c r="CY119" s="49">
        <v>0</v>
      </c>
      <c r="CZ119" s="35">
        <v>1</v>
      </c>
      <c r="DA119" s="35">
        <v>3</v>
      </c>
      <c r="DB119" s="35">
        <v>4</v>
      </c>
      <c r="DC119" s="49">
        <f t="shared" si="48"/>
        <v>1193.25</v>
      </c>
      <c r="DD119" s="30">
        <v>94</v>
      </c>
      <c r="DE119" s="31">
        <v>52276</v>
      </c>
      <c r="DF119" s="35">
        <v>40</v>
      </c>
      <c r="DG119" s="29" t="s">
        <v>25</v>
      </c>
      <c r="DH119" s="29" t="s">
        <v>25</v>
      </c>
      <c r="DI119" s="29" t="s">
        <v>25</v>
      </c>
      <c r="DJ119" s="47">
        <v>139</v>
      </c>
      <c r="DK119" s="47">
        <v>40</v>
      </c>
      <c r="DL119" s="47">
        <v>13</v>
      </c>
      <c r="DM119" s="47">
        <v>3000</v>
      </c>
      <c r="DN119" s="47">
        <v>42</v>
      </c>
      <c r="DO119" s="47">
        <v>1660</v>
      </c>
      <c r="DP119" s="29" t="s">
        <v>83</v>
      </c>
      <c r="DQ119" s="47">
        <v>0</v>
      </c>
      <c r="DR119" s="47">
        <v>1746</v>
      </c>
      <c r="DS119" s="30">
        <v>52</v>
      </c>
      <c r="DT119" s="30">
        <v>36</v>
      </c>
      <c r="DU119" s="30">
        <v>36</v>
      </c>
      <c r="DV119" s="30">
        <v>36</v>
      </c>
      <c r="DX119" s="2">
        <f t="shared" si="49"/>
        <v>1746</v>
      </c>
      <c r="DY119" s="33" t="s">
        <v>2178</v>
      </c>
      <c r="DZ119" s="33" t="s">
        <v>371</v>
      </c>
      <c r="EA119" s="33" t="s">
        <v>2031</v>
      </c>
      <c r="EB119" s="33" t="s">
        <v>2027</v>
      </c>
      <c r="EC119" s="36">
        <v>92</v>
      </c>
      <c r="ED119" s="29" t="s">
        <v>370</v>
      </c>
      <c r="EE119" s="29" t="s">
        <v>369</v>
      </c>
      <c r="EF119" s="37">
        <v>41548</v>
      </c>
      <c r="EG119" s="37">
        <v>41912</v>
      </c>
      <c r="EH119" s="29" t="s">
        <v>370</v>
      </c>
      <c r="EI119" s="55">
        <f t="shared" si="50"/>
        <v>2.6073748166771424</v>
      </c>
      <c r="EJ119" s="54">
        <f t="shared" si="51"/>
        <v>0</v>
      </c>
      <c r="EK119" s="55">
        <f t="shared" si="52"/>
        <v>2.6863607793840352</v>
      </c>
      <c r="EL119" s="54">
        <f t="shared" si="53"/>
        <v>9.5537397862979254E-2</v>
      </c>
    </row>
    <row r="120" spans="1:142" ht="43.2" x14ac:dyDescent="0.3">
      <c r="A120" s="29" t="s">
        <v>372</v>
      </c>
      <c r="B120" s="29"/>
      <c r="C120" s="30">
        <v>6621</v>
      </c>
      <c r="D120" s="30">
        <v>0</v>
      </c>
      <c r="E120" s="30">
        <v>0</v>
      </c>
      <c r="F120" s="30">
        <v>14676</v>
      </c>
      <c r="H120" s="2">
        <f t="shared" si="29"/>
        <v>14676</v>
      </c>
      <c r="I120" s="1">
        <f t="shared" si="28"/>
        <v>2.2165835976438606</v>
      </c>
      <c r="J120" s="31">
        <v>81240</v>
      </c>
      <c r="K120" s="31">
        <v>20224</v>
      </c>
      <c r="L120" s="31">
        <v>101464</v>
      </c>
      <c r="M120" s="45">
        <f t="shared" si="30"/>
        <v>15.324573327291949</v>
      </c>
      <c r="N120" s="31">
        <v>21937</v>
      </c>
      <c r="O120" s="31">
        <v>2389</v>
      </c>
      <c r="P120" s="31">
        <v>1159</v>
      </c>
      <c r="Q120" s="31">
        <v>25485</v>
      </c>
      <c r="R120" s="45">
        <f t="shared" si="31"/>
        <v>3.8491164476665158</v>
      </c>
      <c r="S120" s="31">
        <v>25258</v>
      </c>
      <c r="T120" s="31">
        <v>152207</v>
      </c>
      <c r="U120" s="31">
        <v>0</v>
      </c>
      <c r="V120" s="31">
        <v>152207</v>
      </c>
      <c r="W120" s="45">
        <f t="shared" si="32"/>
        <v>22.98852137139405</v>
      </c>
      <c r="X120" s="4">
        <f t="shared" si="33"/>
        <v>0.66661848666618484</v>
      </c>
      <c r="Y120" s="4">
        <f t="shared" si="34"/>
        <v>0.16743645167436452</v>
      </c>
      <c r="Z120" s="4">
        <f t="shared" si="35"/>
        <v>0.16594506165945061</v>
      </c>
      <c r="AA120" s="4">
        <f t="shared" si="36"/>
        <v>0</v>
      </c>
      <c r="AB120" s="31">
        <v>0</v>
      </c>
      <c r="AC120" s="31">
        <v>25485</v>
      </c>
      <c r="AD120" s="31">
        <v>152207</v>
      </c>
      <c r="AE120" s="31">
        <v>126543</v>
      </c>
      <c r="AF120" s="31">
        <v>126543</v>
      </c>
      <c r="AG120" s="31">
        <v>0</v>
      </c>
      <c r="AH120" s="31">
        <v>0</v>
      </c>
      <c r="AI120" s="31">
        <v>126543</v>
      </c>
      <c r="AJ120" s="45">
        <f t="shared" si="37"/>
        <v>19.112369732668782</v>
      </c>
      <c r="AK120" s="31">
        <v>0</v>
      </c>
      <c r="AL120" s="31">
        <v>0</v>
      </c>
      <c r="AM120" s="31">
        <v>0</v>
      </c>
      <c r="AN120" s="31">
        <v>0</v>
      </c>
      <c r="AO120" s="31">
        <v>0</v>
      </c>
      <c r="AP120" s="31">
        <v>59486</v>
      </c>
      <c r="AQ120" s="31">
        <v>59486</v>
      </c>
      <c r="AR120" s="31">
        <v>186029</v>
      </c>
      <c r="AS120" s="46">
        <f t="shared" si="38"/>
        <v>28.096813170215981</v>
      </c>
      <c r="AT120" s="31">
        <v>0</v>
      </c>
      <c r="AU120" s="31">
        <v>0</v>
      </c>
      <c r="AV120" s="31">
        <v>0</v>
      </c>
      <c r="AW120" s="31">
        <v>0</v>
      </c>
      <c r="AX120" s="31">
        <v>0</v>
      </c>
      <c r="AY120" s="31">
        <v>0</v>
      </c>
      <c r="AZ120" s="31">
        <v>0</v>
      </c>
      <c r="BA120" s="31">
        <v>0</v>
      </c>
      <c r="BB120" s="31">
        <v>0</v>
      </c>
      <c r="BC120" s="33" t="s">
        <v>25</v>
      </c>
      <c r="BD120" s="47">
        <v>34433</v>
      </c>
      <c r="BE120" s="47">
        <v>36877</v>
      </c>
      <c r="BF120" s="45">
        <f t="shared" si="39"/>
        <v>5.5697024618637672</v>
      </c>
      <c r="BG120" s="30">
        <v>525</v>
      </c>
      <c r="BH120" s="30">
        <v>539</v>
      </c>
      <c r="BI120" s="30">
        <v>586</v>
      </c>
      <c r="BJ120" s="30">
        <v>2279</v>
      </c>
      <c r="BK120" s="30">
        <v>2292</v>
      </c>
      <c r="BL120" s="30">
        <v>57</v>
      </c>
      <c r="BM120" s="30">
        <v>4230</v>
      </c>
      <c r="BN120" s="30">
        <v>0</v>
      </c>
      <c r="BO120" s="30">
        <v>51</v>
      </c>
      <c r="BP120" s="30">
        <v>0</v>
      </c>
      <c r="BQ120" s="30">
        <v>51</v>
      </c>
      <c r="BR120" s="47">
        <v>37237</v>
      </c>
      <c r="BS120" s="47">
        <v>44581</v>
      </c>
      <c r="BT120" s="1">
        <f t="shared" si="40"/>
        <v>6.7332729194985648</v>
      </c>
      <c r="BU120" s="30">
        <v>44</v>
      </c>
      <c r="BV120" s="30">
        <v>0</v>
      </c>
      <c r="BW120" s="47">
        <v>9324</v>
      </c>
      <c r="BX120" s="52">
        <f t="shared" si="41"/>
        <v>1.4082464884458541</v>
      </c>
      <c r="BY120" s="47">
        <v>5821</v>
      </c>
      <c r="BZ120" s="47">
        <v>65</v>
      </c>
      <c r="CA120" s="47">
        <v>35213</v>
      </c>
      <c r="CB120" s="47">
        <v>1136</v>
      </c>
      <c r="CC120" s="47">
        <v>42235</v>
      </c>
      <c r="CD120" s="55">
        <f t="shared" si="42"/>
        <v>6.3789457785832955</v>
      </c>
      <c r="CE120" s="3">
        <f t="shared" si="43"/>
        <v>16401.941747572815</v>
      </c>
      <c r="CF120" s="55">
        <f t="shared" si="44"/>
        <v>20.562317429406036</v>
      </c>
      <c r="CG120" s="55">
        <f t="shared" si="45"/>
        <v>1.1208566651628142</v>
      </c>
      <c r="CH120" s="55">
        <f t="shared" si="46"/>
        <v>0.92043695744824028</v>
      </c>
      <c r="CI120" s="30">
        <v>45</v>
      </c>
      <c r="CJ120" s="30">
        <v>4</v>
      </c>
      <c r="CK120" s="30">
        <v>8</v>
      </c>
      <c r="CL120" s="30">
        <v>57</v>
      </c>
      <c r="CM120" s="30">
        <v>251</v>
      </c>
      <c r="CN120" s="30">
        <v>42</v>
      </c>
      <c r="CO120" s="30">
        <v>93</v>
      </c>
      <c r="CP120" s="30">
        <v>386</v>
      </c>
      <c r="CQ120" s="1">
        <f t="shared" si="54"/>
        <v>5.829935055127624E-2</v>
      </c>
      <c r="CR120" s="47">
        <v>37681</v>
      </c>
      <c r="CS120" s="55">
        <f t="shared" si="47"/>
        <v>5.6911342697477725</v>
      </c>
      <c r="CT120" s="59">
        <v>5360</v>
      </c>
      <c r="CU120" s="29" t="s">
        <v>25</v>
      </c>
      <c r="CV120" s="29" t="s">
        <v>25</v>
      </c>
      <c r="CW120" s="29" t="s">
        <v>25</v>
      </c>
      <c r="CX120" s="35">
        <v>0</v>
      </c>
      <c r="CY120" s="49">
        <v>0</v>
      </c>
      <c r="CZ120" s="35">
        <v>1</v>
      </c>
      <c r="DA120" s="35">
        <v>1.575</v>
      </c>
      <c r="DB120" s="35">
        <v>2.5750000000000002</v>
      </c>
      <c r="DC120" s="49">
        <f t="shared" si="48"/>
        <v>2571.2621359223299</v>
      </c>
      <c r="DD120" s="30">
        <v>632</v>
      </c>
      <c r="DE120" s="31">
        <v>26197</v>
      </c>
      <c r="DF120" s="35">
        <v>40</v>
      </c>
      <c r="DG120" s="29" t="s">
        <v>25</v>
      </c>
      <c r="DH120" s="29" t="s">
        <v>25</v>
      </c>
      <c r="DI120" s="29" t="s">
        <v>25</v>
      </c>
      <c r="DJ120" s="47">
        <v>5</v>
      </c>
      <c r="DK120" s="47">
        <v>99</v>
      </c>
      <c r="DL120" s="47">
        <v>21</v>
      </c>
      <c r="DM120" s="47">
        <v>11852</v>
      </c>
      <c r="DN120" s="47">
        <v>426</v>
      </c>
      <c r="DO120" s="47">
        <v>1053</v>
      </c>
      <c r="DP120" s="29" t="s">
        <v>25</v>
      </c>
      <c r="DQ120" s="47">
        <v>64380</v>
      </c>
      <c r="DR120" s="47">
        <v>2054</v>
      </c>
      <c r="DS120" s="30">
        <v>52</v>
      </c>
      <c r="DT120" s="30">
        <v>44</v>
      </c>
      <c r="DU120" s="30">
        <v>44</v>
      </c>
      <c r="DV120" s="30">
        <v>44</v>
      </c>
      <c r="DX120" s="2">
        <f t="shared" si="49"/>
        <v>2054</v>
      </c>
      <c r="DY120" s="33" t="s">
        <v>2185</v>
      </c>
      <c r="DZ120" s="33" t="s">
        <v>376</v>
      </c>
      <c r="EA120" s="33" t="s">
        <v>2030</v>
      </c>
      <c r="EB120" s="33" t="s">
        <v>2027</v>
      </c>
      <c r="EC120" s="36">
        <v>93</v>
      </c>
      <c r="ED120" s="29" t="s">
        <v>373</v>
      </c>
      <c r="EE120" s="29" t="s">
        <v>374</v>
      </c>
      <c r="EF120" s="37">
        <v>41548</v>
      </c>
      <c r="EG120" s="37">
        <v>41912</v>
      </c>
      <c r="EH120" s="29" t="s">
        <v>373</v>
      </c>
      <c r="EI120" s="55">
        <f t="shared" si="50"/>
        <v>0.87917233046367615</v>
      </c>
      <c r="EJ120" s="54">
        <f t="shared" si="51"/>
        <v>9.81724814982631E-3</v>
      </c>
      <c r="EK120" s="55">
        <f t="shared" si="52"/>
        <v>5.318380909228213</v>
      </c>
      <c r="EL120" s="54">
        <f t="shared" si="53"/>
        <v>0.17157529074157982</v>
      </c>
    </row>
    <row r="121" spans="1:142" ht="28.8" x14ac:dyDescent="0.3">
      <c r="A121" s="29" t="s">
        <v>377</v>
      </c>
      <c r="B121" s="29"/>
      <c r="C121" s="30">
        <v>5991</v>
      </c>
      <c r="D121" s="30">
        <v>2</v>
      </c>
      <c r="E121" s="30">
        <v>0</v>
      </c>
      <c r="F121" s="30">
        <v>6230</v>
      </c>
      <c r="G121">
        <v>5305</v>
      </c>
      <c r="H121" s="2">
        <f t="shared" si="29"/>
        <v>11535</v>
      </c>
      <c r="I121" s="1">
        <f t="shared" si="28"/>
        <v>1.9253880821231848</v>
      </c>
      <c r="J121" s="31">
        <v>47930</v>
      </c>
      <c r="K121" s="31">
        <v>17610</v>
      </c>
      <c r="L121" s="31">
        <v>65540</v>
      </c>
      <c r="M121" s="45">
        <f t="shared" si="30"/>
        <v>10.939742947754965</v>
      </c>
      <c r="N121" s="31">
        <v>4271</v>
      </c>
      <c r="O121" s="31">
        <v>1500</v>
      </c>
      <c r="P121" s="31">
        <v>38</v>
      </c>
      <c r="Q121" s="31">
        <v>5809</v>
      </c>
      <c r="R121" s="45">
        <f t="shared" si="31"/>
        <v>0.9696210983141379</v>
      </c>
      <c r="S121" s="31">
        <v>12994</v>
      </c>
      <c r="T121" s="31">
        <v>84343</v>
      </c>
      <c r="U121" s="31">
        <v>0</v>
      </c>
      <c r="V121" s="31">
        <v>84343</v>
      </c>
      <c r="W121" s="45">
        <f t="shared" si="32"/>
        <v>14.078284092805875</v>
      </c>
      <c r="X121" s="4">
        <f t="shared" si="33"/>
        <v>0.77706507949681658</v>
      </c>
      <c r="Y121" s="4">
        <f t="shared" si="34"/>
        <v>6.8873528330744699E-2</v>
      </c>
      <c r="Z121" s="4">
        <f t="shared" si="35"/>
        <v>0.15406139217243872</v>
      </c>
      <c r="AA121" s="4">
        <f t="shared" si="36"/>
        <v>0</v>
      </c>
      <c r="AB121" s="31">
        <v>17350</v>
      </c>
      <c r="AC121" s="31">
        <v>5809</v>
      </c>
      <c r="AD121" s="31">
        <v>84343</v>
      </c>
      <c r="AE121" s="31">
        <v>81772</v>
      </c>
      <c r="AF121" s="31">
        <v>5648</v>
      </c>
      <c r="AG121" s="31">
        <v>83319</v>
      </c>
      <c r="AH121" s="31">
        <v>0</v>
      </c>
      <c r="AI121" s="31">
        <v>88967</v>
      </c>
      <c r="AJ121" s="45">
        <f t="shared" si="37"/>
        <v>14.85010849607745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2572</v>
      </c>
      <c r="AQ121" s="31">
        <v>2572</v>
      </c>
      <c r="AR121" s="31">
        <v>91539</v>
      </c>
      <c r="AS121" s="46">
        <f t="shared" si="38"/>
        <v>15.279419128693039</v>
      </c>
      <c r="AT121" s="31">
        <v>0</v>
      </c>
      <c r="AU121" s="31">
        <v>0</v>
      </c>
      <c r="AV121" s="31">
        <v>0</v>
      </c>
      <c r="AW121" s="31">
        <v>0</v>
      </c>
      <c r="AX121" s="31">
        <v>0</v>
      </c>
      <c r="AY121" s="31">
        <v>0</v>
      </c>
      <c r="AZ121" s="31">
        <v>17350</v>
      </c>
      <c r="BA121" s="31">
        <v>0</v>
      </c>
      <c r="BB121" s="31">
        <v>17350</v>
      </c>
      <c r="BC121" s="33" t="s">
        <v>25</v>
      </c>
      <c r="BD121" s="47">
        <v>23952</v>
      </c>
      <c r="BE121" s="47">
        <v>24441</v>
      </c>
      <c r="BF121" s="45">
        <f t="shared" si="39"/>
        <v>4.0796194291437153</v>
      </c>
      <c r="BG121" s="30">
        <v>559</v>
      </c>
      <c r="BH121" s="30">
        <v>570</v>
      </c>
      <c r="BI121" s="30">
        <v>0</v>
      </c>
      <c r="BJ121" s="30">
        <v>687</v>
      </c>
      <c r="BK121" s="30">
        <v>701</v>
      </c>
      <c r="BL121" s="30">
        <v>0</v>
      </c>
      <c r="BM121" s="30">
        <v>23</v>
      </c>
      <c r="BN121" s="30">
        <v>0</v>
      </c>
      <c r="BO121" s="30">
        <v>51</v>
      </c>
      <c r="BP121" s="30">
        <v>0</v>
      </c>
      <c r="BQ121" s="30">
        <v>51</v>
      </c>
      <c r="BR121" s="47">
        <v>25198</v>
      </c>
      <c r="BS121" s="47">
        <v>25735</v>
      </c>
      <c r="BT121" s="1">
        <f t="shared" si="40"/>
        <v>4.2956100817893503</v>
      </c>
      <c r="BU121" s="30">
        <v>30</v>
      </c>
      <c r="BV121" s="30">
        <v>0</v>
      </c>
      <c r="BW121" s="47">
        <v>1555</v>
      </c>
      <c r="BX121" s="52">
        <f t="shared" si="41"/>
        <v>0.25955600066766815</v>
      </c>
      <c r="BY121" s="47">
        <v>2201</v>
      </c>
      <c r="BZ121" s="47">
        <v>15</v>
      </c>
      <c r="CA121" s="47">
        <v>9829</v>
      </c>
      <c r="CB121" s="47">
        <v>494</v>
      </c>
      <c r="CC121" s="47">
        <v>12539</v>
      </c>
      <c r="CD121" s="55">
        <f t="shared" si="42"/>
        <v>2.0929727925221164</v>
      </c>
      <c r="CE121" s="3">
        <f t="shared" si="43"/>
        <v>4644.0740740740739</v>
      </c>
      <c r="CF121" s="55">
        <f t="shared" si="44"/>
        <v>3.3304116865869853</v>
      </c>
      <c r="CG121" s="55">
        <f t="shared" si="45"/>
        <v>1.5975283475601987</v>
      </c>
      <c r="CH121" s="55">
        <f t="shared" si="46"/>
        <v>0.46745677093452498</v>
      </c>
      <c r="CI121" s="30">
        <v>25</v>
      </c>
      <c r="CJ121" s="30">
        <v>0</v>
      </c>
      <c r="CK121" s="30">
        <v>2</v>
      </c>
      <c r="CL121" s="30">
        <v>27</v>
      </c>
      <c r="CM121" s="30">
        <v>687</v>
      </c>
      <c r="CN121" s="30">
        <v>0</v>
      </c>
      <c r="CO121" s="30">
        <v>16</v>
      </c>
      <c r="CP121" s="30">
        <v>703</v>
      </c>
      <c r="CQ121" s="1">
        <f t="shared" si="54"/>
        <v>0.11734268068769821</v>
      </c>
      <c r="CR121" s="47">
        <v>7849</v>
      </c>
      <c r="CS121" s="55">
        <f t="shared" si="47"/>
        <v>1.3101318644633617</v>
      </c>
      <c r="CT121" s="59">
        <v>1221</v>
      </c>
      <c r="CU121" s="29" t="s">
        <v>25</v>
      </c>
      <c r="CV121" s="29" t="s">
        <v>25</v>
      </c>
      <c r="CW121" s="29" t="s">
        <v>25</v>
      </c>
      <c r="CX121" s="35">
        <v>0</v>
      </c>
      <c r="CY121" s="49">
        <v>0</v>
      </c>
      <c r="CZ121" s="35">
        <v>2.7</v>
      </c>
      <c r="DA121" s="35">
        <v>0</v>
      </c>
      <c r="DB121" s="35">
        <v>2.7</v>
      </c>
      <c r="DC121" s="49">
        <f t="shared" si="48"/>
        <v>2218.8888888888887</v>
      </c>
      <c r="DD121" s="30">
        <v>292</v>
      </c>
      <c r="DE121" s="31">
        <v>17873</v>
      </c>
      <c r="DF121" s="35">
        <v>28</v>
      </c>
      <c r="DG121" s="29" t="s">
        <v>25</v>
      </c>
      <c r="DH121" s="29" t="s">
        <v>25</v>
      </c>
      <c r="DI121" s="29" t="s">
        <v>25</v>
      </c>
      <c r="DJ121" s="47">
        <v>9</v>
      </c>
      <c r="DK121" s="47">
        <v>18</v>
      </c>
      <c r="DL121" s="47">
        <v>14</v>
      </c>
      <c r="DM121" s="47">
        <v>2071</v>
      </c>
      <c r="DN121" s="47">
        <v>156</v>
      </c>
      <c r="DO121" s="47">
        <v>1294</v>
      </c>
      <c r="DP121" s="29" t="s">
        <v>2028</v>
      </c>
      <c r="DQ121" s="47">
        <v>0</v>
      </c>
      <c r="DR121" s="47">
        <v>1358</v>
      </c>
      <c r="DS121" s="30">
        <v>51</v>
      </c>
      <c r="DT121" s="30">
        <v>36</v>
      </c>
      <c r="DU121" s="30">
        <v>28</v>
      </c>
      <c r="DV121" s="30">
        <v>28</v>
      </c>
      <c r="DW121">
        <f>VLOOKUP(EC121,branch!$I$4:$K$77,3,0)</f>
        <v>2407</v>
      </c>
      <c r="DX121" s="2">
        <f t="shared" si="49"/>
        <v>3765</v>
      </c>
      <c r="DY121" s="33" t="s">
        <v>2178</v>
      </c>
      <c r="DZ121" s="33" t="s">
        <v>380</v>
      </c>
      <c r="EA121" s="33" t="s">
        <v>2031</v>
      </c>
      <c r="EB121" s="33" t="s">
        <v>2027</v>
      </c>
      <c r="EC121" s="36">
        <v>94</v>
      </c>
      <c r="ED121" s="29" t="s">
        <v>378</v>
      </c>
      <c r="EE121" s="29" t="s">
        <v>379</v>
      </c>
      <c r="EF121" s="37">
        <v>41548</v>
      </c>
      <c r="EG121" s="37">
        <v>41912</v>
      </c>
      <c r="EH121" s="29" t="s">
        <v>378</v>
      </c>
      <c r="EI121" s="55">
        <f t="shared" si="50"/>
        <v>0.36738440994825572</v>
      </c>
      <c r="EJ121" s="54">
        <f t="shared" si="51"/>
        <v>2.5037556334501754E-3</v>
      </c>
      <c r="EK121" s="55">
        <f t="shared" si="52"/>
        <v>1.6406276080787849</v>
      </c>
      <c r="EL121" s="54">
        <f t="shared" si="53"/>
        <v>8.2457018861625778E-2</v>
      </c>
    </row>
    <row r="122" spans="1:142" ht="28.8" x14ac:dyDescent="0.3">
      <c r="A122" s="29" t="s">
        <v>382</v>
      </c>
      <c r="B122" s="29"/>
      <c r="C122" s="30">
        <v>2127</v>
      </c>
      <c r="D122" s="30">
        <v>0</v>
      </c>
      <c r="E122" s="30">
        <v>0</v>
      </c>
      <c r="F122" s="30">
        <v>4248</v>
      </c>
      <c r="H122" s="2">
        <f t="shared" si="29"/>
        <v>4248</v>
      </c>
      <c r="I122" s="1">
        <f t="shared" si="28"/>
        <v>1.997179125528914</v>
      </c>
      <c r="J122" s="31">
        <v>10936</v>
      </c>
      <c r="K122" s="31">
        <v>925</v>
      </c>
      <c r="L122" s="31">
        <v>11861</v>
      </c>
      <c r="M122" s="45">
        <f t="shared" si="30"/>
        <v>5.5763986835919139</v>
      </c>
      <c r="N122" s="31">
        <v>5917</v>
      </c>
      <c r="O122" s="31">
        <v>0</v>
      </c>
      <c r="P122" s="31">
        <v>0</v>
      </c>
      <c r="Q122" s="31">
        <v>5917</v>
      </c>
      <c r="R122" s="45">
        <f t="shared" si="31"/>
        <v>2.7818523742360131</v>
      </c>
      <c r="S122" s="31">
        <v>24382</v>
      </c>
      <c r="T122" s="31">
        <v>42160</v>
      </c>
      <c r="U122" s="31">
        <v>0</v>
      </c>
      <c r="V122" s="31">
        <v>42160</v>
      </c>
      <c r="W122" s="45">
        <f t="shared" si="32"/>
        <v>19.821344616831219</v>
      </c>
      <c r="X122" s="4">
        <f t="shared" si="33"/>
        <v>0.28133301707779884</v>
      </c>
      <c r="Y122" s="4">
        <f t="shared" si="34"/>
        <v>0.14034629981024668</v>
      </c>
      <c r="Z122" s="4">
        <f t="shared" si="35"/>
        <v>0.5783206831119545</v>
      </c>
      <c r="AA122" s="4">
        <f t="shared" si="36"/>
        <v>0</v>
      </c>
      <c r="AB122" s="31">
        <v>4812</v>
      </c>
      <c r="AC122" s="31">
        <v>0</v>
      </c>
      <c r="AD122" s="31">
        <v>32943</v>
      </c>
      <c r="AE122" s="31">
        <v>5500</v>
      </c>
      <c r="AF122" s="31">
        <v>3500</v>
      </c>
      <c r="AG122" s="31">
        <v>2000</v>
      </c>
      <c r="AH122" s="31">
        <v>0</v>
      </c>
      <c r="AI122" s="31">
        <v>5500</v>
      </c>
      <c r="AJ122" s="45">
        <f t="shared" si="37"/>
        <v>2.5858015984955336</v>
      </c>
      <c r="AK122" s="31">
        <v>0</v>
      </c>
      <c r="AL122" s="31">
        <v>0</v>
      </c>
      <c r="AM122" s="31">
        <v>0</v>
      </c>
      <c r="AN122" s="31">
        <v>0</v>
      </c>
      <c r="AO122" s="31">
        <v>3300</v>
      </c>
      <c r="AP122" s="31">
        <v>19880</v>
      </c>
      <c r="AQ122" s="31">
        <v>23180</v>
      </c>
      <c r="AR122" s="31">
        <v>28680</v>
      </c>
      <c r="AS122" s="46">
        <f t="shared" si="38"/>
        <v>13.483779971791256</v>
      </c>
      <c r="AT122" s="31">
        <v>0</v>
      </c>
      <c r="AU122" s="31">
        <v>0</v>
      </c>
      <c r="AV122" s="31">
        <v>0</v>
      </c>
      <c r="AW122" s="31">
        <v>0</v>
      </c>
      <c r="AX122" s="31">
        <v>0</v>
      </c>
      <c r="AY122" s="31">
        <v>0</v>
      </c>
      <c r="AZ122" s="31">
        <v>7190</v>
      </c>
      <c r="BA122" s="31">
        <v>0</v>
      </c>
      <c r="BB122" s="31">
        <v>7190</v>
      </c>
      <c r="BC122" s="33" t="s">
        <v>25</v>
      </c>
      <c r="BD122" s="47">
        <v>16241</v>
      </c>
      <c r="BE122" s="47">
        <v>16489</v>
      </c>
      <c r="BF122" s="45">
        <f t="shared" si="39"/>
        <v>7.7522331922896095</v>
      </c>
      <c r="BG122" s="30">
        <v>549</v>
      </c>
      <c r="BH122" s="30">
        <v>549</v>
      </c>
      <c r="BI122" s="30">
        <v>0</v>
      </c>
      <c r="BJ122" s="30">
        <v>138</v>
      </c>
      <c r="BK122" s="30">
        <v>138</v>
      </c>
      <c r="BL122" s="30">
        <v>0</v>
      </c>
      <c r="BM122" s="30">
        <v>0</v>
      </c>
      <c r="BN122" s="30">
        <v>0</v>
      </c>
      <c r="BO122" s="30">
        <v>51</v>
      </c>
      <c r="BP122" s="30">
        <v>0</v>
      </c>
      <c r="BQ122" s="30">
        <v>51</v>
      </c>
      <c r="BR122" s="47">
        <v>16928</v>
      </c>
      <c r="BS122" s="47">
        <v>17176</v>
      </c>
      <c r="BT122" s="1">
        <f t="shared" si="40"/>
        <v>8.0752233192289609</v>
      </c>
      <c r="BU122" s="30">
        <v>15</v>
      </c>
      <c r="BV122" s="30">
        <v>0</v>
      </c>
      <c r="BW122" s="47">
        <v>228</v>
      </c>
      <c r="BX122" s="52">
        <f t="shared" si="41"/>
        <v>0.10719322990126939</v>
      </c>
      <c r="BY122" s="47">
        <v>2939</v>
      </c>
      <c r="BZ122" s="47">
        <v>0</v>
      </c>
      <c r="CA122" s="47">
        <v>2028</v>
      </c>
      <c r="CB122" s="47">
        <v>0</v>
      </c>
      <c r="CC122" s="47">
        <v>4967</v>
      </c>
      <c r="CD122" s="55">
        <f t="shared" si="42"/>
        <v>2.3352139163140575</v>
      </c>
      <c r="CE122" s="3">
        <f t="shared" si="43"/>
        <v>9934</v>
      </c>
      <c r="CF122" s="55">
        <f t="shared" si="44"/>
        <v>5.1471502590673577</v>
      </c>
      <c r="CG122" s="55">
        <f t="shared" si="45"/>
        <v>1.0402094240837696</v>
      </c>
      <c r="CH122" s="55">
        <f t="shared" si="46"/>
        <v>0.28918258034466698</v>
      </c>
      <c r="CI122" s="30">
        <v>68</v>
      </c>
      <c r="CJ122" s="30">
        <v>3</v>
      </c>
      <c r="CK122" s="30">
        <v>49</v>
      </c>
      <c r="CL122" s="30">
        <v>120</v>
      </c>
      <c r="CM122" s="30">
        <v>739</v>
      </c>
      <c r="CN122" s="30">
        <v>6</v>
      </c>
      <c r="CO122" s="30">
        <v>1720</v>
      </c>
      <c r="CP122" s="30">
        <v>2465</v>
      </c>
      <c r="CQ122" s="1">
        <f t="shared" si="54"/>
        <v>1.15890926187118</v>
      </c>
      <c r="CR122" s="47">
        <v>4775</v>
      </c>
      <c r="CS122" s="55">
        <f t="shared" si="47"/>
        <v>2.244945933239304</v>
      </c>
      <c r="CT122" s="59">
        <v>1249</v>
      </c>
      <c r="CU122" s="29" t="s">
        <v>25</v>
      </c>
      <c r="CV122" s="29" t="s">
        <v>25</v>
      </c>
      <c r="CW122" s="29" t="s">
        <v>25</v>
      </c>
      <c r="CX122" s="35">
        <v>0</v>
      </c>
      <c r="CY122" s="49">
        <v>0</v>
      </c>
      <c r="CZ122" s="35">
        <v>0.5</v>
      </c>
      <c r="DA122" s="35">
        <v>0</v>
      </c>
      <c r="DB122" s="35">
        <v>0.5</v>
      </c>
      <c r="DC122" s="49">
        <f t="shared" si="48"/>
        <v>4254</v>
      </c>
      <c r="DD122" s="30">
        <v>1433</v>
      </c>
      <c r="DE122" s="31">
        <v>9680</v>
      </c>
      <c r="DF122" s="35">
        <v>20</v>
      </c>
      <c r="DG122" s="29" t="s">
        <v>25</v>
      </c>
      <c r="DH122" s="29" t="s">
        <v>25</v>
      </c>
      <c r="DI122" s="29" t="s">
        <v>25</v>
      </c>
      <c r="DJ122" s="47">
        <v>46</v>
      </c>
      <c r="DK122" s="47">
        <v>0</v>
      </c>
      <c r="DL122" s="47">
        <v>8</v>
      </c>
      <c r="DM122" s="47">
        <v>1257</v>
      </c>
      <c r="DN122" s="47">
        <v>9</v>
      </c>
      <c r="DO122" s="47">
        <v>170</v>
      </c>
      <c r="DP122" s="29" t="s">
        <v>2028</v>
      </c>
      <c r="DQ122" s="47">
        <v>0</v>
      </c>
      <c r="DR122" s="47">
        <v>965</v>
      </c>
      <c r="DS122" s="30">
        <v>52</v>
      </c>
      <c r="DT122" s="30">
        <v>20</v>
      </c>
      <c r="DU122" s="30">
        <v>20</v>
      </c>
      <c r="DV122" s="30">
        <v>20</v>
      </c>
      <c r="DX122" s="2">
        <f t="shared" si="49"/>
        <v>965</v>
      </c>
      <c r="DY122" s="33" t="s">
        <v>2179</v>
      </c>
      <c r="DZ122" s="33" t="s">
        <v>383</v>
      </c>
      <c r="EA122" s="33" t="s">
        <v>2032</v>
      </c>
      <c r="EB122" s="33" t="s">
        <v>2027</v>
      </c>
      <c r="EC122" s="36">
        <v>95</v>
      </c>
      <c r="ED122" s="29" t="s">
        <v>381</v>
      </c>
      <c r="EE122" s="29" t="s">
        <v>117</v>
      </c>
      <c r="EF122" s="37">
        <v>41640</v>
      </c>
      <c r="EG122" s="37">
        <v>42004</v>
      </c>
      <c r="EH122" s="29" t="s">
        <v>381</v>
      </c>
      <c r="EI122" s="55">
        <f t="shared" si="50"/>
        <v>1.381758345086977</v>
      </c>
      <c r="EJ122" s="54">
        <f t="shared" si="51"/>
        <v>0</v>
      </c>
      <c r="EK122" s="55">
        <f t="shared" si="52"/>
        <v>0.95345557122708036</v>
      </c>
      <c r="EL122" s="54">
        <f t="shared" si="53"/>
        <v>0</v>
      </c>
    </row>
    <row r="123" spans="1:142" ht="28.8" x14ac:dyDescent="0.3">
      <c r="A123" s="29" t="s">
        <v>1481</v>
      </c>
      <c r="B123" s="29"/>
      <c r="C123" s="30">
        <v>1277</v>
      </c>
      <c r="D123" s="30">
        <v>0</v>
      </c>
      <c r="E123" s="30">
        <v>0</v>
      </c>
      <c r="F123" s="30">
        <v>4000</v>
      </c>
      <c r="H123" s="2">
        <f t="shared" si="29"/>
        <v>4000</v>
      </c>
      <c r="I123" s="1">
        <f t="shared" si="28"/>
        <v>3.1323414252153485</v>
      </c>
      <c r="J123" s="31">
        <v>16565</v>
      </c>
      <c r="K123" s="31">
        <v>1267</v>
      </c>
      <c r="L123" s="31">
        <v>17832</v>
      </c>
      <c r="M123" s="45">
        <f t="shared" si="30"/>
        <v>13.963978073610024</v>
      </c>
      <c r="N123" s="31">
        <v>2500</v>
      </c>
      <c r="O123" s="31">
        <v>0</v>
      </c>
      <c r="P123" s="31">
        <v>1500</v>
      </c>
      <c r="Q123" s="31">
        <v>4000</v>
      </c>
      <c r="R123" s="45">
        <f t="shared" si="31"/>
        <v>3.1323414252153485</v>
      </c>
      <c r="S123" s="31">
        <v>11100</v>
      </c>
      <c r="T123" s="31">
        <v>32932</v>
      </c>
      <c r="U123" s="31">
        <v>0</v>
      </c>
      <c r="V123" s="31">
        <v>32932</v>
      </c>
      <c r="W123" s="45">
        <f t="shared" si="32"/>
        <v>25.788566953797964</v>
      </c>
      <c r="X123" s="4">
        <f t="shared" si="33"/>
        <v>0.54147941212194828</v>
      </c>
      <c r="Y123" s="4">
        <f t="shared" si="34"/>
        <v>0.12146240738491437</v>
      </c>
      <c r="Z123" s="4">
        <f t="shared" si="35"/>
        <v>0.33705818049313735</v>
      </c>
      <c r="AA123" s="4">
        <f t="shared" si="36"/>
        <v>0</v>
      </c>
      <c r="AB123" s="31">
        <v>0</v>
      </c>
      <c r="AC123" s="31">
        <v>4000</v>
      </c>
      <c r="AD123" s="31">
        <v>28932</v>
      </c>
      <c r="AE123" s="31">
        <v>28432</v>
      </c>
      <c r="AF123" s="31">
        <v>10450</v>
      </c>
      <c r="AG123" s="31">
        <v>22032</v>
      </c>
      <c r="AH123" s="31">
        <v>0</v>
      </c>
      <c r="AI123" s="31">
        <v>32482</v>
      </c>
      <c r="AJ123" s="45">
        <f t="shared" si="37"/>
        <v>25.436178543461239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500</v>
      </c>
      <c r="AQ123" s="31">
        <v>500</v>
      </c>
      <c r="AR123" s="31">
        <v>32982</v>
      </c>
      <c r="AS123" s="46">
        <f t="shared" si="38"/>
        <v>25.827721221613157</v>
      </c>
      <c r="AT123" s="31">
        <v>0</v>
      </c>
      <c r="AU123" s="31">
        <v>0</v>
      </c>
      <c r="AV123" s="31">
        <v>0</v>
      </c>
      <c r="AW123" s="31">
        <v>0</v>
      </c>
      <c r="AX123" s="31">
        <v>0</v>
      </c>
      <c r="AY123" s="31">
        <v>0</v>
      </c>
      <c r="AZ123" s="31">
        <v>0</v>
      </c>
      <c r="BA123" s="31">
        <v>0</v>
      </c>
      <c r="BB123" s="31">
        <v>0</v>
      </c>
      <c r="BC123" s="33" t="s">
        <v>25</v>
      </c>
      <c r="BD123" s="47">
        <v>12650</v>
      </c>
      <c r="BE123" s="47">
        <v>12670</v>
      </c>
      <c r="BF123" s="45">
        <f t="shared" si="39"/>
        <v>9.9216914643696157</v>
      </c>
      <c r="BG123" s="30">
        <v>350</v>
      </c>
      <c r="BH123" s="30">
        <v>360</v>
      </c>
      <c r="BI123" s="30">
        <v>0</v>
      </c>
      <c r="BJ123" s="30">
        <v>1550</v>
      </c>
      <c r="BK123" s="30">
        <v>1555</v>
      </c>
      <c r="BL123" s="30">
        <v>0</v>
      </c>
      <c r="BM123" s="30">
        <v>0</v>
      </c>
      <c r="BN123" s="30">
        <v>0</v>
      </c>
      <c r="BO123" s="30">
        <v>51</v>
      </c>
      <c r="BP123" s="30">
        <v>0</v>
      </c>
      <c r="BQ123" s="30">
        <v>51</v>
      </c>
      <c r="BR123" s="47">
        <v>14550</v>
      </c>
      <c r="BS123" s="47">
        <v>14585</v>
      </c>
      <c r="BT123" s="1">
        <f t="shared" si="40"/>
        <v>11.421299921691464</v>
      </c>
      <c r="BU123" s="30">
        <v>22</v>
      </c>
      <c r="BV123" s="30">
        <v>0</v>
      </c>
      <c r="BW123" s="47">
        <v>900</v>
      </c>
      <c r="BX123" s="52">
        <f t="shared" si="41"/>
        <v>0.70477682067345337</v>
      </c>
      <c r="BY123" s="47">
        <v>3850</v>
      </c>
      <c r="BZ123" s="47">
        <v>0</v>
      </c>
      <c r="CA123" s="47">
        <v>10060</v>
      </c>
      <c r="CB123" s="47">
        <v>0</v>
      </c>
      <c r="CC123" s="47">
        <v>13910</v>
      </c>
      <c r="CD123" s="55">
        <f t="shared" si="42"/>
        <v>10.892717306186375</v>
      </c>
      <c r="CE123" s="3">
        <f t="shared" si="43"/>
        <v>22256</v>
      </c>
      <c r="CF123" s="55">
        <f t="shared" si="44"/>
        <v>11.128</v>
      </c>
      <c r="CG123" s="55">
        <f t="shared" si="45"/>
        <v>1.5361678630590834</v>
      </c>
      <c r="CH123" s="55">
        <f t="shared" si="46"/>
        <v>0.95371957490572501</v>
      </c>
      <c r="CI123" s="30">
        <v>4</v>
      </c>
      <c r="CJ123" s="30">
        <v>0</v>
      </c>
      <c r="CK123" s="30">
        <v>0</v>
      </c>
      <c r="CL123" s="30">
        <v>4</v>
      </c>
      <c r="CM123" s="30">
        <v>125</v>
      </c>
      <c r="CN123" s="30">
        <v>0</v>
      </c>
      <c r="CO123" s="30">
        <v>0</v>
      </c>
      <c r="CP123" s="30">
        <v>125</v>
      </c>
      <c r="CQ123" s="1">
        <f t="shared" si="54"/>
        <v>9.7885669537979642E-2</v>
      </c>
      <c r="CR123" s="47">
        <v>9055</v>
      </c>
      <c r="CS123" s="55">
        <f t="shared" si="47"/>
        <v>7.0908379013312448</v>
      </c>
      <c r="CT123" s="59">
        <v>1120</v>
      </c>
      <c r="CU123" s="29" t="s">
        <v>25</v>
      </c>
      <c r="CV123" s="29" t="s">
        <v>25</v>
      </c>
      <c r="CW123" s="29" t="s">
        <v>25</v>
      </c>
      <c r="CX123" s="35">
        <v>0</v>
      </c>
      <c r="CY123" s="49">
        <v>0</v>
      </c>
      <c r="CZ123" s="35">
        <v>0.625</v>
      </c>
      <c r="DA123" s="35">
        <v>0</v>
      </c>
      <c r="DB123" s="35">
        <v>0.625</v>
      </c>
      <c r="DC123" s="49">
        <f t="shared" si="48"/>
        <v>2043.2</v>
      </c>
      <c r="DD123" s="30">
        <v>0</v>
      </c>
      <c r="DE123" s="31">
        <v>16565</v>
      </c>
      <c r="DF123" s="35">
        <v>25</v>
      </c>
      <c r="DG123" s="29" t="s">
        <v>25</v>
      </c>
      <c r="DH123" s="29" t="s">
        <v>26</v>
      </c>
      <c r="DI123" s="29" t="s">
        <v>26</v>
      </c>
      <c r="DJ123" s="47">
        <v>0</v>
      </c>
      <c r="DK123" s="47">
        <v>0</v>
      </c>
      <c r="DL123" s="47">
        <v>10</v>
      </c>
      <c r="DM123" s="47">
        <v>5700</v>
      </c>
      <c r="DN123" s="47">
        <v>1</v>
      </c>
      <c r="DO123" s="47">
        <v>200</v>
      </c>
      <c r="DP123" s="29" t="s">
        <v>83</v>
      </c>
      <c r="DQ123" s="47">
        <v>0</v>
      </c>
      <c r="DR123" s="47">
        <v>1250</v>
      </c>
      <c r="DS123" s="30">
        <v>50</v>
      </c>
      <c r="DT123" s="30">
        <v>25</v>
      </c>
      <c r="DU123" s="30">
        <v>25</v>
      </c>
      <c r="DV123" s="30">
        <v>25</v>
      </c>
      <c r="DX123" s="2">
        <f t="shared" si="49"/>
        <v>1250</v>
      </c>
      <c r="DY123" s="33" t="s">
        <v>2181</v>
      </c>
      <c r="DZ123" s="33" t="s">
        <v>1484</v>
      </c>
      <c r="EA123" s="33" t="s">
        <v>2031</v>
      </c>
      <c r="EB123" s="33" t="s">
        <v>2027</v>
      </c>
      <c r="EC123" s="36">
        <v>472</v>
      </c>
      <c r="ED123" s="29" t="s">
        <v>1482</v>
      </c>
      <c r="EE123" s="29" t="s">
        <v>1483</v>
      </c>
      <c r="EF123" s="37">
        <v>41640</v>
      </c>
      <c r="EG123" s="37">
        <v>42004</v>
      </c>
      <c r="EH123" s="29" t="s">
        <v>1482</v>
      </c>
      <c r="EI123" s="55">
        <f t="shared" si="50"/>
        <v>3.0148786217697729</v>
      </c>
      <c r="EJ123" s="54">
        <f t="shared" si="51"/>
        <v>0</v>
      </c>
      <c r="EK123" s="55">
        <f t="shared" si="52"/>
        <v>7.8778386844166013</v>
      </c>
      <c r="EL123" s="54">
        <f t="shared" si="53"/>
        <v>0</v>
      </c>
    </row>
    <row r="124" spans="1:142" ht="28.8" x14ac:dyDescent="0.3">
      <c r="A124" s="29" t="s">
        <v>498</v>
      </c>
      <c r="B124" s="29"/>
      <c r="C124" s="30">
        <v>14102</v>
      </c>
      <c r="D124" s="30">
        <v>0</v>
      </c>
      <c r="E124" s="30">
        <v>0</v>
      </c>
      <c r="F124" s="30">
        <v>10000</v>
      </c>
      <c r="H124" s="2">
        <f t="shared" si="29"/>
        <v>10000</v>
      </c>
      <c r="I124" s="1">
        <f t="shared" si="28"/>
        <v>0.70911927386186357</v>
      </c>
      <c r="J124" s="31">
        <v>182684</v>
      </c>
      <c r="K124" s="31">
        <v>34771</v>
      </c>
      <c r="L124" s="31">
        <v>217455</v>
      </c>
      <c r="M124" s="45">
        <f t="shared" si="30"/>
        <v>15.420153169763154</v>
      </c>
      <c r="N124" s="31">
        <v>29600</v>
      </c>
      <c r="O124" s="31">
        <v>7300</v>
      </c>
      <c r="P124" s="31">
        <v>8400</v>
      </c>
      <c r="Q124" s="31">
        <v>45300</v>
      </c>
      <c r="R124" s="45">
        <f t="shared" si="31"/>
        <v>3.2123103105942419</v>
      </c>
      <c r="S124" s="31">
        <v>107921</v>
      </c>
      <c r="T124" s="31">
        <v>370676</v>
      </c>
      <c r="U124" s="31">
        <v>0</v>
      </c>
      <c r="V124" s="31">
        <v>370676</v>
      </c>
      <c r="W124" s="45">
        <f t="shared" si="32"/>
        <v>26.285349595802014</v>
      </c>
      <c r="X124" s="4">
        <f t="shared" si="33"/>
        <v>0.58664440104026161</v>
      </c>
      <c r="Y124" s="4">
        <f t="shared" si="34"/>
        <v>0.12220915300693867</v>
      </c>
      <c r="Z124" s="4">
        <f t="shared" si="35"/>
        <v>0.29114644595279976</v>
      </c>
      <c r="AA124" s="4">
        <f t="shared" si="36"/>
        <v>0</v>
      </c>
      <c r="AB124" s="31">
        <v>0</v>
      </c>
      <c r="AC124" s="31">
        <v>45300</v>
      </c>
      <c r="AD124" s="31">
        <v>370676</v>
      </c>
      <c r="AE124" s="31">
        <v>370676</v>
      </c>
      <c r="AF124" s="31">
        <v>370676</v>
      </c>
      <c r="AG124" s="31">
        <v>0</v>
      </c>
      <c r="AH124" s="31">
        <v>0</v>
      </c>
      <c r="AI124" s="31">
        <v>370676</v>
      </c>
      <c r="AJ124" s="45">
        <f t="shared" si="37"/>
        <v>26.285349595802014</v>
      </c>
      <c r="AK124" s="31">
        <v>0</v>
      </c>
      <c r="AL124" s="31">
        <v>0</v>
      </c>
      <c r="AM124" s="31">
        <v>0</v>
      </c>
      <c r="AN124" s="31">
        <v>0</v>
      </c>
      <c r="AO124" s="31">
        <v>1200</v>
      </c>
      <c r="AP124" s="31">
        <v>18472</v>
      </c>
      <c r="AQ124" s="31">
        <v>19672</v>
      </c>
      <c r="AR124" s="31">
        <v>390348</v>
      </c>
      <c r="AS124" s="46">
        <f t="shared" si="38"/>
        <v>27.680329031343071</v>
      </c>
      <c r="AT124" s="31">
        <v>0</v>
      </c>
      <c r="AU124" s="31">
        <v>0</v>
      </c>
      <c r="AV124" s="31">
        <v>0</v>
      </c>
      <c r="AW124" s="31">
        <v>0</v>
      </c>
      <c r="AX124" s="31">
        <v>0</v>
      </c>
      <c r="AY124" s="31">
        <v>0</v>
      </c>
      <c r="AZ124" s="31">
        <v>0</v>
      </c>
      <c r="BA124" s="31">
        <v>0</v>
      </c>
      <c r="BB124" s="31">
        <v>0</v>
      </c>
      <c r="BC124" s="33" t="s">
        <v>25</v>
      </c>
      <c r="BD124" s="47">
        <v>36008</v>
      </c>
      <c r="BE124" s="47">
        <v>36024</v>
      </c>
      <c r="BF124" s="45">
        <f t="shared" si="39"/>
        <v>2.5545312721599771</v>
      </c>
      <c r="BG124" s="30">
        <v>1726</v>
      </c>
      <c r="BH124" s="30">
        <v>1732</v>
      </c>
      <c r="BI124" s="30">
        <v>3924</v>
      </c>
      <c r="BJ124" s="30">
        <v>4352</v>
      </c>
      <c r="BK124" s="30">
        <v>4432</v>
      </c>
      <c r="BL124" s="30">
        <v>0</v>
      </c>
      <c r="BM124" s="30">
        <v>8817</v>
      </c>
      <c r="BN124" s="30">
        <v>2</v>
      </c>
      <c r="BO124" s="30">
        <v>51</v>
      </c>
      <c r="BP124" s="30">
        <v>1</v>
      </c>
      <c r="BQ124" s="30">
        <v>54</v>
      </c>
      <c r="BR124" s="47">
        <v>42086</v>
      </c>
      <c r="BS124" s="47">
        <v>54931</v>
      </c>
      <c r="BT124" s="1">
        <f t="shared" si="40"/>
        <v>3.8952630832506028</v>
      </c>
      <c r="BU124" s="30">
        <v>43</v>
      </c>
      <c r="BV124" s="30">
        <v>85</v>
      </c>
      <c r="BW124" s="47">
        <v>8580</v>
      </c>
      <c r="BX124" s="52">
        <f t="shared" si="41"/>
        <v>0.60842433697347897</v>
      </c>
      <c r="BY124" s="47">
        <v>38349</v>
      </c>
      <c r="BZ124" s="47">
        <v>511</v>
      </c>
      <c r="CA124" s="47">
        <v>23379</v>
      </c>
      <c r="CB124" s="47">
        <v>3597</v>
      </c>
      <c r="CC124" s="47">
        <v>65836</v>
      </c>
      <c r="CD124" s="55">
        <f t="shared" si="42"/>
        <v>4.6685576513969647</v>
      </c>
      <c r="CE124" s="3">
        <f t="shared" si="43"/>
        <v>8705.5867768595035</v>
      </c>
      <c r="CF124" s="55">
        <f t="shared" si="44"/>
        <v>32.083820662768034</v>
      </c>
      <c r="CG124" s="55">
        <f t="shared" si="45"/>
        <v>2.2018729096989968</v>
      </c>
      <c r="CH124" s="55">
        <f t="shared" si="46"/>
        <v>1.1237370519378858</v>
      </c>
      <c r="CI124" s="30">
        <v>237</v>
      </c>
      <c r="CJ124" s="30">
        <v>56</v>
      </c>
      <c r="CK124" s="30">
        <v>33</v>
      </c>
      <c r="CL124" s="30">
        <v>326</v>
      </c>
      <c r="CM124" s="30">
        <v>6156</v>
      </c>
      <c r="CN124" s="30">
        <v>1376</v>
      </c>
      <c r="CO124" s="30">
        <v>1465</v>
      </c>
      <c r="CP124" s="30">
        <v>8997</v>
      </c>
      <c r="CQ124" s="1">
        <f t="shared" si="54"/>
        <v>0.6379946106935187</v>
      </c>
      <c r="CR124" s="47">
        <v>29900</v>
      </c>
      <c r="CS124" s="55">
        <f t="shared" si="47"/>
        <v>2.1202666288469723</v>
      </c>
      <c r="CT124" s="59">
        <v>13285</v>
      </c>
      <c r="CU124" s="29" t="s">
        <v>25</v>
      </c>
      <c r="CV124" s="29" t="s">
        <v>25</v>
      </c>
      <c r="CW124" s="29" t="s">
        <v>25</v>
      </c>
      <c r="CX124" s="35">
        <v>1.825</v>
      </c>
      <c r="CY124" s="49">
        <f>C124/CX124</f>
        <v>7727.1232876712329</v>
      </c>
      <c r="CZ124" s="35">
        <v>1</v>
      </c>
      <c r="DA124" s="35">
        <v>4.7374999999999998</v>
      </c>
      <c r="DB124" s="35">
        <v>7.5625</v>
      </c>
      <c r="DC124" s="49">
        <f t="shared" si="48"/>
        <v>1864.7272727272727</v>
      </c>
      <c r="DD124" s="30">
        <v>724</v>
      </c>
      <c r="DE124" s="31">
        <v>46320</v>
      </c>
      <c r="DF124" s="35">
        <v>40</v>
      </c>
      <c r="DG124" s="29" t="s">
        <v>25</v>
      </c>
      <c r="DH124" s="29" t="s">
        <v>25</v>
      </c>
      <c r="DI124" s="29" t="s">
        <v>25</v>
      </c>
      <c r="DJ124" s="47">
        <v>334</v>
      </c>
      <c r="DK124" s="47">
        <v>15</v>
      </c>
      <c r="DL124" s="47">
        <v>40</v>
      </c>
      <c r="DM124" s="47">
        <v>17588</v>
      </c>
      <c r="DN124" s="47">
        <v>36</v>
      </c>
      <c r="DO124" s="47">
        <v>4680</v>
      </c>
      <c r="DP124" s="29" t="s">
        <v>2028</v>
      </c>
      <c r="DQ124" s="47">
        <v>0</v>
      </c>
      <c r="DR124" s="47">
        <v>2052</v>
      </c>
      <c r="DS124" s="30">
        <v>52</v>
      </c>
      <c r="DT124" s="30">
        <v>41</v>
      </c>
      <c r="DU124" s="30">
        <v>41</v>
      </c>
      <c r="DV124" s="30">
        <v>41</v>
      </c>
      <c r="DX124" s="2">
        <f t="shared" si="49"/>
        <v>2052</v>
      </c>
      <c r="DY124" s="33" t="s">
        <v>2181</v>
      </c>
      <c r="DZ124" s="33" t="s">
        <v>1582</v>
      </c>
      <c r="EA124" s="33" t="s">
        <v>2030</v>
      </c>
      <c r="EB124" s="33" t="s">
        <v>2027</v>
      </c>
      <c r="EC124" s="36">
        <v>522</v>
      </c>
      <c r="ED124" s="29" t="s">
        <v>1581</v>
      </c>
      <c r="EE124" s="29" t="s">
        <v>91</v>
      </c>
      <c r="EF124" s="37">
        <v>41548</v>
      </c>
      <c r="EG124" s="37">
        <v>41912</v>
      </c>
      <c r="EH124" s="29" t="s">
        <v>1581</v>
      </c>
      <c r="EI124" s="55">
        <f t="shared" si="50"/>
        <v>2.7194015033328607</v>
      </c>
      <c r="EJ124" s="54">
        <f t="shared" si="51"/>
        <v>3.6235994894341227E-2</v>
      </c>
      <c r="EK124" s="55">
        <f t="shared" si="52"/>
        <v>1.6578499503616508</v>
      </c>
      <c r="EL124" s="54">
        <f t="shared" si="53"/>
        <v>0.25507020280811232</v>
      </c>
    </row>
    <row r="125" spans="1:142" ht="28.8" x14ac:dyDescent="0.3">
      <c r="A125" s="29" t="s">
        <v>384</v>
      </c>
      <c r="B125" s="29"/>
      <c r="C125" s="30">
        <v>7005</v>
      </c>
      <c r="D125" s="30">
        <v>0</v>
      </c>
      <c r="E125" s="30">
        <v>0</v>
      </c>
      <c r="F125" s="30">
        <v>7500</v>
      </c>
      <c r="H125" s="2">
        <f t="shared" si="29"/>
        <v>7500</v>
      </c>
      <c r="I125" s="1">
        <f t="shared" si="28"/>
        <v>1.0706638115631693</v>
      </c>
      <c r="J125" s="31">
        <v>77035</v>
      </c>
      <c r="K125" s="31">
        <v>22651</v>
      </c>
      <c r="L125" s="31">
        <v>99686</v>
      </c>
      <c r="M125" s="45">
        <f t="shared" si="30"/>
        <v>14.230692362598145</v>
      </c>
      <c r="N125" s="31">
        <v>6961</v>
      </c>
      <c r="O125" s="31">
        <v>0</v>
      </c>
      <c r="P125" s="31">
        <v>2156</v>
      </c>
      <c r="Q125" s="31">
        <v>9117</v>
      </c>
      <c r="R125" s="45">
        <f t="shared" si="31"/>
        <v>1.3014989293361885</v>
      </c>
      <c r="S125" s="31">
        <v>1220</v>
      </c>
      <c r="T125" s="31">
        <v>110023</v>
      </c>
      <c r="U125" s="31">
        <v>0</v>
      </c>
      <c r="V125" s="31">
        <v>110023</v>
      </c>
      <c r="W125" s="45">
        <f t="shared" si="32"/>
        <v>15.706352605281941</v>
      </c>
      <c r="X125" s="4">
        <f t="shared" si="33"/>
        <v>0.90604691746271238</v>
      </c>
      <c r="Y125" s="4">
        <f t="shared" si="34"/>
        <v>8.2864491969860843E-2</v>
      </c>
      <c r="Z125" s="4">
        <f t="shared" si="35"/>
        <v>1.1088590567426811E-2</v>
      </c>
      <c r="AA125" s="4">
        <f t="shared" si="36"/>
        <v>0</v>
      </c>
      <c r="AB125" s="31">
        <v>0</v>
      </c>
      <c r="AC125" s="31">
        <v>9117</v>
      </c>
      <c r="AD125" s="31">
        <v>110023</v>
      </c>
      <c r="AE125" s="31">
        <v>110023</v>
      </c>
      <c r="AF125" s="31">
        <v>110023</v>
      </c>
      <c r="AG125" s="31">
        <v>0</v>
      </c>
      <c r="AH125" s="31">
        <v>0</v>
      </c>
      <c r="AI125" s="31">
        <v>110023</v>
      </c>
      <c r="AJ125" s="45">
        <f t="shared" si="37"/>
        <v>15.706352605281941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31">
        <v>0</v>
      </c>
      <c r="AQ125" s="31">
        <v>0</v>
      </c>
      <c r="AR125" s="31">
        <v>110023</v>
      </c>
      <c r="AS125" s="46">
        <f t="shared" si="38"/>
        <v>15.706352605281941</v>
      </c>
      <c r="AT125" s="31">
        <v>0</v>
      </c>
      <c r="AU125" s="31">
        <v>0</v>
      </c>
      <c r="AV125" s="31">
        <v>0</v>
      </c>
      <c r="AW125" s="31">
        <v>0</v>
      </c>
      <c r="AX125" s="31">
        <v>0</v>
      </c>
      <c r="AY125" s="31">
        <v>0</v>
      </c>
      <c r="AZ125" s="31">
        <v>0</v>
      </c>
      <c r="BA125" s="31">
        <v>0</v>
      </c>
      <c r="BB125" s="31">
        <v>0</v>
      </c>
      <c r="BC125" s="33" t="s">
        <v>25</v>
      </c>
      <c r="BD125" s="47">
        <v>21450</v>
      </c>
      <c r="BE125" s="47">
        <v>21849</v>
      </c>
      <c r="BF125" s="45">
        <f t="shared" si="39"/>
        <v>3.1190578158458244</v>
      </c>
      <c r="BG125" s="30">
        <v>1308</v>
      </c>
      <c r="BH125" s="30">
        <v>1361</v>
      </c>
      <c r="BI125" s="30">
        <v>0</v>
      </c>
      <c r="BJ125" s="30">
        <v>1368</v>
      </c>
      <c r="BK125" s="30">
        <v>1428</v>
      </c>
      <c r="BL125" s="30">
        <v>0</v>
      </c>
      <c r="BM125" s="30">
        <v>0</v>
      </c>
      <c r="BN125" s="30">
        <v>0</v>
      </c>
      <c r="BO125" s="30">
        <v>51</v>
      </c>
      <c r="BP125" s="30">
        <v>0</v>
      </c>
      <c r="BQ125" s="30">
        <v>51</v>
      </c>
      <c r="BR125" s="47">
        <v>24126</v>
      </c>
      <c r="BS125" s="47">
        <v>24638</v>
      </c>
      <c r="BT125" s="1">
        <f t="shared" si="40"/>
        <v>3.5172019985724483</v>
      </c>
      <c r="BU125" s="30">
        <v>29</v>
      </c>
      <c r="BV125" s="30">
        <v>0</v>
      </c>
      <c r="BW125" s="47">
        <v>9030</v>
      </c>
      <c r="BX125" s="52">
        <f t="shared" si="41"/>
        <v>1.2890792291220556</v>
      </c>
      <c r="BY125" s="47">
        <v>10205</v>
      </c>
      <c r="BZ125" s="47">
        <v>0</v>
      </c>
      <c r="CA125" s="47">
        <v>17041</v>
      </c>
      <c r="CB125" s="47">
        <v>0</v>
      </c>
      <c r="CC125" s="47">
        <v>27246</v>
      </c>
      <c r="CD125" s="55">
        <f t="shared" si="42"/>
        <v>3.889507494646681</v>
      </c>
      <c r="CE125" s="3">
        <f t="shared" si="43"/>
        <v>10844.179104477611</v>
      </c>
      <c r="CF125" s="55">
        <f t="shared" si="44"/>
        <v>11.366708385481852</v>
      </c>
      <c r="CG125" s="55">
        <f t="shared" si="45"/>
        <v>0.91515517936316004</v>
      </c>
      <c r="CH125" s="55">
        <f t="shared" si="46"/>
        <v>1.1058527477879698</v>
      </c>
      <c r="CI125" s="30">
        <v>45</v>
      </c>
      <c r="CJ125" s="30">
        <v>0</v>
      </c>
      <c r="CK125" s="30">
        <v>1</v>
      </c>
      <c r="CL125" s="30">
        <v>46</v>
      </c>
      <c r="CM125" s="30">
        <v>1973</v>
      </c>
      <c r="CN125" s="30">
        <v>0</v>
      </c>
      <c r="CO125" s="30">
        <v>110</v>
      </c>
      <c r="CP125" s="30">
        <v>2083</v>
      </c>
      <c r="CQ125" s="1">
        <f t="shared" si="54"/>
        <v>0.29735902926481084</v>
      </c>
      <c r="CR125" s="47">
        <v>29772</v>
      </c>
      <c r="CS125" s="55">
        <f t="shared" si="47"/>
        <v>4.2501070663811564</v>
      </c>
      <c r="CT125" s="59">
        <v>2083</v>
      </c>
      <c r="CU125" s="29" t="s">
        <v>25</v>
      </c>
      <c r="CV125" s="29" t="s">
        <v>25</v>
      </c>
      <c r="CW125" s="29" t="s">
        <v>25</v>
      </c>
      <c r="CX125" s="35">
        <v>0</v>
      </c>
      <c r="CY125" s="49">
        <v>0</v>
      </c>
      <c r="CZ125" s="35">
        <v>1</v>
      </c>
      <c r="DA125" s="35">
        <v>1.5125</v>
      </c>
      <c r="DB125" s="35">
        <v>2.5125000000000002</v>
      </c>
      <c r="DC125" s="49">
        <f t="shared" si="48"/>
        <v>2788.059701492537</v>
      </c>
      <c r="DD125" s="30">
        <v>16</v>
      </c>
      <c r="DE125" s="31">
        <v>43260</v>
      </c>
      <c r="DF125" s="35">
        <v>40</v>
      </c>
      <c r="DG125" s="29" t="s">
        <v>25</v>
      </c>
      <c r="DH125" s="29" t="s">
        <v>25</v>
      </c>
      <c r="DI125" s="29" t="s">
        <v>25</v>
      </c>
      <c r="DJ125" s="47">
        <v>243</v>
      </c>
      <c r="DK125" s="47">
        <v>131</v>
      </c>
      <c r="DL125" s="47">
        <v>10</v>
      </c>
      <c r="DM125" s="47">
        <v>10338</v>
      </c>
      <c r="DN125" s="47">
        <v>4515</v>
      </c>
      <c r="DO125" s="47">
        <v>3300</v>
      </c>
      <c r="DP125" s="29" t="s">
        <v>2028</v>
      </c>
      <c r="DQ125" s="47">
        <v>0</v>
      </c>
      <c r="DR125" s="47">
        <v>2397</v>
      </c>
      <c r="DS125" s="30">
        <v>52</v>
      </c>
      <c r="DT125" s="30">
        <v>48</v>
      </c>
      <c r="DU125" s="30">
        <v>48</v>
      </c>
      <c r="DV125" s="30">
        <v>48</v>
      </c>
      <c r="DX125" s="2">
        <f t="shared" si="49"/>
        <v>2397</v>
      </c>
      <c r="DY125" s="33" t="s">
        <v>2180</v>
      </c>
      <c r="DZ125" s="33" t="s">
        <v>387</v>
      </c>
      <c r="EA125" s="33" t="s">
        <v>2030</v>
      </c>
      <c r="EB125" s="33" t="s">
        <v>2027</v>
      </c>
      <c r="EC125" s="36">
        <v>97</v>
      </c>
      <c r="ED125" s="29" t="s">
        <v>385</v>
      </c>
      <c r="EE125" s="29" t="s">
        <v>386</v>
      </c>
      <c r="EF125" s="37">
        <v>41548</v>
      </c>
      <c r="EG125" s="37">
        <v>41912</v>
      </c>
      <c r="EH125" s="29" t="s">
        <v>385</v>
      </c>
      <c r="EI125" s="55">
        <f t="shared" si="50"/>
        <v>1.4568165596002856</v>
      </c>
      <c r="EJ125" s="54">
        <f t="shared" si="51"/>
        <v>0</v>
      </c>
      <c r="EK125" s="55">
        <f t="shared" si="52"/>
        <v>2.4326909350463954</v>
      </c>
      <c r="EL125" s="54">
        <f t="shared" si="53"/>
        <v>0</v>
      </c>
    </row>
    <row r="126" spans="1:142" ht="28.8" x14ac:dyDescent="0.3">
      <c r="A126" s="29" t="s">
        <v>388</v>
      </c>
      <c r="B126" s="29"/>
      <c r="C126" s="30">
        <v>2526</v>
      </c>
      <c r="D126" s="30">
        <v>0</v>
      </c>
      <c r="E126" s="30">
        <v>0</v>
      </c>
      <c r="F126" s="30">
        <v>2000</v>
      </c>
      <c r="H126" s="2">
        <f t="shared" si="29"/>
        <v>2000</v>
      </c>
      <c r="I126" s="1">
        <f t="shared" si="28"/>
        <v>0.79176563737133809</v>
      </c>
      <c r="J126" s="31">
        <v>33991</v>
      </c>
      <c r="K126" s="31">
        <v>10486</v>
      </c>
      <c r="L126" s="31">
        <v>44477</v>
      </c>
      <c r="M126" s="45">
        <f t="shared" si="30"/>
        <v>17.607680126682503</v>
      </c>
      <c r="N126" s="31">
        <v>6500</v>
      </c>
      <c r="O126" s="31">
        <v>3000</v>
      </c>
      <c r="P126" s="31">
        <v>450</v>
      </c>
      <c r="Q126" s="31">
        <v>9950</v>
      </c>
      <c r="R126" s="45">
        <f t="shared" si="31"/>
        <v>3.9390340459224071</v>
      </c>
      <c r="S126" s="31">
        <v>13253</v>
      </c>
      <c r="T126" s="31">
        <v>67680</v>
      </c>
      <c r="U126" s="31">
        <v>0</v>
      </c>
      <c r="V126" s="31">
        <v>67680</v>
      </c>
      <c r="W126" s="45">
        <f t="shared" si="32"/>
        <v>26.793349168646081</v>
      </c>
      <c r="X126" s="4">
        <f t="shared" si="33"/>
        <v>0.6571660756501182</v>
      </c>
      <c r="Y126" s="4">
        <f t="shared" si="34"/>
        <v>0.14701536643026006</v>
      </c>
      <c r="Z126" s="4">
        <f t="shared" si="35"/>
        <v>0.19581855791962174</v>
      </c>
      <c r="AA126" s="4">
        <f t="shared" si="36"/>
        <v>0</v>
      </c>
      <c r="AB126" s="31">
        <v>0</v>
      </c>
      <c r="AC126" s="31">
        <v>9950</v>
      </c>
      <c r="AD126" s="31">
        <v>67680</v>
      </c>
      <c r="AE126" s="31">
        <v>64680</v>
      </c>
      <c r="AF126" s="31">
        <v>64680</v>
      </c>
      <c r="AG126" s="31">
        <v>0</v>
      </c>
      <c r="AH126" s="31">
        <v>0</v>
      </c>
      <c r="AI126" s="31">
        <v>64680</v>
      </c>
      <c r="AJ126" s="45">
        <f t="shared" si="37"/>
        <v>25.605700712589073</v>
      </c>
      <c r="AK126" s="31">
        <v>0</v>
      </c>
      <c r="AL126" s="31">
        <v>0</v>
      </c>
      <c r="AM126" s="31">
        <v>0</v>
      </c>
      <c r="AN126" s="31">
        <v>0</v>
      </c>
      <c r="AO126" s="31">
        <v>0</v>
      </c>
      <c r="AP126" s="31">
        <v>8187</v>
      </c>
      <c r="AQ126" s="31">
        <v>8187</v>
      </c>
      <c r="AR126" s="31">
        <v>72867</v>
      </c>
      <c r="AS126" s="46">
        <f t="shared" si="38"/>
        <v>28.846793349168646</v>
      </c>
      <c r="AT126" s="31">
        <v>0</v>
      </c>
      <c r="AU126" s="31">
        <v>0</v>
      </c>
      <c r="AV126" s="31">
        <v>0</v>
      </c>
      <c r="AW126" s="31">
        <v>0</v>
      </c>
      <c r="AX126" s="31">
        <v>0</v>
      </c>
      <c r="AY126" s="31">
        <v>0</v>
      </c>
      <c r="AZ126" s="31">
        <v>0</v>
      </c>
      <c r="BA126" s="31">
        <v>0</v>
      </c>
      <c r="BB126" s="31">
        <v>0</v>
      </c>
      <c r="BC126" s="33" t="s">
        <v>25</v>
      </c>
      <c r="BD126" s="47">
        <v>14529</v>
      </c>
      <c r="BE126" s="47">
        <v>14822</v>
      </c>
      <c r="BF126" s="45">
        <f t="shared" si="39"/>
        <v>5.8677751385589865</v>
      </c>
      <c r="BG126" s="30">
        <v>385</v>
      </c>
      <c r="BH126" s="30">
        <v>385</v>
      </c>
      <c r="BI126" s="30">
        <v>0</v>
      </c>
      <c r="BJ126" s="30">
        <v>325</v>
      </c>
      <c r="BK126" s="30">
        <v>325</v>
      </c>
      <c r="BL126" s="30">
        <v>0</v>
      </c>
      <c r="BM126" s="30">
        <v>893</v>
      </c>
      <c r="BN126" s="30">
        <v>0</v>
      </c>
      <c r="BO126" s="30">
        <v>51</v>
      </c>
      <c r="BP126" s="30">
        <v>1</v>
      </c>
      <c r="BQ126" s="30">
        <v>52</v>
      </c>
      <c r="BR126" s="47">
        <v>15239</v>
      </c>
      <c r="BS126" s="47">
        <v>16425</v>
      </c>
      <c r="BT126" s="1">
        <f t="shared" si="40"/>
        <v>6.5023752969121142</v>
      </c>
      <c r="BU126" s="30">
        <v>25</v>
      </c>
      <c r="BV126" s="30">
        <v>0</v>
      </c>
      <c r="BW126" s="47">
        <v>4122</v>
      </c>
      <c r="BX126" s="52">
        <f t="shared" si="41"/>
        <v>1.6318289786223279</v>
      </c>
      <c r="BY126" s="47">
        <v>1752</v>
      </c>
      <c r="BZ126" s="47">
        <v>93</v>
      </c>
      <c r="CA126" s="47">
        <v>14542</v>
      </c>
      <c r="CB126" s="47">
        <v>800</v>
      </c>
      <c r="CC126" s="47">
        <v>17187</v>
      </c>
      <c r="CD126" s="55">
        <f t="shared" si="42"/>
        <v>6.8040380047505939</v>
      </c>
      <c r="CE126" s="3">
        <f t="shared" si="43"/>
        <v>17187</v>
      </c>
      <c r="CF126" s="55">
        <f t="shared" si="44"/>
        <v>10.230357142857143</v>
      </c>
      <c r="CG126" s="55">
        <f t="shared" si="45"/>
        <v>1.8839197632357778</v>
      </c>
      <c r="CH126" s="55">
        <f t="shared" si="46"/>
        <v>0.99202435312024351</v>
      </c>
      <c r="CI126" s="30">
        <v>20</v>
      </c>
      <c r="CJ126" s="30">
        <v>2</v>
      </c>
      <c r="CK126" s="30">
        <v>1</v>
      </c>
      <c r="CL126" s="30">
        <v>23</v>
      </c>
      <c r="CM126" s="30">
        <v>398</v>
      </c>
      <c r="CN126" s="30">
        <v>8</v>
      </c>
      <c r="CO126" s="30">
        <v>6</v>
      </c>
      <c r="CP126" s="30">
        <v>412</v>
      </c>
      <c r="CQ126" s="1">
        <f t="shared" si="54"/>
        <v>0.16310372129849565</v>
      </c>
      <c r="CR126" s="47">
        <v>9123</v>
      </c>
      <c r="CS126" s="55">
        <f t="shared" si="47"/>
        <v>3.6116389548693588</v>
      </c>
      <c r="CT126" s="59">
        <v>3475</v>
      </c>
      <c r="CU126" s="29" t="s">
        <v>25</v>
      </c>
      <c r="CV126" s="29" t="s">
        <v>25</v>
      </c>
      <c r="CW126" s="29" t="s">
        <v>25</v>
      </c>
      <c r="CX126" s="35">
        <v>0</v>
      </c>
      <c r="CY126" s="49">
        <v>0</v>
      </c>
      <c r="CZ126" s="35">
        <v>1</v>
      </c>
      <c r="DA126" s="35">
        <v>0</v>
      </c>
      <c r="DB126" s="35">
        <v>1</v>
      </c>
      <c r="DC126" s="49">
        <f t="shared" si="48"/>
        <v>2526</v>
      </c>
      <c r="DD126" s="30">
        <v>728</v>
      </c>
      <c r="DE126" s="31">
        <v>31993</v>
      </c>
      <c r="DF126" s="35">
        <v>40</v>
      </c>
      <c r="DG126" s="29" t="s">
        <v>25</v>
      </c>
      <c r="DH126" s="29" t="s">
        <v>26</v>
      </c>
      <c r="DI126" s="29" t="s">
        <v>26</v>
      </c>
      <c r="DJ126" s="47">
        <v>0</v>
      </c>
      <c r="DK126" s="47">
        <v>0</v>
      </c>
      <c r="DL126" s="47">
        <v>4</v>
      </c>
      <c r="DM126" s="47">
        <v>3522</v>
      </c>
      <c r="DN126" s="47">
        <v>240</v>
      </c>
      <c r="DO126" s="47">
        <v>126</v>
      </c>
      <c r="DP126" s="29" t="s">
        <v>83</v>
      </c>
      <c r="DQ126" s="47">
        <v>0</v>
      </c>
      <c r="DR126" s="47">
        <v>1680</v>
      </c>
      <c r="DS126" s="30">
        <v>52</v>
      </c>
      <c r="DT126" s="30">
        <v>40</v>
      </c>
      <c r="DU126" s="30">
        <v>40</v>
      </c>
      <c r="DV126" s="30">
        <v>40</v>
      </c>
      <c r="DX126" s="2">
        <f t="shared" si="49"/>
        <v>1680</v>
      </c>
      <c r="DY126" s="33" t="s">
        <v>2182</v>
      </c>
      <c r="DZ126" s="33" t="s">
        <v>390</v>
      </c>
      <c r="EA126" s="33" t="s">
        <v>2030</v>
      </c>
      <c r="EB126" s="33" t="s">
        <v>2027</v>
      </c>
      <c r="EC126" s="36">
        <v>98</v>
      </c>
      <c r="ED126" s="29" t="s">
        <v>389</v>
      </c>
      <c r="EE126" s="29" t="s">
        <v>5</v>
      </c>
      <c r="EF126" s="37">
        <v>41548</v>
      </c>
      <c r="EG126" s="37">
        <v>41912</v>
      </c>
      <c r="EH126" s="29" t="s">
        <v>389</v>
      </c>
      <c r="EI126" s="55">
        <f t="shared" si="50"/>
        <v>0.69358669833729214</v>
      </c>
      <c r="EJ126" s="54">
        <f t="shared" si="51"/>
        <v>3.6817102137767219E-2</v>
      </c>
      <c r="EK126" s="55">
        <f t="shared" si="52"/>
        <v>5.7569279493269994</v>
      </c>
      <c r="EL126" s="54">
        <f t="shared" si="53"/>
        <v>0.31670625494853522</v>
      </c>
    </row>
    <row r="127" spans="1:142" ht="28.8" x14ac:dyDescent="0.3">
      <c r="A127" s="29" t="s">
        <v>391</v>
      </c>
      <c r="B127" s="29"/>
      <c r="C127" s="30">
        <v>13157</v>
      </c>
      <c r="D127" s="30">
        <v>0</v>
      </c>
      <c r="E127" s="30">
        <v>0</v>
      </c>
      <c r="F127" s="30">
        <v>3240</v>
      </c>
      <c r="H127" s="2">
        <f t="shared" si="29"/>
        <v>3240</v>
      </c>
      <c r="I127" s="1">
        <f t="shared" ref="I127:I188" si="57">H127/C127</f>
        <v>0.2462567454586912</v>
      </c>
      <c r="J127" s="31">
        <v>69291</v>
      </c>
      <c r="K127" s="31">
        <v>26626</v>
      </c>
      <c r="L127" s="31">
        <v>95917</v>
      </c>
      <c r="M127" s="45">
        <f t="shared" si="30"/>
        <v>7.290187732765828</v>
      </c>
      <c r="N127" s="31">
        <v>14460</v>
      </c>
      <c r="O127" s="31">
        <v>3204</v>
      </c>
      <c r="P127" s="31">
        <v>250</v>
      </c>
      <c r="Q127" s="31">
        <v>17914</v>
      </c>
      <c r="R127" s="45">
        <f t="shared" si="31"/>
        <v>1.3615565858478376</v>
      </c>
      <c r="S127" s="31">
        <v>9374</v>
      </c>
      <c r="T127" s="31">
        <v>123205</v>
      </c>
      <c r="U127" s="31">
        <v>0</v>
      </c>
      <c r="V127" s="31">
        <v>123205</v>
      </c>
      <c r="W127" s="45">
        <f t="shared" si="32"/>
        <v>9.3642167667401388</v>
      </c>
      <c r="X127" s="4">
        <f t="shared" si="33"/>
        <v>0.77851548232620427</v>
      </c>
      <c r="Y127" s="4">
        <f t="shared" si="34"/>
        <v>0.14539994318412403</v>
      </c>
      <c r="Z127" s="4">
        <f t="shared" si="35"/>
        <v>7.608457448967168E-2</v>
      </c>
      <c r="AA127" s="4">
        <f t="shared" si="36"/>
        <v>0</v>
      </c>
      <c r="AB127" s="31">
        <v>0</v>
      </c>
      <c r="AC127" s="31">
        <v>17914</v>
      </c>
      <c r="AD127" s="31">
        <v>123205</v>
      </c>
      <c r="AE127" s="31">
        <v>123205</v>
      </c>
      <c r="AF127" s="31">
        <v>0</v>
      </c>
      <c r="AG127" s="31">
        <v>123205</v>
      </c>
      <c r="AH127" s="31">
        <v>0</v>
      </c>
      <c r="AI127" s="31">
        <v>123205</v>
      </c>
      <c r="AJ127" s="45">
        <f t="shared" si="37"/>
        <v>9.3642167667401388</v>
      </c>
      <c r="AK127" s="31">
        <v>0</v>
      </c>
      <c r="AL127" s="31">
        <v>0</v>
      </c>
      <c r="AM127" s="31">
        <v>0</v>
      </c>
      <c r="AN127" s="31">
        <v>0</v>
      </c>
      <c r="AO127" s="31">
        <v>0</v>
      </c>
      <c r="AP127" s="31">
        <v>1282</v>
      </c>
      <c r="AQ127" s="31">
        <v>1282</v>
      </c>
      <c r="AR127" s="31">
        <v>124487</v>
      </c>
      <c r="AS127" s="46">
        <f t="shared" si="38"/>
        <v>9.4616553925666942</v>
      </c>
      <c r="AT127" s="31">
        <v>0</v>
      </c>
      <c r="AU127" s="31">
        <v>0</v>
      </c>
      <c r="AV127" s="31">
        <v>0</v>
      </c>
      <c r="AW127" s="31">
        <v>0</v>
      </c>
      <c r="AX127" s="31">
        <v>0</v>
      </c>
      <c r="AY127" s="31">
        <v>0</v>
      </c>
      <c r="AZ127" s="31">
        <v>0</v>
      </c>
      <c r="BA127" s="31">
        <v>0</v>
      </c>
      <c r="BB127" s="31">
        <v>0</v>
      </c>
      <c r="BC127" s="33" t="s">
        <v>25</v>
      </c>
      <c r="BD127" s="47">
        <v>23372</v>
      </c>
      <c r="BE127" s="47">
        <v>29187</v>
      </c>
      <c r="BF127" s="45">
        <f t="shared" si="39"/>
        <v>2.2183628486737099</v>
      </c>
      <c r="BG127" s="30">
        <v>663</v>
      </c>
      <c r="BH127" s="30">
        <v>724</v>
      </c>
      <c r="BI127" s="30">
        <v>803</v>
      </c>
      <c r="BJ127" s="30">
        <v>731</v>
      </c>
      <c r="BK127" s="30">
        <v>766</v>
      </c>
      <c r="BL127" s="30">
        <v>23</v>
      </c>
      <c r="BM127" s="30">
        <v>3348</v>
      </c>
      <c r="BN127" s="30">
        <v>3</v>
      </c>
      <c r="BO127" s="30">
        <v>51</v>
      </c>
      <c r="BP127" s="30">
        <v>16</v>
      </c>
      <c r="BQ127" s="30">
        <v>70</v>
      </c>
      <c r="BR127" s="47">
        <v>24766</v>
      </c>
      <c r="BS127" s="47">
        <v>34854</v>
      </c>
      <c r="BT127" s="1">
        <f t="shared" si="40"/>
        <v>2.6490841377213652</v>
      </c>
      <c r="BU127" s="30">
        <v>21</v>
      </c>
      <c r="BV127" s="30">
        <v>0</v>
      </c>
      <c r="BW127" s="47">
        <v>1952</v>
      </c>
      <c r="BX127" s="52">
        <f t="shared" si="41"/>
        <v>0.14836208862202629</v>
      </c>
      <c r="BY127" s="47">
        <v>8139</v>
      </c>
      <c r="BZ127" s="47">
        <v>27</v>
      </c>
      <c r="CA127" s="47">
        <v>14406</v>
      </c>
      <c r="CB127" s="47">
        <v>335</v>
      </c>
      <c r="CC127" s="47">
        <v>22907</v>
      </c>
      <c r="CD127" s="55">
        <f t="shared" si="42"/>
        <v>1.7410503914266171</v>
      </c>
      <c r="CE127" s="3">
        <f t="shared" si="43"/>
        <v>9162.7999999999993</v>
      </c>
      <c r="CF127" s="55">
        <f t="shared" si="44"/>
        <v>11.687244897959184</v>
      </c>
      <c r="CG127" s="55">
        <f t="shared" si="45"/>
        <v>1.7019838026599301</v>
      </c>
      <c r="CH127" s="55">
        <f t="shared" si="46"/>
        <v>0.64684110862454813</v>
      </c>
      <c r="CI127" s="30">
        <v>20</v>
      </c>
      <c r="CJ127" s="30">
        <v>0</v>
      </c>
      <c r="CK127" s="30">
        <v>48</v>
      </c>
      <c r="CL127" s="30">
        <v>68</v>
      </c>
      <c r="CM127" s="30">
        <v>520</v>
      </c>
      <c r="CN127" s="30">
        <v>0</v>
      </c>
      <c r="CO127" s="30">
        <v>240</v>
      </c>
      <c r="CP127" s="30">
        <v>760</v>
      </c>
      <c r="CQ127" s="1">
        <f t="shared" si="54"/>
        <v>5.7763927947100405E-2</v>
      </c>
      <c r="CR127" s="47">
        <v>13459</v>
      </c>
      <c r="CS127" s="55">
        <f t="shared" si="47"/>
        <v>1.0229535608421372</v>
      </c>
      <c r="CT127" s="59">
        <v>2752</v>
      </c>
      <c r="CU127" s="29" t="s">
        <v>25</v>
      </c>
      <c r="CV127" s="29" t="s">
        <v>25</v>
      </c>
      <c r="CW127" s="29" t="s">
        <v>25</v>
      </c>
      <c r="CX127" s="35">
        <v>0</v>
      </c>
      <c r="CY127" s="49">
        <v>0</v>
      </c>
      <c r="CZ127" s="35">
        <v>2</v>
      </c>
      <c r="DA127" s="35">
        <v>0.5</v>
      </c>
      <c r="DB127" s="35">
        <v>2.5</v>
      </c>
      <c r="DC127" s="49">
        <f t="shared" si="48"/>
        <v>5262.8</v>
      </c>
      <c r="DD127" s="30">
        <v>7</v>
      </c>
      <c r="DE127" s="31">
        <v>34481</v>
      </c>
      <c r="DF127" s="35">
        <v>40</v>
      </c>
      <c r="DG127" s="29" t="s">
        <v>25</v>
      </c>
      <c r="DH127" s="29" t="s">
        <v>25</v>
      </c>
      <c r="DI127" s="29" t="s">
        <v>25</v>
      </c>
      <c r="DJ127" s="47">
        <v>546</v>
      </c>
      <c r="DK127" s="47">
        <v>538</v>
      </c>
      <c r="DL127" s="47">
        <v>12</v>
      </c>
      <c r="DM127" s="47">
        <v>5508</v>
      </c>
      <c r="DN127" s="47">
        <v>1636</v>
      </c>
      <c r="DO127" s="47">
        <v>0</v>
      </c>
      <c r="DP127" s="29" t="s">
        <v>25</v>
      </c>
      <c r="DQ127" s="47">
        <v>1550</v>
      </c>
      <c r="DR127" s="47">
        <v>1960</v>
      </c>
      <c r="DS127" s="30">
        <v>49</v>
      </c>
      <c r="DT127" s="30">
        <v>40</v>
      </c>
      <c r="DU127" s="30">
        <v>40</v>
      </c>
      <c r="DV127" s="30">
        <v>40</v>
      </c>
      <c r="DX127" s="2">
        <f t="shared" si="49"/>
        <v>1960</v>
      </c>
      <c r="DY127" s="33" t="s">
        <v>2184</v>
      </c>
      <c r="DZ127" s="33" t="s">
        <v>395</v>
      </c>
      <c r="EA127" s="33" t="s">
        <v>2031</v>
      </c>
      <c r="EB127" s="33" t="s">
        <v>2027</v>
      </c>
      <c r="EC127" s="36">
        <v>99</v>
      </c>
      <c r="ED127" s="29" t="s">
        <v>392</v>
      </c>
      <c r="EE127" s="29" t="s">
        <v>393</v>
      </c>
      <c r="EF127" s="37">
        <v>41548</v>
      </c>
      <c r="EG127" s="37">
        <v>41912</v>
      </c>
      <c r="EH127" s="29" t="s">
        <v>392</v>
      </c>
      <c r="EI127" s="55">
        <f t="shared" si="50"/>
        <v>0.61860606521243444</v>
      </c>
      <c r="EJ127" s="54">
        <f t="shared" si="51"/>
        <v>2.0521395454890933E-3</v>
      </c>
      <c r="EK127" s="55">
        <f t="shared" si="52"/>
        <v>1.0949304552709584</v>
      </c>
      <c r="EL127" s="54">
        <f t="shared" si="53"/>
        <v>2.5461731397735048E-2</v>
      </c>
    </row>
    <row r="128" spans="1:142" ht="28.8" x14ac:dyDescent="0.3">
      <c r="A128" s="29" t="s">
        <v>269</v>
      </c>
      <c r="B128" s="29"/>
      <c r="C128" s="30">
        <v>1257676</v>
      </c>
      <c r="D128" s="30">
        <v>28</v>
      </c>
      <c r="E128" s="30">
        <v>2</v>
      </c>
      <c r="F128" s="30">
        <v>646733</v>
      </c>
      <c r="G128">
        <v>418116</v>
      </c>
      <c r="H128" s="2">
        <f t="shared" ref="H128:H189" si="58">G128+F128</f>
        <v>1064849</v>
      </c>
      <c r="I128" s="1">
        <f t="shared" si="57"/>
        <v>0.84667990802082571</v>
      </c>
      <c r="J128" s="31">
        <v>10108476</v>
      </c>
      <c r="K128" s="31">
        <v>2629903</v>
      </c>
      <c r="L128" s="31">
        <v>12738379</v>
      </c>
      <c r="M128" s="45">
        <f t="shared" si="30"/>
        <v>10.1285060699258</v>
      </c>
      <c r="N128" s="31">
        <v>2361146</v>
      </c>
      <c r="O128" s="31">
        <v>865648</v>
      </c>
      <c r="P128" s="31">
        <v>1258000</v>
      </c>
      <c r="Q128" s="31">
        <v>4484794</v>
      </c>
      <c r="R128" s="45">
        <f t="shared" si="31"/>
        <v>3.56593749105493</v>
      </c>
      <c r="S128" s="31">
        <v>4986035</v>
      </c>
      <c r="T128" s="31">
        <v>22209208</v>
      </c>
      <c r="U128" s="31">
        <v>0</v>
      </c>
      <c r="V128" s="31">
        <v>22209208</v>
      </c>
      <c r="W128" s="45">
        <f t="shared" si="32"/>
        <v>17.65892646436761</v>
      </c>
      <c r="X128" s="4">
        <f t="shared" si="33"/>
        <v>0.57356295640979182</v>
      </c>
      <c r="Y128" s="4">
        <f t="shared" si="34"/>
        <v>0.20193399062226802</v>
      </c>
      <c r="Z128" s="4">
        <f t="shared" si="35"/>
        <v>0.22450305296794015</v>
      </c>
      <c r="AA128" s="4">
        <f t="shared" si="36"/>
        <v>0</v>
      </c>
      <c r="AB128" s="31">
        <v>0</v>
      </c>
      <c r="AC128" s="31">
        <v>4484794</v>
      </c>
      <c r="AD128" s="31">
        <v>22209208</v>
      </c>
      <c r="AE128" s="31">
        <v>21774123</v>
      </c>
      <c r="AF128" s="31">
        <v>21774123</v>
      </c>
      <c r="AG128" s="31">
        <v>0</v>
      </c>
      <c r="AH128" s="31">
        <v>0</v>
      </c>
      <c r="AI128" s="31">
        <v>21774123</v>
      </c>
      <c r="AJ128" s="45">
        <f t="shared" si="37"/>
        <v>17.312982835006789</v>
      </c>
      <c r="AK128" s="31">
        <v>0</v>
      </c>
      <c r="AL128" s="31">
        <v>0</v>
      </c>
      <c r="AM128" s="31">
        <v>0</v>
      </c>
      <c r="AN128" s="31">
        <v>0</v>
      </c>
      <c r="AO128" s="31">
        <v>266275</v>
      </c>
      <c r="AP128" s="31">
        <v>118505</v>
      </c>
      <c r="AQ128" s="31">
        <v>384780</v>
      </c>
      <c r="AR128" s="31">
        <v>22158903</v>
      </c>
      <c r="AS128" s="46">
        <f t="shared" si="38"/>
        <v>17.618928086406992</v>
      </c>
      <c r="AT128" s="31">
        <v>0</v>
      </c>
      <c r="AU128" s="31">
        <v>0</v>
      </c>
      <c r="AV128" s="31">
        <v>0</v>
      </c>
      <c r="AW128" s="31">
        <v>0</v>
      </c>
      <c r="AX128" s="31">
        <v>0</v>
      </c>
      <c r="AY128" s="31">
        <v>0</v>
      </c>
      <c r="AZ128" s="31">
        <v>0</v>
      </c>
      <c r="BA128" s="31">
        <v>0</v>
      </c>
      <c r="BB128" s="31">
        <v>0</v>
      </c>
      <c r="BC128" s="33" t="s">
        <v>25</v>
      </c>
      <c r="BD128" s="47">
        <v>856704</v>
      </c>
      <c r="BE128" s="47">
        <v>4141349</v>
      </c>
      <c r="BF128" s="45">
        <f t="shared" si="39"/>
        <v>3.2928584150448925</v>
      </c>
      <c r="BG128" s="30">
        <v>62779</v>
      </c>
      <c r="BH128" s="30">
        <v>141343</v>
      </c>
      <c r="BI128" s="30">
        <v>6209</v>
      </c>
      <c r="BJ128" s="30">
        <v>41059</v>
      </c>
      <c r="BK128" s="30">
        <v>171946</v>
      </c>
      <c r="BL128" s="30">
        <v>1102</v>
      </c>
      <c r="BM128" s="30">
        <v>20027</v>
      </c>
      <c r="BN128" s="30">
        <v>32</v>
      </c>
      <c r="BO128" s="30">
        <v>51</v>
      </c>
      <c r="BP128" s="30">
        <v>0</v>
      </c>
      <c r="BQ128" s="30">
        <v>83</v>
      </c>
      <c r="BR128" s="47">
        <v>960542</v>
      </c>
      <c r="BS128" s="47">
        <v>4482008</v>
      </c>
      <c r="BT128" s="1">
        <f t="shared" si="40"/>
        <v>3.5637222941361686</v>
      </c>
      <c r="BU128" s="30">
        <v>1092</v>
      </c>
      <c r="BV128" s="30">
        <v>156</v>
      </c>
      <c r="BW128" s="47">
        <v>311972</v>
      </c>
      <c r="BX128" s="52">
        <f t="shared" si="41"/>
        <v>0.24805434786065728</v>
      </c>
      <c r="BY128" s="47">
        <v>0</v>
      </c>
      <c r="BZ128" s="47">
        <v>0</v>
      </c>
      <c r="CA128" s="47">
        <v>9597000</v>
      </c>
      <c r="CB128" s="47">
        <v>167800</v>
      </c>
      <c r="CC128" s="47">
        <v>9764800</v>
      </c>
      <c r="CD128" s="55">
        <f t="shared" si="42"/>
        <v>7.7641618350036099</v>
      </c>
      <c r="CE128" s="3">
        <f t="shared" si="43"/>
        <v>37629.28709055877</v>
      </c>
      <c r="CF128" s="55">
        <f t="shared" si="44"/>
        <v>159.28487537517944</v>
      </c>
      <c r="CG128" s="55">
        <f t="shared" si="45"/>
        <v>3.1891215578255263</v>
      </c>
      <c r="CH128" s="55">
        <f t="shared" si="46"/>
        <v>2.1412277711240142</v>
      </c>
      <c r="CI128" s="30">
        <v>4634</v>
      </c>
      <c r="CJ128" s="30">
        <v>673</v>
      </c>
      <c r="CK128" s="30">
        <v>3147</v>
      </c>
      <c r="CL128" s="30">
        <v>8454</v>
      </c>
      <c r="CM128" s="30">
        <v>184118</v>
      </c>
      <c r="CN128" s="30">
        <v>9784</v>
      </c>
      <c r="CO128" s="30">
        <v>49756</v>
      </c>
      <c r="CP128" s="30">
        <v>243658</v>
      </c>
      <c r="CQ128" s="1">
        <f t="shared" si="54"/>
        <v>0.19373670166243134</v>
      </c>
      <c r="CR128" s="47">
        <v>3061909</v>
      </c>
      <c r="CS128" s="55">
        <f t="shared" si="47"/>
        <v>2.4345769498662611</v>
      </c>
      <c r="CT128" s="59">
        <v>680452</v>
      </c>
      <c r="CU128" s="29" t="s">
        <v>25</v>
      </c>
      <c r="CV128" s="29" t="s">
        <v>25</v>
      </c>
      <c r="CW128" s="29" t="s">
        <v>25</v>
      </c>
      <c r="CX128" s="35">
        <v>95</v>
      </c>
      <c r="CY128" s="49">
        <f>C128/CX128</f>
        <v>13238.694736842106</v>
      </c>
      <c r="CZ128" s="35">
        <v>2</v>
      </c>
      <c r="DA128" s="35">
        <v>162.5</v>
      </c>
      <c r="DB128" s="35">
        <v>259.5</v>
      </c>
      <c r="DC128" s="49">
        <f t="shared" si="48"/>
        <v>4846.5356454720613</v>
      </c>
      <c r="DD128" s="30">
        <v>43856</v>
      </c>
      <c r="DE128" s="31">
        <v>143103</v>
      </c>
      <c r="DF128" s="35">
        <v>40</v>
      </c>
      <c r="DG128" s="29" t="s">
        <v>25</v>
      </c>
      <c r="DH128" s="29" t="s">
        <v>25</v>
      </c>
      <c r="DI128" s="29" t="s">
        <v>25</v>
      </c>
      <c r="DJ128" s="47">
        <v>1047</v>
      </c>
      <c r="DK128" s="47">
        <v>3459</v>
      </c>
      <c r="DL128" s="47">
        <v>724</v>
      </c>
      <c r="DM128" s="47">
        <v>-1</v>
      </c>
      <c r="DN128" s="47">
        <v>1370</v>
      </c>
      <c r="DO128" s="47">
        <v>0</v>
      </c>
      <c r="DP128" s="29" t="s">
        <v>25</v>
      </c>
      <c r="DQ128" s="47">
        <v>3387613</v>
      </c>
      <c r="DR128" s="47">
        <v>2026</v>
      </c>
      <c r="DS128" s="30">
        <v>52</v>
      </c>
      <c r="DT128" s="30">
        <v>72</v>
      </c>
      <c r="DU128" s="30">
        <v>40</v>
      </c>
      <c r="DV128" s="30">
        <v>40</v>
      </c>
      <c r="DW128">
        <f>VLOOKUP(EC128,branch!$I$4:$K$77,3,0)</f>
        <v>59278</v>
      </c>
      <c r="DX128" s="2">
        <f t="shared" si="49"/>
        <v>61304</v>
      </c>
      <c r="DY128" s="33" t="s">
        <v>2182</v>
      </c>
      <c r="DZ128" s="33" t="s">
        <v>397</v>
      </c>
      <c r="EA128" s="33" t="s">
        <v>2030</v>
      </c>
      <c r="EB128" s="33" t="s">
        <v>2027</v>
      </c>
      <c r="EC128" s="36">
        <v>100</v>
      </c>
      <c r="ED128" s="29" t="s">
        <v>396</v>
      </c>
      <c r="EE128" s="29" t="s">
        <v>269</v>
      </c>
      <c r="EF128" s="37">
        <v>41548</v>
      </c>
      <c r="EG128" s="37">
        <v>41912</v>
      </c>
      <c r="EH128" s="29" t="s">
        <v>396</v>
      </c>
      <c r="EI128" s="55">
        <f t="shared" si="50"/>
        <v>0</v>
      </c>
      <c r="EJ128" s="54">
        <f t="shared" si="51"/>
        <v>0</v>
      </c>
      <c r="EK128" s="55">
        <f t="shared" si="52"/>
        <v>7.6307411447781464</v>
      </c>
      <c r="EL128" s="54">
        <f t="shared" si="53"/>
        <v>0.13342069022546346</v>
      </c>
    </row>
    <row r="129" spans="1:142" ht="28.8" x14ac:dyDescent="0.3">
      <c r="A129" s="29" t="s">
        <v>398</v>
      </c>
      <c r="B129" s="29"/>
      <c r="C129" s="30">
        <v>7390</v>
      </c>
      <c r="D129" s="30">
        <v>0</v>
      </c>
      <c r="E129" s="30">
        <v>0</v>
      </c>
      <c r="F129" s="30">
        <v>11000</v>
      </c>
      <c r="H129" s="2">
        <f t="shared" si="58"/>
        <v>11000</v>
      </c>
      <c r="I129" s="1">
        <f t="shared" si="57"/>
        <v>1.4884979702300405</v>
      </c>
      <c r="J129" s="31">
        <v>101677</v>
      </c>
      <c r="K129" s="31">
        <v>30385</v>
      </c>
      <c r="L129" s="31">
        <v>132062</v>
      </c>
      <c r="M129" s="45">
        <f t="shared" si="30"/>
        <v>17.870365358592693</v>
      </c>
      <c r="N129" s="31">
        <v>7734</v>
      </c>
      <c r="O129" s="31">
        <v>0</v>
      </c>
      <c r="P129" s="31">
        <v>1244</v>
      </c>
      <c r="Q129" s="31">
        <v>8978</v>
      </c>
      <c r="R129" s="45">
        <f t="shared" si="31"/>
        <v>1.2148849797023005</v>
      </c>
      <c r="S129" s="31">
        <v>61325</v>
      </c>
      <c r="T129" s="31">
        <v>202365</v>
      </c>
      <c r="U129" s="31">
        <v>0</v>
      </c>
      <c r="V129" s="31">
        <v>202365</v>
      </c>
      <c r="W129" s="45">
        <f t="shared" si="32"/>
        <v>27.383626522327468</v>
      </c>
      <c r="X129" s="4">
        <f t="shared" si="33"/>
        <v>0.65259308674919081</v>
      </c>
      <c r="Y129" s="4">
        <f t="shared" si="34"/>
        <v>4.4365379388728289E-2</v>
      </c>
      <c r="Z129" s="4">
        <f t="shared" si="35"/>
        <v>0.30304153386208088</v>
      </c>
      <c r="AA129" s="4">
        <f t="shared" si="36"/>
        <v>0</v>
      </c>
      <c r="AB129" s="31">
        <v>0</v>
      </c>
      <c r="AC129" s="31">
        <v>8978</v>
      </c>
      <c r="AD129" s="31">
        <v>202365</v>
      </c>
      <c r="AE129" s="31">
        <v>202365</v>
      </c>
      <c r="AF129" s="31">
        <v>202365</v>
      </c>
      <c r="AG129" s="31">
        <v>0</v>
      </c>
      <c r="AH129" s="31">
        <v>0</v>
      </c>
      <c r="AI129" s="31">
        <v>202365</v>
      </c>
      <c r="AJ129" s="45">
        <f t="shared" si="37"/>
        <v>27.383626522327468</v>
      </c>
      <c r="AK129" s="31">
        <v>0</v>
      </c>
      <c r="AL129" s="31">
        <v>0</v>
      </c>
      <c r="AM129" s="31">
        <v>0</v>
      </c>
      <c r="AN129" s="31">
        <v>0</v>
      </c>
      <c r="AO129" s="31">
        <v>0</v>
      </c>
      <c r="AP129" s="31">
        <v>4339</v>
      </c>
      <c r="AQ129" s="31">
        <v>4339</v>
      </c>
      <c r="AR129" s="31">
        <v>206704</v>
      </c>
      <c r="AS129" s="46">
        <f t="shared" si="38"/>
        <v>27.970771312584574</v>
      </c>
      <c r="AT129" s="31">
        <v>0</v>
      </c>
      <c r="AU129" s="31">
        <v>0</v>
      </c>
      <c r="AV129" s="31">
        <v>0</v>
      </c>
      <c r="AW129" s="31">
        <v>0</v>
      </c>
      <c r="AX129" s="31">
        <v>0</v>
      </c>
      <c r="AY129" s="31">
        <v>0</v>
      </c>
      <c r="AZ129" s="31">
        <v>0</v>
      </c>
      <c r="BA129" s="31">
        <v>0</v>
      </c>
      <c r="BB129" s="31">
        <v>0</v>
      </c>
      <c r="BC129" s="33" t="s">
        <v>25</v>
      </c>
      <c r="BD129" s="47">
        <v>30536</v>
      </c>
      <c r="BE129" s="47">
        <v>31757</v>
      </c>
      <c r="BF129" s="45">
        <f t="shared" si="39"/>
        <v>4.2972936400541268</v>
      </c>
      <c r="BG129" s="30">
        <v>837</v>
      </c>
      <c r="BH129" s="30">
        <v>851</v>
      </c>
      <c r="BI129" s="30">
        <v>0</v>
      </c>
      <c r="BJ129" s="30">
        <v>1984</v>
      </c>
      <c r="BK129" s="30">
        <v>2015</v>
      </c>
      <c r="BL129" s="30">
        <v>0</v>
      </c>
      <c r="BM129" s="30">
        <v>0</v>
      </c>
      <c r="BN129" s="30">
        <v>0</v>
      </c>
      <c r="BO129" s="30">
        <v>51</v>
      </c>
      <c r="BP129" s="30">
        <v>0</v>
      </c>
      <c r="BQ129" s="30">
        <v>51</v>
      </c>
      <c r="BR129" s="47">
        <v>33357</v>
      </c>
      <c r="BS129" s="47">
        <v>34623</v>
      </c>
      <c r="BT129" s="1">
        <f t="shared" si="40"/>
        <v>4.6851150202976992</v>
      </c>
      <c r="BU129" s="30">
        <v>86</v>
      </c>
      <c r="BV129" s="30">
        <v>0</v>
      </c>
      <c r="BW129" s="47">
        <v>1520</v>
      </c>
      <c r="BX129" s="52">
        <f t="shared" si="41"/>
        <v>0.20568335588633288</v>
      </c>
      <c r="BY129" s="47">
        <v>12584</v>
      </c>
      <c r="BZ129" s="47">
        <v>0</v>
      </c>
      <c r="CA129" s="47">
        <v>21603</v>
      </c>
      <c r="CB129" s="47">
        <v>0</v>
      </c>
      <c r="CC129" s="47">
        <v>34187</v>
      </c>
      <c r="CD129" s="55">
        <f t="shared" si="42"/>
        <v>4.6261163734776725</v>
      </c>
      <c r="CE129" s="3">
        <f t="shared" si="43"/>
        <v>7927.420289855072</v>
      </c>
      <c r="CF129" s="55">
        <f t="shared" si="44"/>
        <v>17.301113360323885</v>
      </c>
      <c r="CG129" s="55">
        <f t="shared" si="45"/>
        <v>0.91774717457249466</v>
      </c>
      <c r="CH129" s="55">
        <f t="shared" si="46"/>
        <v>0.98740721485717586</v>
      </c>
      <c r="CI129" s="30">
        <v>78</v>
      </c>
      <c r="CJ129" s="30">
        <v>5</v>
      </c>
      <c r="CK129" s="30">
        <v>4</v>
      </c>
      <c r="CL129" s="30">
        <v>87</v>
      </c>
      <c r="CM129" s="30">
        <v>2695</v>
      </c>
      <c r="CN129" s="30">
        <v>45</v>
      </c>
      <c r="CO129" s="30">
        <v>71</v>
      </c>
      <c r="CP129" s="30">
        <v>2811</v>
      </c>
      <c r="CQ129" s="1">
        <f t="shared" si="54"/>
        <v>0.38037889039242218</v>
      </c>
      <c r="CR129" s="47">
        <v>37251</v>
      </c>
      <c r="CS129" s="55">
        <f t="shared" si="47"/>
        <v>5.0407307171853857</v>
      </c>
      <c r="CT129" s="59">
        <v>11840</v>
      </c>
      <c r="CU129" s="29" t="s">
        <v>25</v>
      </c>
      <c r="CV129" s="29" t="s">
        <v>25</v>
      </c>
      <c r="CW129" s="29" t="s">
        <v>25</v>
      </c>
      <c r="CX129" s="35">
        <v>0</v>
      </c>
      <c r="CY129" s="49">
        <v>0</v>
      </c>
      <c r="CZ129" s="35">
        <v>1</v>
      </c>
      <c r="DA129" s="35">
        <v>3.3125</v>
      </c>
      <c r="DB129" s="35">
        <v>4.3125</v>
      </c>
      <c r="DC129" s="49">
        <f t="shared" si="48"/>
        <v>1713.623188405797</v>
      </c>
      <c r="DD129" s="30">
        <v>90</v>
      </c>
      <c r="DE129" s="31">
        <v>40228</v>
      </c>
      <c r="DF129" s="35">
        <v>40</v>
      </c>
      <c r="DG129" s="29" t="s">
        <v>25</v>
      </c>
      <c r="DH129" s="29" t="s">
        <v>25</v>
      </c>
      <c r="DI129" s="29" t="s">
        <v>25</v>
      </c>
      <c r="DJ129" s="47">
        <v>5</v>
      </c>
      <c r="DK129" s="47">
        <v>44</v>
      </c>
      <c r="DL129" s="47">
        <v>29</v>
      </c>
      <c r="DM129" s="47">
        <v>8170</v>
      </c>
      <c r="DN129" s="47">
        <v>6</v>
      </c>
      <c r="DO129" s="47">
        <v>0</v>
      </c>
      <c r="DP129" s="29" t="s">
        <v>2028</v>
      </c>
      <c r="DQ129" s="47">
        <v>0</v>
      </c>
      <c r="DR129" s="47">
        <v>1976</v>
      </c>
      <c r="DS129" s="30">
        <v>50</v>
      </c>
      <c r="DT129" s="30">
        <v>40</v>
      </c>
      <c r="DU129" s="30">
        <v>40</v>
      </c>
      <c r="DV129" s="30">
        <v>40</v>
      </c>
      <c r="DX129" s="2">
        <f t="shared" si="49"/>
        <v>1976</v>
      </c>
      <c r="DY129" s="33" t="s">
        <v>2185</v>
      </c>
      <c r="DZ129" s="33" t="s">
        <v>400</v>
      </c>
      <c r="EA129" s="33" t="s">
        <v>2030</v>
      </c>
      <c r="EB129" s="33" t="s">
        <v>2027</v>
      </c>
      <c r="EC129" s="36">
        <v>102</v>
      </c>
      <c r="ED129" s="29" t="s">
        <v>399</v>
      </c>
      <c r="EE129" s="29" t="s">
        <v>313</v>
      </c>
      <c r="EF129" s="37">
        <v>41548</v>
      </c>
      <c r="EG129" s="37">
        <v>41912</v>
      </c>
      <c r="EH129" s="29" t="s">
        <v>399</v>
      </c>
      <c r="EI129" s="55">
        <f t="shared" si="50"/>
        <v>1.7028416779431665</v>
      </c>
      <c r="EJ129" s="54">
        <f t="shared" si="51"/>
        <v>0</v>
      </c>
      <c r="EK129" s="55">
        <f t="shared" si="52"/>
        <v>2.9232746955345061</v>
      </c>
      <c r="EL129" s="54">
        <f t="shared" si="53"/>
        <v>0</v>
      </c>
    </row>
    <row r="130" spans="1:142" ht="28.8" x14ac:dyDescent="0.3">
      <c r="A130" s="29" t="s">
        <v>404</v>
      </c>
      <c r="B130" s="29"/>
      <c r="C130" s="30">
        <v>10893</v>
      </c>
      <c r="D130" s="30">
        <v>0</v>
      </c>
      <c r="E130" s="30">
        <v>0</v>
      </c>
      <c r="F130" s="30">
        <v>10327</v>
      </c>
      <c r="H130" s="2">
        <f t="shared" si="58"/>
        <v>10327</v>
      </c>
      <c r="I130" s="1">
        <f t="shared" si="57"/>
        <v>0.9480400257045809</v>
      </c>
      <c r="J130" s="31">
        <v>293335</v>
      </c>
      <c r="K130" s="31">
        <v>93702</v>
      </c>
      <c r="L130" s="31">
        <v>387037</v>
      </c>
      <c r="M130" s="45">
        <f t="shared" si="30"/>
        <v>35.530799596070871</v>
      </c>
      <c r="N130" s="31">
        <v>38560</v>
      </c>
      <c r="O130" s="31">
        <v>5725</v>
      </c>
      <c r="P130" s="31">
        <v>3786</v>
      </c>
      <c r="Q130" s="31">
        <v>48071</v>
      </c>
      <c r="R130" s="45">
        <f t="shared" si="31"/>
        <v>4.413017534196273</v>
      </c>
      <c r="S130" s="31">
        <v>82276</v>
      </c>
      <c r="T130" s="31">
        <v>517384</v>
      </c>
      <c r="U130" s="31">
        <v>0</v>
      </c>
      <c r="V130" s="31">
        <v>517384</v>
      </c>
      <c r="W130" s="45">
        <f t="shared" si="32"/>
        <v>47.49692463049665</v>
      </c>
      <c r="X130" s="4">
        <f t="shared" si="33"/>
        <v>0.74806526680376662</v>
      </c>
      <c r="Y130" s="4">
        <f t="shared" si="34"/>
        <v>9.291164782830548E-2</v>
      </c>
      <c r="Z130" s="4">
        <f t="shared" si="35"/>
        <v>0.15902308536792789</v>
      </c>
      <c r="AA130" s="4">
        <f t="shared" si="36"/>
        <v>0</v>
      </c>
      <c r="AB130" s="31">
        <v>0</v>
      </c>
      <c r="AC130" s="31">
        <v>48071</v>
      </c>
      <c r="AD130" s="31">
        <v>517384</v>
      </c>
      <c r="AE130" s="31">
        <v>517384</v>
      </c>
      <c r="AF130" s="31">
        <v>465380</v>
      </c>
      <c r="AG130" s="31">
        <v>52004</v>
      </c>
      <c r="AH130" s="31">
        <v>0</v>
      </c>
      <c r="AI130" s="31">
        <v>517384</v>
      </c>
      <c r="AJ130" s="45">
        <f t="shared" si="37"/>
        <v>47.49692463049665</v>
      </c>
      <c r="AK130" s="31">
        <v>0</v>
      </c>
      <c r="AL130" s="31">
        <v>0</v>
      </c>
      <c r="AM130" s="31">
        <v>0</v>
      </c>
      <c r="AN130" s="31">
        <v>0</v>
      </c>
      <c r="AO130" s="31">
        <v>2133</v>
      </c>
      <c r="AP130" s="31">
        <v>0</v>
      </c>
      <c r="AQ130" s="31">
        <v>2133</v>
      </c>
      <c r="AR130" s="31">
        <v>519517</v>
      </c>
      <c r="AS130" s="46">
        <f t="shared" si="38"/>
        <v>47.692738455889106</v>
      </c>
      <c r="AT130" s="31">
        <v>0</v>
      </c>
      <c r="AU130" s="31">
        <v>0</v>
      </c>
      <c r="AV130" s="31">
        <v>0</v>
      </c>
      <c r="AW130" s="31">
        <v>0</v>
      </c>
      <c r="AX130" s="31">
        <v>0</v>
      </c>
      <c r="AY130" s="31">
        <v>0</v>
      </c>
      <c r="AZ130" s="31">
        <v>0</v>
      </c>
      <c r="BA130" s="31">
        <v>0</v>
      </c>
      <c r="BB130" s="31">
        <v>0</v>
      </c>
      <c r="BC130" s="33" t="s">
        <v>25</v>
      </c>
      <c r="BD130" s="47">
        <v>42744</v>
      </c>
      <c r="BE130" s="47">
        <v>48947</v>
      </c>
      <c r="BF130" s="45">
        <f t="shared" si="39"/>
        <v>4.4934361516570274</v>
      </c>
      <c r="BG130" s="30">
        <v>1561</v>
      </c>
      <c r="BH130" s="30">
        <v>1626</v>
      </c>
      <c r="BI130" s="30">
        <v>4488</v>
      </c>
      <c r="BJ130" s="30">
        <v>2274</v>
      </c>
      <c r="BK130" s="30">
        <v>2470</v>
      </c>
      <c r="BL130" s="30">
        <v>0</v>
      </c>
      <c r="BM130" s="30">
        <v>7999</v>
      </c>
      <c r="BN130" s="30">
        <v>4</v>
      </c>
      <c r="BO130" s="30">
        <v>51</v>
      </c>
      <c r="BP130" s="30">
        <v>0</v>
      </c>
      <c r="BQ130" s="30">
        <v>55</v>
      </c>
      <c r="BR130" s="47">
        <v>46579</v>
      </c>
      <c r="BS130" s="47">
        <v>65534</v>
      </c>
      <c r="BT130" s="1">
        <f t="shared" si="40"/>
        <v>6.0161571651519328</v>
      </c>
      <c r="BU130" s="30">
        <v>45</v>
      </c>
      <c r="BV130" s="30">
        <v>0</v>
      </c>
      <c r="BW130" s="47">
        <v>4608</v>
      </c>
      <c r="BX130" s="52">
        <f t="shared" si="41"/>
        <v>0.42302396034150369</v>
      </c>
      <c r="BY130" s="47">
        <v>41306</v>
      </c>
      <c r="BZ130" s="47">
        <v>259</v>
      </c>
      <c r="CA130" s="47">
        <v>51741</v>
      </c>
      <c r="CB130" s="47">
        <v>7226</v>
      </c>
      <c r="CC130" s="47">
        <v>100532</v>
      </c>
      <c r="CD130" s="55">
        <f t="shared" si="42"/>
        <v>9.2290461764435872</v>
      </c>
      <c r="CE130" s="3">
        <f t="shared" si="43"/>
        <v>11311.617440225036</v>
      </c>
      <c r="CF130" s="55">
        <f t="shared" si="44"/>
        <v>40.390518280433909</v>
      </c>
      <c r="CG130" s="55">
        <f t="shared" si="45"/>
        <v>0.79213943519919316</v>
      </c>
      <c r="CH130" s="55">
        <f t="shared" si="46"/>
        <v>1.4198278756065554</v>
      </c>
      <c r="CI130" s="30">
        <v>184</v>
      </c>
      <c r="CJ130" s="30">
        <v>32</v>
      </c>
      <c r="CK130" s="30">
        <v>71</v>
      </c>
      <c r="CL130" s="30">
        <v>287</v>
      </c>
      <c r="CM130" s="30">
        <v>7805</v>
      </c>
      <c r="CN130" s="30">
        <v>446</v>
      </c>
      <c r="CO130" s="30">
        <v>976</v>
      </c>
      <c r="CP130" s="30">
        <v>9227</v>
      </c>
      <c r="CQ130" s="1">
        <f t="shared" si="54"/>
        <v>0.84705774350500318</v>
      </c>
      <c r="CR130" s="47">
        <v>126912</v>
      </c>
      <c r="CS130" s="55">
        <f t="shared" si="47"/>
        <v>11.650784907738915</v>
      </c>
      <c r="CT130" s="59">
        <v>20550</v>
      </c>
      <c r="CU130" s="29" t="s">
        <v>25</v>
      </c>
      <c r="CV130" s="29" t="s">
        <v>25</v>
      </c>
      <c r="CW130" s="29" t="s">
        <v>25</v>
      </c>
      <c r="CX130" s="35">
        <v>2</v>
      </c>
      <c r="CY130" s="49">
        <f>C130/CX130</f>
        <v>5446.5</v>
      </c>
      <c r="CZ130" s="35">
        <v>0</v>
      </c>
      <c r="DA130" s="35">
        <v>6.8875000000000002</v>
      </c>
      <c r="DB130" s="35">
        <v>8.8874999999999993</v>
      </c>
      <c r="DC130" s="49">
        <f t="shared" si="48"/>
        <v>1225.6540084388187</v>
      </c>
      <c r="DD130" s="30">
        <v>705</v>
      </c>
      <c r="DE130" s="31">
        <v>67500</v>
      </c>
      <c r="DF130" s="35">
        <v>40</v>
      </c>
      <c r="DG130" s="29" t="s">
        <v>25</v>
      </c>
      <c r="DH130" s="29" t="s">
        <v>25</v>
      </c>
      <c r="DI130" s="29" t="s">
        <v>25</v>
      </c>
      <c r="DJ130" s="47">
        <v>2389</v>
      </c>
      <c r="DK130" s="47">
        <v>2014</v>
      </c>
      <c r="DL130" s="47">
        <v>14</v>
      </c>
      <c r="DM130" s="47">
        <v>12903</v>
      </c>
      <c r="DN130" s="47">
        <v>1054</v>
      </c>
      <c r="DO130" s="47">
        <v>0</v>
      </c>
      <c r="DP130" s="29" t="s">
        <v>25</v>
      </c>
      <c r="DQ130" s="47">
        <v>42652</v>
      </c>
      <c r="DR130" s="47">
        <v>2489</v>
      </c>
      <c r="DS130" s="30">
        <v>52</v>
      </c>
      <c r="DT130" s="30">
        <v>50</v>
      </c>
      <c r="DU130" s="30">
        <v>50</v>
      </c>
      <c r="DV130" s="30">
        <v>50</v>
      </c>
      <c r="DX130" s="2">
        <f t="shared" si="49"/>
        <v>2489</v>
      </c>
      <c r="DY130" s="33" t="s">
        <v>2181</v>
      </c>
      <c r="DZ130" s="33" t="s">
        <v>407</v>
      </c>
      <c r="EA130" s="33" t="s">
        <v>2030</v>
      </c>
      <c r="EB130" s="33" t="s">
        <v>2027</v>
      </c>
      <c r="EC130" s="36">
        <v>104</v>
      </c>
      <c r="ED130" s="29" t="s">
        <v>405</v>
      </c>
      <c r="EE130" s="29" t="s">
        <v>206</v>
      </c>
      <c r="EF130" s="37">
        <v>41548</v>
      </c>
      <c r="EG130" s="37">
        <v>41912</v>
      </c>
      <c r="EH130" s="29" t="s">
        <v>405</v>
      </c>
      <c r="EI130" s="55">
        <f t="shared" si="50"/>
        <v>3.7919764986688698</v>
      </c>
      <c r="EJ130" s="54">
        <f t="shared" si="51"/>
        <v>2.3776737354264207E-2</v>
      </c>
      <c r="EK130" s="55">
        <f t="shared" si="52"/>
        <v>4.749931148443955</v>
      </c>
      <c r="EL130" s="54">
        <f t="shared" si="53"/>
        <v>0.66336179197649869</v>
      </c>
    </row>
    <row r="131" spans="1:142" ht="28.8" x14ac:dyDescent="0.3">
      <c r="A131" s="29" t="s">
        <v>409</v>
      </c>
      <c r="B131" s="29"/>
      <c r="C131" s="30">
        <v>33237</v>
      </c>
      <c r="D131" s="30">
        <v>0</v>
      </c>
      <c r="E131" s="30">
        <v>0</v>
      </c>
      <c r="F131" s="30">
        <v>18800</v>
      </c>
      <c r="H131" s="2">
        <f t="shared" si="58"/>
        <v>18800</v>
      </c>
      <c r="I131" s="1">
        <f t="shared" si="57"/>
        <v>0.56563468423744623</v>
      </c>
      <c r="J131" s="31">
        <v>516962</v>
      </c>
      <c r="K131" s="31">
        <v>155089</v>
      </c>
      <c r="L131" s="31">
        <v>672051</v>
      </c>
      <c r="M131" s="45">
        <f t="shared" si="30"/>
        <v>20.21996570087553</v>
      </c>
      <c r="N131" s="31">
        <v>78793</v>
      </c>
      <c r="O131" s="31">
        <v>32209</v>
      </c>
      <c r="P131" s="31">
        <v>16552</v>
      </c>
      <c r="Q131" s="31">
        <v>127554</v>
      </c>
      <c r="R131" s="45">
        <f t="shared" si="31"/>
        <v>3.8377109847459159</v>
      </c>
      <c r="S131" s="31">
        <v>49986</v>
      </c>
      <c r="T131" s="31">
        <v>849591</v>
      </c>
      <c r="U131" s="31">
        <v>0</v>
      </c>
      <c r="V131" s="31">
        <v>849591</v>
      </c>
      <c r="W131" s="45">
        <f t="shared" si="32"/>
        <v>25.56160303276469</v>
      </c>
      <c r="X131" s="4">
        <f t="shared" si="33"/>
        <v>0.79102885976899473</v>
      </c>
      <c r="Y131" s="4">
        <f t="shared" si="34"/>
        <v>0.15013577121226568</v>
      </c>
      <c r="Z131" s="4">
        <f t="shared" si="35"/>
        <v>5.8835369018739606E-2</v>
      </c>
      <c r="AA131" s="4">
        <f t="shared" si="36"/>
        <v>0</v>
      </c>
      <c r="AB131" s="31">
        <v>99671</v>
      </c>
      <c r="AC131" s="31">
        <v>127554</v>
      </c>
      <c r="AD131" s="31">
        <v>849591</v>
      </c>
      <c r="AE131" s="31">
        <v>849591</v>
      </c>
      <c r="AF131" s="31">
        <v>849591</v>
      </c>
      <c r="AG131" s="31">
        <v>0</v>
      </c>
      <c r="AH131" s="31">
        <v>0</v>
      </c>
      <c r="AI131" s="31">
        <v>849591</v>
      </c>
      <c r="AJ131" s="45">
        <f t="shared" si="37"/>
        <v>25.56160303276469</v>
      </c>
      <c r="AK131" s="31">
        <v>0</v>
      </c>
      <c r="AL131" s="31">
        <v>0</v>
      </c>
      <c r="AM131" s="31">
        <v>0</v>
      </c>
      <c r="AN131" s="31">
        <v>0</v>
      </c>
      <c r="AO131" s="31">
        <v>0</v>
      </c>
      <c r="AP131" s="31">
        <v>0</v>
      </c>
      <c r="AQ131" s="31">
        <v>0</v>
      </c>
      <c r="AR131" s="31">
        <v>849591</v>
      </c>
      <c r="AS131" s="46">
        <f t="shared" si="38"/>
        <v>25.56160303276469</v>
      </c>
      <c r="AT131" s="31">
        <v>99671</v>
      </c>
      <c r="AU131" s="31">
        <v>0</v>
      </c>
      <c r="AV131" s="31">
        <v>0</v>
      </c>
      <c r="AW131" s="31">
        <v>0</v>
      </c>
      <c r="AX131" s="31">
        <v>0</v>
      </c>
      <c r="AY131" s="31">
        <v>0</v>
      </c>
      <c r="AZ131" s="31">
        <v>0</v>
      </c>
      <c r="BA131" s="31">
        <v>0</v>
      </c>
      <c r="BB131" s="31">
        <v>99671</v>
      </c>
      <c r="BC131" s="33" t="s">
        <v>25</v>
      </c>
      <c r="BD131" s="47">
        <v>74953</v>
      </c>
      <c r="BE131" s="47">
        <v>78898</v>
      </c>
      <c r="BF131" s="45">
        <f t="shared" si="39"/>
        <v>2.3738002828173421</v>
      </c>
      <c r="BG131" s="30">
        <v>1601</v>
      </c>
      <c r="BH131" s="30">
        <v>1617</v>
      </c>
      <c r="BI131" s="30">
        <v>11998</v>
      </c>
      <c r="BJ131" s="30">
        <v>3893</v>
      </c>
      <c r="BK131" s="30">
        <v>3932</v>
      </c>
      <c r="BL131" s="30">
        <v>322</v>
      </c>
      <c r="BM131" s="30">
        <v>32891</v>
      </c>
      <c r="BN131" s="30">
        <v>5</v>
      </c>
      <c r="BO131" s="30">
        <v>51</v>
      </c>
      <c r="BP131" s="30">
        <v>5</v>
      </c>
      <c r="BQ131" s="30">
        <v>61</v>
      </c>
      <c r="BR131" s="47">
        <v>80447</v>
      </c>
      <c r="BS131" s="47">
        <v>129663</v>
      </c>
      <c r="BT131" s="1">
        <f t="shared" si="40"/>
        <v>3.9011643650148931</v>
      </c>
      <c r="BU131" s="30">
        <v>158</v>
      </c>
      <c r="BV131" s="30">
        <v>33</v>
      </c>
      <c r="BW131" s="47">
        <v>6666</v>
      </c>
      <c r="BX131" s="52">
        <f t="shared" si="41"/>
        <v>0.20055961729397961</v>
      </c>
      <c r="BY131" s="47">
        <v>60942</v>
      </c>
      <c r="BZ131" s="47">
        <v>408</v>
      </c>
      <c r="CA131" s="47">
        <v>78145</v>
      </c>
      <c r="CB131" s="47">
        <v>9051</v>
      </c>
      <c r="CC131" s="47">
        <v>148546</v>
      </c>
      <c r="CD131" s="55">
        <f t="shared" si="42"/>
        <v>4.4692962662093452</v>
      </c>
      <c r="CE131" s="3">
        <f t="shared" si="43"/>
        <v>11127.041198501871</v>
      </c>
      <c r="CF131" s="55">
        <f t="shared" si="44"/>
        <v>57.221109399075502</v>
      </c>
      <c r="CG131" s="55">
        <f t="shared" si="45"/>
        <v>2.1553395240858966</v>
      </c>
      <c r="CH131" s="55">
        <f t="shared" si="46"/>
        <v>1.0726807184779004</v>
      </c>
      <c r="CI131" s="30">
        <v>155</v>
      </c>
      <c r="CJ131" s="30">
        <v>79</v>
      </c>
      <c r="CK131" s="30">
        <v>122</v>
      </c>
      <c r="CL131" s="30">
        <v>356</v>
      </c>
      <c r="CM131" s="30">
        <v>5289</v>
      </c>
      <c r="CN131" s="30">
        <v>756</v>
      </c>
      <c r="CO131" s="30">
        <v>1241</v>
      </c>
      <c r="CP131" s="30">
        <v>7286</v>
      </c>
      <c r="CQ131" s="1">
        <f t="shared" si="54"/>
        <v>0.21921352709329964</v>
      </c>
      <c r="CR131" s="47">
        <v>68920</v>
      </c>
      <c r="CS131" s="55">
        <f t="shared" si="47"/>
        <v>2.0735926828534463</v>
      </c>
      <c r="CT131" s="59">
        <v>37192</v>
      </c>
      <c r="CU131" s="29" t="s">
        <v>25</v>
      </c>
      <c r="CV131" s="29" t="s">
        <v>25</v>
      </c>
      <c r="CW131" s="29" t="s">
        <v>25</v>
      </c>
      <c r="CX131" s="35">
        <v>3.2</v>
      </c>
      <c r="CY131" s="49">
        <f>C131/CX131</f>
        <v>10386.5625</v>
      </c>
      <c r="CZ131" s="35">
        <v>1</v>
      </c>
      <c r="DA131" s="35">
        <v>9.15</v>
      </c>
      <c r="DB131" s="35">
        <v>13.350000000000001</v>
      </c>
      <c r="DC131" s="49">
        <f t="shared" si="48"/>
        <v>2489.6629213483143</v>
      </c>
      <c r="DD131" s="30">
        <v>786</v>
      </c>
      <c r="DE131" s="31">
        <v>79560</v>
      </c>
      <c r="DF131" s="35">
        <v>40</v>
      </c>
      <c r="DG131" s="29" t="s">
        <v>25</v>
      </c>
      <c r="DH131" s="29" t="s">
        <v>25</v>
      </c>
      <c r="DI131" s="29" t="s">
        <v>25</v>
      </c>
      <c r="DJ131" s="47">
        <v>157</v>
      </c>
      <c r="DK131" s="47">
        <v>1</v>
      </c>
      <c r="DL131" s="47">
        <v>34</v>
      </c>
      <c r="DM131" s="47">
        <v>24128</v>
      </c>
      <c r="DN131" s="47">
        <v>3241</v>
      </c>
      <c r="DO131" s="47">
        <v>11352</v>
      </c>
      <c r="DP131" s="29" t="s">
        <v>25</v>
      </c>
      <c r="DQ131" s="47">
        <v>13259</v>
      </c>
      <c r="DR131" s="47">
        <v>2596</v>
      </c>
      <c r="DS131" s="30">
        <v>52</v>
      </c>
      <c r="DT131" s="30">
        <v>52</v>
      </c>
      <c r="DU131" s="30">
        <v>52</v>
      </c>
      <c r="DV131" s="30">
        <v>52</v>
      </c>
      <c r="DX131" s="2">
        <f t="shared" si="49"/>
        <v>2596</v>
      </c>
      <c r="DY131" s="33" t="s">
        <v>2185</v>
      </c>
      <c r="DZ131" s="33" t="s">
        <v>410</v>
      </c>
      <c r="EA131" s="33" t="s">
        <v>2030</v>
      </c>
      <c r="EB131" s="33" t="s">
        <v>2027</v>
      </c>
      <c r="EC131" s="36">
        <v>105</v>
      </c>
      <c r="ED131" s="29" t="s">
        <v>408</v>
      </c>
      <c r="EE131" s="29" t="s">
        <v>140</v>
      </c>
      <c r="EF131" s="37">
        <v>41548</v>
      </c>
      <c r="EG131" s="37">
        <v>41912</v>
      </c>
      <c r="EH131" s="29" t="s">
        <v>408</v>
      </c>
      <c r="EI131" s="55">
        <f t="shared" si="50"/>
        <v>1.8335589854680026</v>
      </c>
      <c r="EJ131" s="54">
        <f t="shared" si="51"/>
        <v>1.2275476126004152E-2</v>
      </c>
      <c r="EK131" s="55">
        <f t="shared" si="52"/>
        <v>2.3511448084965552</v>
      </c>
      <c r="EL131" s="54">
        <f t="shared" si="53"/>
        <v>0.27231699611878329</v>
      </c>
    </row>
    <row r="132" spans="1:142" ht="28.8" x14ac:dyDescent="0.3">
      <c r="A132" s="29" t="s">
        <v>402</v>
      </c>
      <c r="B132" s="29"/>
      <c r="C132" s="30">
        <v>4668</v>
      </c>
      <c r="D132" s="30">
        <v>0</v>
      </c>
      <c r="E132" s="30">
        <v>0</v>
      </c>
      <c r="F132" s="30">
        <v>2760</v>
      </c>
      <c r="H132" s="2">
        <f t="shared" si="58"/>
        <v>2760</v>
      </c>
      <c r="I132" s="1">
        <f t="shared" si="57"/>
        <v>0.59125964010282772</v>
      </c>
      <c r="J132" s="31">
        <v>25572</v>
      </c>
      <c r="K132" s="31">
        <v>1381</v>
      </c>
      <c r="L132" s="31">
        <v>26953</v>
      </c>
      <c r="M132" s="45">
        <f t="shared" ref="M132:M195" si="59">L132/C132</f>
        <v>5.7739931448157673</v>
      </c>
      <c r="N132" s="31">
        <v>9519</v>
      </c>
      <c r="O132" s="31">
        <v>1000</v>
      </c>
      <c r="P132" s="31">
        <v>1883</v>
      </c>
      <c r="Q132" s="31">
        <v>12402</v>
      </c>
      <c r="R132" s="45">
        <f t="shared" ref="R132:R195" si="60">Q132/C132</f>
        <v>2.6568123393316196</v>
      </c>
      <c r="S132" s="31">
        <v>10763</v>
      </c>
      <c r="T132" s="31">
        <v>50118</v>
      </c>
      <c r="U132" s="31">
        <v>0</v>
      </c>
      <c r="V132" s="31">
        <v>50118</v>
      </c>
      <c r="W132" s="45">
        <f t="shared" ref="W132:W195" si="61">V132/C132</f>
        <v>10.73650385604113</v>
      </c>
      <c r="X132" s="4">
        <f t="shared" ref="X132:X195" si="62">L132/V132</f>
        <v>0.53779081367971582</v>
      </c>
      <c r="Y132" s="4">
        <f t="shared" ref="Y132:Y195" si="63">Q132/V132</f>
        <v>0.24745600383095895</v>
      </c>
      <c r="Z132" s="4">
        <f t="shared" ref="Z132:Z195" si="64">S132/V132</f>
        <v>0.21475318248932521</v>
      </c>
      <c r="AA132" s="4">
        <f t="shared" ref="AA132:AA195" si="65">U132/V132</f>
        <v>0</v>
      </c>
      <c r="AB132" s="31">
        <v>0</v>
      </c>
      <c r="AC132" s="31">
        <v>12402</v>
      </c>
      <c r="AD132" s="31">
        <v>50118</v>
      </c>
      <c r="AE132" s="31">
        <v>48595</v>
      </c>
      <c r="AF132" s="31">
        <v>29395</v>
      </c>
      <c r="AG132" s="31">
        <v>24295</v>
      </c>
      <c r="AH132" s="31">
        <v>0</v>
      </c>
      <c r="AI132" s="31">
        <v>53690</v>
      </c>
      <c r="AJ132" s="45">
        <f t="shared" ref="AJ132:AJ195" si="66">AI132/C132</f>
        <v>11.501713796058269</v>
      </c>
      <c r="AK132" s="31">
        <v>0</v>
      </c>
      <c r="AL132" s="31">
        <v>0</v>
      </c>
      <c r="AM132" s="31">
        <v>0</v>
      </c>
      <c r="AN132" s="31">
        <v>0</v>
      </c>
      <c r="AO132" s="31">
        <v>0</v>
      </c>
      <c r="AP132" s="31">
        <v>1408</v>
      </c>
      <c r="AQ132" s="31">
        <v>1408</v>
      </c>
      <c r="AR132" s="31">
        <v>55098</v>
      </c>
      <c r="AS132" s="46">
        <f t="shared" ref="AS132:AS195" si="67">AR132/C132</f>
        <v>11.803341902313624</v>
      </c>
      <c r="AT132" s="31">
        <v>0</v>
      </c>
      <c r="AU132" s="31">
        <v>0</v>
      </c>
      <c r="AV132" s="31">
        <v>0</v>
      </c>
      <c r="AW132" s="31">
        <v>0</v>
      </c>
      <c r="AX132" s="31">
        <v>0</v>
      </c>
      <c r="AY132" s="31">
        <v>0</v>
      </c>
      <c r="AZ132" s="31">
        <v>0</v>
      </c>
      <c r="BA132" s="31">
        <v>0</v>
      </c>
      <c r="BB132" s="31">
        <v>0</v>
      </c>
      <c r="BC132" s="33" t="s">
        <v>25</v>
      </c>
      <c r="BD132" s="47">
        <v>10227</v>
      </c>
      <c r="BE132" s="47">
        <v>10475</v>
      </c>
      <c r="BF132" s="45">
        <f t="shared" ref="BF132:BF195" si="68">BE132/C132</f>
        <v>2.2440017137960582</v>
      </c>
      <c r="BG132" s="30">
        <v>615</v>
      </c>
      <c r="BH132" s="30">
        <v>615</v>
      </c>
      <c r="BI132" s="30">
        <v>607</v>
      </c>
      <c r="BJ132" s="30">
        <v>813</v>
      </c>
      <c r="BK132" s="30">
        <v>815</v>
      </c>
      <c r="BL132" s="30">
        <v>5</v>
      </c>
      <c r="BM132" s="30">
        <v>1588</v>
      </c>
      <c r="BN132" s="30">
        <v>0</v>
      </c>
      <c r="BO132" s="30">
        <v>51</v>
      </c>
      <c r="BP132" s="30">
        <v>0</v>
      </c>
      <c r="BQ132" s="30">
        <v>51</v>
      </c>
      <c r="BR132" s="47">
        <v>11655</v>
      </c>
      <c r="BS132" s="47">
        <v>14105</v>
      </c>
      <c r="BT132" s="1">
        <f t="shared" ref="BT132:BT195" si="69">BS132/C132</f>
        <v>3.0216366752356469</v>
      </c>
      <c r="BU132" s="30">
        <v>20</v>
      </c>
      <c r="BV132" s="30">
        <v>0</v>
      </c>
      <c r="BW132" s="47">
        <v>2785</v>
      </c>
      <c r="BX132" s="52">
        <f t="shared" ref="BX132:BX195" si="70">BW132/C132</f>
        <v>0.59661525278491856</v>
      </c>
      <c r="BY132" s="47">
        <v>2464</v>
      </c>
      <c r="BZ132" s="47">
        <v>14</v>
      </c>
      <c r="CA132" s="47">
        <v>13179</v>
      </c>
      <c r="CB132" s="47">
        <v>153</v>
      </c>
      <c r="CC132" s="47">
        <v>15810</v>
      </c>
      <c r="CD132" s="55">
        <f t="shared" ref="CD132:CD195" si="71">CC132/C132</f>
        <v>3.3868894601542419</v>
      </c>
      <c r="CE132" s="3">
        <f t="shared" ref="CE132:CE195" si="72">CC132/DB132</f>
        <v>10540</v>
      </c>
      <c r="CF132" s="55">
        <f t="shared" ref="CF132:CF195" si="73">CC132/DX132</f>
        <v>7.9248120300751879</v>
      </c>
      <c r="CG132" s="55">
        <f t="shared" ref="CG132:CG195" si="74">CC132/CR132</f>
        <v>0.90768170857733377</v>
      </c>
      <c r="CH132" s="55">
        <f t="shared" ref="CH132:CH195" si="75">(BY132+CA132)/BS132</f>
        <v>1.1090393477490252</v>
      </c>
      <c r="CI132" s="30">
        <v>5</v>
      </c>
      <c r="CJ132" s="30">
        <v>0</v>
      </c>
      <c r="CK132" s="30">
        <v>0</v>
      </c>
      <c r="CL132" s="30">
        <v>5</v>
      </c>
      <c r="CM132" s="30">
        <v>125</v>
      </c>
      <c r="CN132" s="30">
        <v>0</v>
      </c>
      <c r="CO132" s="30">
        <v>0</v>
      </c>
      <c r="CP132" s="30">
        <v>125</v>
      </c>
      <c r="CQ132" s="1">
        <f t="shared" si="54"/>
        <v>2.6778063410454155E-2</v>
      </c>
      <c r="CR132" s="47">
        <v>17418</v>
      </c>
      <c r="CS132" s="55">
        <f t="shared" ref="CS132:CS195" si="76">CR132/C132</f>
        <v>3.7313624678663238</v>
      </c>
      <c r="CT132" s="59">
        <v>1760</v>
      </c>
      <c r="CU132" s="29" t="s">
        <v>25</v>
      </c>
      <c r="CV132" s="29" t="s">
        <v>25</v>
      </c>
      <c r="CW132" s="29" t="s">
        <v>25</v>
      </c>
      <c r="CX132" s="35">
        <v>0</v>
      </c>
      <c r="CY132" s="49">
        <v>0</v>
      </c>
      <c r="CZ132" s="35">
        <v>1</v>
      </c>
      <c r="DA132" s="35">
        <v>0.5</v>
      </c>
      <c r="DB132" s="35">
        <v>1.5</v>
      </c>
      <c r="DC132" s="49">
        <f t="shared" ref="DC132:DC195" si="77">C132/DB132</f>
        <v>3112</v>
      </c>
      <c r="DD132" s="30">
        <v>0</v>
      </c>
      <c r="DE132" s="31">
        <v>19594</v>
      </c>
      <c r="DF132" s="35">
        <v>40</v>
      </c>
      <c r="DG132" s="29" t="s">
        <v>25</v>
      </c>
      <c r="DH132" s="29" t="s">
        <v>25</v>
      </c>
      <c r="DI132" s="29" t="s">
        <v>25</v>
      </c>
      <c r="DJ132" s="47">
        <v>12</v>
      </c>
      <c r="DK132" s="47">
        <v>19</v>
      </c>
      <c r="DL132" s="47">
        <v>11</v>
      </c>
      <c r="DM132" s="47">
        <v>4175</v>
      </c>
      <c r="DN132" s="47">
        <v>30</v>
      </c>
      <c r="DO132" s="47">
        <v>0</v>
      </c>
      <c r="DP132" s="29" t="s">
        <v>2028</v>
      </c>
      <c r="DQ132" s="47">
        <v>0</v>
      </c>
      <c r="DR132" s="47">
        <v>1995</v>
      </c>
      <c r="DS132" s="30">
        <v>52</v>
      </c>
      <c r="DT132" s="30">
        <v>40</v>
      </c>
      <c r="DU132" s="30">
        <v>40</v>
      </c>
      <c r="DV132" s="30">
        <v>40</v>
      </c>
      <c r="DX132" s="2">
        <f t="shared" ref="DX132:DX195" si="78">DR132+DW132</f>
        <v>1995</v>
      </c>
      <c r="DY132" s="33" t="s">
        <v>2179</v>
      </c>
      <c r="DZ132" s="33" t="s">
        <v>403</v>
      </c>
      <c r="EA132" s="33" t="s">
        <v>2030</v>
      </c>
      <c r="EB132" s="33" t="s">
        <v>2027</v>
      </c>
      <c r="EC132" s="36">
        <v>103</v>
      </c>
      <c r="ED132" s="29" t="s">
        <v>401</v>
      </c>
      <c r="EE132" s="29" t="s">
        <v>333</v>
      </c>
      <c r="EF132" s="37">
        <v>41640</v>
      </c>
      <c r="EG132" s="37">
        <v>42004</v>
      </c>
      <c r="EH132" s="29" t="s">
        <v>401</v>
      </c>
      <c r="EI132" s="55">
        <f t="shared" ref="EI132:EI195" si="79">BY132/C132</f>
        <v>0.52784918594687236</v>
      </c>
      <c r="EJ132" s="54">
        <f t="shared" ref="EJ132:EJ195" si="80">BZ132/C132</f>
        <v>2.9991431019708655E-3</v>
      </c>
      <c r="EK132" s="55">
        <f t="shared" ref="EK132:EK195" si="81">CA132/C132</f>
        <v>2.8232647814910026</v>
      </c>
      <c r="EL132" s="54">
        <f t="shared" ref="EL132:EL195" si="82">CB132/C132</f>
        <v>3.2776349614395885E-2</v>
      </c>
    </row>
    <row r="133" spans="1:142" ht="43.2" x14ac:dyDescent="0.3">
      <c r="A133" s="29" t="s">
        <v>417</v>
      </c>
      <c r="B133" s="29"/>
      <c r="C133" s="30">
        <v>592</v>
      </c>
      <c r="D133" s="30">
        <v>0</v>
      </c>
      <c r="E133" s="30">
        <v>0</v>
      </c>
      <c r="F133" s="30">
        <v>5593</v>
      </c>
      <c r="H133" s="2">
        <f t="shared" si="58"/>
        <v>5593</v>
      </c>
      <c r="I133" s="1">
        <f t="shared" si="57"/>
        <v>9.4476351351351351</v>
      </c>
      <c r="J133" s="31">
        <v>19452</v>
      </c>
      <c r="K133" s="31">
        <v>1048</v>
      </c>
      <c r="L133" s="31">
        <v>20500</v>
      </c>
      <c r="M133" s="45">
        <f t="shared" si="59"/>
        <v>34.628378378378379</v>
      </c>
      <c r="N133" s="31">
        <v>2395</v>
      </c>
      <c r="O133" s="31">
        <v>0</v>
      </c>
      <c r="P133" s="31">
        <v>191</v>
      </c>
      <c r="Q133" s="31">
        <v>2586</v>
      </c>
      <c r="R133" s="45">
        <f t="shared" si="60"/>
        <v>4.368243243243243</v>
      </c>
      <c r="S133" s="31">
        <v>24141</v>
      </c>
      <c r="T133" s="31">
        <v>47227</v>
      </c>
      <c r="U133" s="31">
        <v>0</v>
      </c>
      <c r="V133" s="31">
        <v>47227</v>
      </c>
      <c r="W133" s="45">
        <f t="shared" si="61"/>
        <v>79.775337837837839</v>
      </c>
      <c r="X133" s="4">
        <f t="shared" si="62"/>
        <v>0.43407372901094715</v>
      </c>
      <c r="Y133" s="4">
        <f t="shared" si="63"/>
        <v>5.4756812840112648E-2</v>
      </c>
      <c r="Z133" s="4">
        <f t="shared" si="64"/>
        <v>0.51116945814894021</v>
      </c>
      <c r="AA133" s="4">
        <f t="shared" si="65"/>
        <v>0</v>
      </c>
      <c r="AB133" s="31">
        <v>0</v>
      </c>
      <c r="AC133" s="31">
        <v>2395</v>
      </c>
      <c r="AD133" s="31">
        <v>43580</v>
      </c>
      <c r="AE133" s="31">
        <v>40380</v>
      </c>
      <c r="AF133" s="31">
        <v>1427</v>
      </c>
      <c r="AG133" s="31">
        <v>0</v>
      </c>
      <c r="AH133" s="31">
        <v>41275</v>
      </c>
      <c r="AI133" s="31">
        <v>42702</v>
      </c>
      <c r="AJ133" s="45">
        <f t="shared" si="66"/>
        <v>72.131756756756758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31">
        <v>128</v>
      </c>
      <c r="AQ133" s="31">
        <v>128</v>
      </c>
      <c r="AR133" s="31">
        <v>42830</v>
      </c>
      <c r="AS133" s="46">
        <f t="shared" si="67"/>
        <v>72.347972972972968</v>
      </c>
      <c r="AT133" s="31">
        <v>0</v>
      </c>
      <c r="AU133" s="31">
        <v>0</v>
      </c>
      <c r="AV133" s="31">
        <v>0</v>
      </c>
      <c r="AW133" s="31">
        <v>0</v>
      </c>
      <c r="AX133" s="31">
        <v>0</v>
      </c>
      <c r="AY133" s="31">
        <v>0</v>
      </c>
      <c r="AZ133" s="31">
        <v>0</v>
      </c>
      <c r="BA133" s="31">
        <v>0</v>
      </c>
      <c r="BB133" s="31">
        <v>0</v>
      </c>
      <c r="BC133" s="33" t="s">
        <v>25</v>
      </c>
      <c r="BD133" s="47">
        <v>16908</v>
      </c>
      <c r="BE133" s="47">
        <v>17392</v>
      </c>
      <c r="BF133" s="45">
        <f t="shared" si="68"/>
        <v>29.378378378378379</v>
      </c>
      <c r="BG133" s="30">
        <v>154</v>
      </c>
      <c r="BH133" s="30">
        <v>160</v>
      </c>
      <c r="BI133" s="30">
        <v>0</v>
      </c>
      <c r="BJ133" s="30">
        <v>1351</v>
      </c>
      <c r="BK133" s="30">
        <v>2014</v>
      </c>
      <c r="BL133" s="30">
        <v>0</v>
      </c>
      <c r="BM133" s="30">
        <v>0</v>
      </c>
      <c r="BN133" s="30">
        <v>0</v>
      </c>
      <c r="BO133" s="30">
        <v>51</v>
      </c>
      <c r="BP133" s="30">
        <v>0</v>
      </c>
      <c r="BQ133" s="30">
        <v>51</v>
      </c>
      <c r="BR133" s="47">
        <v>18413</v>
      </c>
      <c r="BS133" s="47">
        <v>19566</v>
      </c>
      <c r="BT133" s="1">
        <f t="shared" si="69"/>
        <v>33.050675675675677</v>
      </c>
      <c r="BU133" s="30">
        <v>24</v>
      </c>
      <c r="BV133" s="30">
        <v>0</v>
      </c>
      <c r="BW133" s="47">
        <v>26</v>
      </c>
      <c r="BX133" s="52">
        <f t="shared" si="70"/>
        <v>4.3918918918918921E-2</v>
      </c>
      <c r="BY133" s="47">
        <v>3339</v>
      </c>
      <c r="BZ133" s="47">
        <v>0</v>
      </c>
      <c r="CA133" s="47">
        <v>4235</v>
      </c>
      <c r="CB133" s="47">
        <v>0</v>
      </c>
      <c r="CC133" s="47">
        <v>7574</v>
      </c>
      <c r="CD133" s="55">
        <f t="shared" si="71"/>
        <v>12.793918918918919</v>
      </c>
      <c r="CE133" s="3">
        <f t="shared" si="72"/>
        <v>8415.5555555555547</v>
      </c>
      <c r="CF133" s="55">
        <f t="shared" si="73"/>
        <v>7.2617449664429534</v>
      </c>
      <c r="CG133" s="55">
        <f t="shared" si="74"/>
        <v>7.9060542797494779</v>
      </c>
      <c r="CH133" s="55">
        <f t="shared" si="75"/>
        <v>0.38710007155269344</v>
      </c>
      <c r="CI133" s="30">
        <v>18</v>
      </c>
      <c r="CJ133" s="30">
        <v>12</v>
      </c>
      <c r="CK133" s="30">
        <v>4</v>
      </c>
      <c r="CL133" s="30">
        <v>34</v>
      </c>
      <c r="CM133" s="30">
        <v>97</v>
      </c>
      <c r="CN133" s="30">
        <v>119</v>
      </c>
      <c r="CO133" s="30">
        <v>5</v>
      </c>
      <c r="CP133" s="30">
        <v>221</v>
      </c>
      <c r="CQ133" s="1">
        <f t="shared" ref="CQ133:CQ196" si="83">CP133/C133</f>
        <v>0.3733108108108108</v>
      </c>
      <c r="CR133" s="47">
        <v>958</v>
      </c>
      <c r="CS133" s="55">
        <f t="shared" si="76"/>
        <v>1.6182432432432432</v>
      </c>
      <c r="CT133" s="59">
        <v>240</v>
      </c>
      <c r="CU133" s="29" t="s">
        <v>25</v>
      </c>
      <c r="CV133" s="29" t="s">
        <v>25</v>
      </c>
      <c r="CW133" s="29" t="s">
        <v>25</v>
      </c>
      <c r="CX133" s="35">
        <v>0</v>
      </c>
      <c r="CY133" s="49">
        <v>0</v>
      </c>
      <c r="CZ133" s="35">
        <v>0.9</v>
      </c>
      <c r="DA133" s="35">
        <v>0</v>
      </c>
      <c r="DB133" s="35">
        <v>0.9</v>
      </c>
      <c r="DC133" s="49">
        <f t="shared" si="77"/>
        <v>657.77777777777771</v>
      </c>
      <c r="DD133" s="30">
        <v>226</v>
      </c>
      <c r="DE133" s="31">
        <v>21244</v>
      </c>
      <c r="DF133" s="35">
        <v>20</v>
      </c>
      <c r="DG133" s="29" t="s">
        <v>25</v>
      </c>
      <c r="DH133" s="29" t="s">
        <v>26</v>
      </c>
      <c r="DI133" s="29" t="s">
        <v>26</v>
      </c>
      <c r="DJ133" s="47">
        <v>0</v>
      </c>
      <c r="DK133" s="47">
        <v>0</v>
      </c>
      <c r="DL133" s="47">
        <v>5</v>
      </c>
      <c r="DM133" s="47">
        <v>208</v>
      </c>
      <c r="DN133" s="47">
        <v>10</v>
      </c>
      <c r="DO133" s="47">
        <v>0</v>
      </c>
      <c r="DP133" s="29" t="s">
        <v>2028</v>
      </c>
      <c r="DQ133" s="47">
        <v>0</v>
      </c>
      <c r="DR133" s="47">
        <v>1043</v>
      </c>
      <c r="DS133" s="30">
        <v>36</v>
      </c>
      <c r="DT133" s="30">
        <v>44</v>
      </c>
      <c r="DU133" s="30">
        <v>44</v>
      </c>
      <c r="DV133" s="30">
        <v>18</v>
      </c>
      <c r="DX133" s="2">
        <f t="shared" si="78"/>
        <v>1043</v>
      </c>
      <c r="DY133" s="33" t="s">
        <v>2183</v>
      </c>
      <c r="DZ133" s="33" t="s">
        <v>418</v>
      </c>
      <c r="EA133" s="33" t="s">
        <v>2030</v>
      </c>
      <c r="EB133" s="33" t="s">
        <v>2027</v>
      </c>
      <c r="EC133" s="36">
        <v>107</v>
      </c>
      <c r="ED133" s="29" t="s">
        <v>415</v>
      </c>
      <c r="EE133" s="29" t="s">
        <v>416</v>
      </c>
      <c r="EF133" s="37">
        <v>41518</v>
      </c>
      <c r="EG133" s="37">
        <v>41882</v>
      </c>
      <c r="EH133" s="29" t="s">
        <v>415</v>
      </c>
      <c r="EI133" s="55">
        <f t="shared" si="79"/>
        <v>5.6402027027027026</v>
      </c>
      <c r="EJ133" s="54">
        <f t="shared" si="80"/>
        <v>0</v>
      </c>
      <c r="EK133" s="55">
        <f t="shared" si="81"/>
        <v>7.1537162162162158</v>
      </c>
      <c r="EL133" s="54">
        <f t="shared" si="82"/>
        <v>0</v>
      </c>
    </row>
    <row r="134" spans="1:142" ht="28.8" x14ac:dyDescent="0.3">
      <c r="A134" s="29" t="s">
        <v>413</v>
      </c>
      <c r="B134" s="29"/>
      <c r="C134" s="30">
        <v>48623</v>
      </c>
      <c r="D134" s="30">
        <v>0</v>
      </c>
      <c r="E134" s="30">
        <v>0</v>
      </c>
      <c r="F134" s="30">
        <v>8800</v>
      </c>
      <c r="H134" s="2">
        <f t="shared" si="58"/>
        <v>8800</v>
      </c>
      <c r="I134" s="1">
        <f t="shared" si="57"/>
        <v>0.18098430783785452</v>
      </c>
      <c r="J134" s="31">
        <v>358493</v>
      </c>
      <c r="K134" s="31">
        <v>145674</v>
      </c>
      <c r="L134" s="31">
        <v>504167</v>
      </c>
      <c r="M134" s="45">
        <f t="shared" si="59"/>
        <v>10.368899492009954</v>
      </c>
      <c r="N134" s="31">
        <v>69028</v>
      </c>
      <c r="O134" s="31">
        <v>17980</v>
      </c>
      <c r="P134" s="31">
        <v>2992</v>
      </c>
      <c r="Q134" s="31">
        <v>90000</v>
      </c>
      <c r="R134" s="45">
        <f t="shared" si="60"/>
        <v>1.8509758756144212</v>
      </c>
      <c r="S134" s="31">
        <v>40471</v>
      </c>
      <c r="T134" s="31">
        <v>634638</v>
      </c>
      <c r="U134" s="31">
        <v>0</v>
      </c>
      <c r="V134" s="31">
        <v>634638</v>
      </c>
      <c r="W134" s="45">
        <f t="shared" si="61"/>
        <v>13.052218086090944</v>
      </c>
      <c r="X134" s="4">
        <f t="shared" si="62"/>
        <v>0.79441665957601026</v>
      </c>
      <c r="Y134" s="4">
        <f t="shared" si="63"/>
        <v>0.14181312811397995</v>
      </c>
      <c r="Z134" s="4">
        <f t="shared" si="64"/>
        <v>6.3770212310009802E-2</v>
      </c>
      <c r="AA134" s="4">
        <f t="shared" si="65"/>
        <v>0</v>
      </c>
      <c r="AB134" s="31">
        <v>381325</v>
      </c>
      <c r="AC134" s="31">
        <v>90000</v>
      </c>
      <c r="AD134" s="31">
        <v>634638</v>
      </c>
      <c r="AE134" s="31">
        <v>588936</v>
      </c>
      <c r="AF134" s="31">
        <v>0</v>
      </c>
      <c r="AG134" s="31">
        <v>588936</v>
      </c>
      <c r="AH134" s="31">
        <v>0</v>
      </c>
      <c r="AI134" s="31">
        <v>588936</v>
      </c>
      <c r="AJ134" s="45">
        <f t="shared" si="66"/>
        <v>12.112292536453941</v>
      </c>
      <c r="AK134" s="31">
        <v>0</v>
      </c>
      <c r="AL134" s="31">
        <v>0</v>
      </c>
      <c r="AM134" s="31">
        <v>0</v>
      </c>
      <c r="AN134" s="31">
        <v>0</v>
      </c>
      <c r="AO134" s="31">
        <v>0</v>
      </c>
      <c r="AP134" s="31">
        <v>16413</v>
      </c>
      <c r="AQ134" s="31">
        <v>16413</v>
      </c>
      <c r="AR134" s="31">
        <v>605349</v>
      </c>
      <c r="AS134" s="46">
        <f t="shared" si="67"/>
        <v>12.449848836970158</v>
      </c>
      <c r="AT134" s="31">
        <v>0</v>
      </c>
      <c r="AU134" s="31">
        <v>0</v>
      </c>
      <c r="AV134" s="31">
        <v>0</v>
      </c>
      <c r="AW134" s="31">
        <v>0</v>
      </c>
      <c r="AX134" s="31">
        <v>0</v>
      </c>
      <c r="AY134" s="31">
        <v>0</v>
      </c>
      <c r="AZ134" s="31">
        <v>0</v>
      </c>
      <c r="BA134" s="31">
        <v>0</v>
      </c>
      <c r="BB134" s="31">
        <v>0</v>
      </c>
      <c r="BC134" s="33" t="s">
        <v>25</v>
      </c>
      <c r="BD134" s="47">
        <v>55782</v>
      </c>
      <c r="BE134" s="47">
        <v>57589</v>
      </c>
      <c r="BF134" s="45">
        <f t="shared" si="68"/>
        <v>1.1843983300084322</v>
      </c>
      <c r="BG134" s="30">
        <v>1963</v>
      </c>
      <c r="BH134" s="30">
        <v>1991</v>
      </c>
      <c r="BI134" s="30">
        <v>163</v>
      </c>
      <c r="BJ134" s="30">
        <v>595</v>
      </c>
      <c r="BK134" s="30">
        <v>618</v>
      </c>
      <c r="BL134" s="30">
        <v>0</v>
      </c>
      <c r="BM134" s="30">
        <v>500</v>
      </c>
      <c r="BN134" s="30">
        <v>8</v>
      </c>
      <c r="BO134" s="30">
        <v>51</v>
      </c>
      <c r="BP134" s="30">
        <v>0</v>
      </c>
      <c r="BQ134" s="30">
        <v>59</v>
      </c>
      <c r="BR134" s="47">
        <v>58340</v>
      </c>
      <c r="BS134" s="47">
        <v>60869</v>
      </c>
      <c r="BT134" s="1">
        <f t="shared" si="69"/>
        <v>1.2518561174752689</v>
      </c>
      <c r="BU134" s="30">
        <v>128</v>
      </c>
      <c r="BV134" s="30">
        <v>0</v>
      </c>
      <c r="BW134" s="47">
        <v>2829</v>
      </c>
      <c r="BX134" s="52">
        <f t="shared" si="70"/>
        <v>5.818234169014664E-2</v>
      </c>
      <c r="BY134" s="47">
        <v>30311</v>
      </c>
      <c r="BZ134" s="47">
        <v>10</v>
      </c>
      <c r="CA134" s="47">
        <v>31471</v>
      </c>
      <c r="CB134" s="47">
        <v>545</v>
      </c>
      <c r="CC134" s="47">
        <v>62337</v>
      </c>
      <c r="CD134" s="55">
        <f t="shared" si="71"/>
        <v>1.2820475906464019</v>
      </c>
      <c r="CE134" s="3">
        <f t="shared" si="72"/>
        <v>5951.0262529832935</v>
      </c>
      <c r="CF134" s="55">
        <f t="shared" si="73"/>
        <v>25.801738410596027</v>
      </c>
      <c r="CG134" s="55">
        <f t="shared" si="74"/>
        <v>0.5175041716131068</v>
      </c>
      <c r="CH134" s="55">
        <f t="shared" si="75"/>
        <v>1.0149994249946606</v>
      </c>
      <c r="CI134" s="30">
        <v>75</v>
      </c>
      <c r="CJ134" s="30">
        <v>9</v>
      </c>
      <c r="CK134" s="30">
        <v>39</v>
      </c>
      <c r="CL134" s="30">
        <v>123</v>
      </c>
      <c r="CM134" s="30">
        <v>2680</v>
      </c>
      <c r="CN134" s="30">
        <v>142</v>
      </c>
      <c r="CO134" s="30">
        <v>764</v>
      </c>
      <c r="CP134" s="30">
        <v>3586</v>
      </c>
      <c r="CQ134" s="1">
        <f t="shared" si="83"/>
        <v>7.3751105443925713E-2</v>
      </c>
      <c r="CR134" s="47">
        <v>120457</v>
      </c>
      <c r="CS134" s="55">
        <f t="shared" si="76"/>
        <v>2.4773666783209594</v>
      </c>
      <c r="CT134" s="59">
        <v>20935</v>
      </c>
      <c r="CU134" s="29" t="s">
        <v>25</v>
      </c>
      <c r="CV134" s="29" t="s">
        <v>25</v>
      </c>
      <c r="CW134" s="29" t="s">
        <v>25</v>
      </c>
      <c r="CX134" s="35">
        <v>0.9375</v>
      </c>
      <c r="CY134" s="49">
        <f>C134/CX134</f>
        <v>51864.533333333333</v>
      </c>
      <c r="CZ134" s="35">
        <v>6.5625</v>
      </c>
      <c r="DA134" s="35">
        <v>2.9750000000000001</v>
      </c>
      <c r="DB134" s="35">
        <v>10.475</v>
      </c>
      <c r="DC134" s="49">
        <f t="shared" si="77"/>
        <v>4641.8138424821</v>
      </c>
      <c r="DD134" s="30">
        <v>1025</v>
      </c>
      <c r="DE134" s="31">
        <v>46289</v>
      </c>
      <c r="DF134" s="35">
        <v>40</v>
      </c>
      <c r="DG134" s="29" t="s">
        <v>25</v>
      </c>
      <c r="DH134" s="29" t="s">
        <v>26</v>
      </c>
      <c r="DI134" s="29" t="s">
        <v>26</v>
      </c>
      <c r="DJ134" s="47">
        <v>118</v>
      </c>
      <c r="DK134" s="47">
        <v>0</v>
      </c>
      <c r="DL134" s="47">
        <v>25</v>
      </c>
      <c r="DM134" s="47">
        <v>43831</v>
      </c>
      <c r="DN134" s="47">
        <v>1725</v>
      </c>
      <c r="DO134" s="47">
        <v>990</v>
      </c>
      <c r="DP134" s="29" t="s">
        <v>2028</v>
      </c>
      <c r="DQ134" s="47">
        <v>0</v>
      </c>
      <c r="DR134" s="47">
        <v>2416</v>
      </c>
      <c r="DS134" s="30">
        <v>52</v>
      </c>
      <c r="DT134" s="30">
        <v>52</v>
      </c>
      <c r="DU134" s="30">
        <v>52</v>
      </c>
      <c r="DV134" s="30">
        <v>52</v>
      </c>
      <c r="DX134" s="2">
        <f t="shared" si="78"/>
        <v>2416</v>
      </c>
      <c r="DY134" s="33" t="s">
        <v>2187</v>
      </c>
      <c r="DZ134" s="33" t="s">
        <v>414</v>
      </c>
      <c r="EA134" s="33" t="s">
        <v>2031</v>
      </c>
      <c r="EB134" s="33" t="s">
        <v>2027</v>
      </c>
      <c r="EC134" s="36">
        <v>106</v>
      </c>
      <c r="ED134" s="29" t="s">
        <v>411</v>
      </c>
      <c r="EE134" s="29" t="s">
        <v>412</v>
      </c>
      <c r="EF134" s="37">
        <v>41548</v>
      </c>
      <c r="EG134" s="37">
        <v>41912</v>
      </c>
      <c r="EH134" s="29" t="s">
        <v>411</v>
      </c>
      <c r="EI134" s="55">
        <f t="shared" si="79"/>
        <v>0.62338810850831916</v>
      </c>
      <c r="EJ134" s="54">
        <f t="shared" si="80"/>
        <v>2.0566398617938013E-4</v>
      </c>
      <c r="EK134" s="55">
        <f t="shared" si="81"/>
        <v>0.64724513090512725</v>
      </c>
      <c r="EL134" s="54">
        <f t="shared" si="82"/>
        <v>1.1208687246776218E-2</v>
      </c>
    </row>
    <row r="135" spans="1:142" ht="43.2" x14ac:dyDescent="0.3">
      <c r="A135" s="29" t="s">
        <v>1633</v>
      </c>
      <c r="B135" s="29"/>
      <c r="C135" s="30">
        <v>21810</v>
      </c>
      <c r="D135" s="30">
        <v>1</v>
      </c>
      <c r="E135" s="30">
        <v>0</v>
      </c>
      <c r="F135" s="30">
        <v>3978</v>
      </c>
      <c r="G135">
        <v>1468</v>
      </c>
      <c r="H135" s="2">
        <f t="shared" si="58"/>
        <v>5446</v>
      </c>
      <c r="I135" s="1">
        <f t="shared" si="57"/>
        <v>0.2497019715726731</v>
      </c>
      <c r="J135" s="31">
        <v>132304</v>
      </c>
      <c r="K135" s="31">
        <v>16422</v>
      </c>
      <c r="L135" s="31">
        <v>148726</v>
      </c>
      <c r="M135" s="45">
        <f t="shared" si="59"/>
        <v>6.8191655204034847</v>
      </c>
      <c r="N135" s="31">
        <v>7343</v>
      </c>
      <c r="O135" s="31">
        <v>0</v>
      </c>
      <c r="P135" s="31">
        <v>2560</v>
      </c>
      <c r="Q135" s="31">
        <v>9903</v>
      </c>
      <c r="R135" s="45">
        <f t="shared" si="60"/>
        <v>0.45405777166437417</v>
      </c>
      <c r="S135" s="31">
        <v>191705</v>
      </c>
      <c r="T135" s="31">
        <v>350334</v>
      </c>
      <c r="U135" s="31">
        <v>0</v>
      </c>
      <c r="V135" s="31">
        <v>350334</v>
      </c>
      <c r="W135" s="45">
        <f t="shared" si="61"/>
        <v>16.06299862448418</v>
      </c>
      <c r="X135" s="4">
        <f t="shared" si="62"/>
        <v>0.42452630917924039</v>
      </c>
      <c r="Y135" s="4">
        <f t="shared" si="63"/>
        <v>2.8267310623576358E-2</v>
      </c>
      <c r="Z135" s="4">
        <f t="shared" si="64"/>
        <v>0.54720638019718326</v>
      </c>
      <c r="AA135" s="4">
        <f t="shared" si="65"/>
        <v>0</v>
      </c>
      <c r="AB135" s="31">
        <v>0</v>
      </c>
      <c r="AC135" s="31">
        <v>9903</v>
      </c>
      <c r="AD135" s="31">
        <v>333231</v>
      </c>
      <c r="AE135" s="31">
        <v>323328</v>
      </c>
      <c r="AF135" s="31">
        <v>967457</v>
      </c>
      <c r="AG135" s="31">
        <v>0</v>
      </c>
      <c r="AH135" s="31">
        <v>0</v>
      </c>
      <c r="AI135" s="31">
        <v>967457</v>
      </c>
      <c r="AJ135" s="45">
        <f t="shared" si="66"/>
        <v>44.358413571756074</v>
      </c>
      <c r="AK135" s="31">
        <v>0</v>
      </c>
      <c r="AL135" s="31">
        <v>0</v>
      </c>
      <c r="AM135" s="31">
        <v>0</v>
      </c>
      <c r="AN135" s="31">
        <v>0</v>
      </c>
      <c r="AO135" s="31">
        <v>0</v>
      </c>
      <c r="AP135" s="31">
        <v>7981</v>
      </c>
      <c r="AQ135" s="31">
        <v>7981</v>
      </c>
      <c r="AR135" s="31">
        <v>975438</v>
      </c>
      <c r="AS135" s="46">
        <f t="shared" si="67"/>
        <v>44.724346629986243</v>
      </c>
      <c r="AT135" s="31">
        <v>0</v>
      </c>
      <c r="AU135" s="31">
        <v>0</v>
      </c>
      <c r="AV135" s="31">
        <v>0</v>
      </c>
      <c r="AW135" s="31">
        <v>0</v>
      </c>
      <c r="AX135" s="31">
        <v>0</v>
      </c>
      <c r="AY135" s="31">
        <v>0</v>
      </c>
      <c r="AZ135" s="31">
        <v>0</v>
      </c>
      <c r="BA135" s="31">
        <v>0</v>
      </c>
      <c r="BB135" s="31">
        <v>0</v>
      </c>
      <c r="BC135" s="33" t="s">
        <v>25</v>
      </c>
      <c r="BD135" s="47">
        <v>22696</v>
      </c>
      <c r="BE135" s="47">
        <v>23175</v>
      </c>
      <c r="BF135" s="45">
        <f t="shared" si="68"/>
        <v>1.0625859697386519</v>
      </c>
      <c r="BG135" s="30">
        <v>20</v>
      </c>
      <c r="BH135" s="30">
        <v>20</v>
      </c>
      <c r="BI135" s="30">
        <v>0</v>
      </c>
      <c r="BJ135" s="30">
        <v>1459</v>
      </c>
      <c r="BK135" s="30">
        <v>1460</v>
      </c>
      <c r="BL135" s="30">
        <v>0</v>
      </c>
      <c r="BM135" s="30">
        <v>0</v>
      </c>
      <c r="BN135" s="30">
        <v>0</v>
      </c>
      <c r="BO135" s="30">
        <v>51</v>
      </c>
      <c r="BP135" s="30">
        <v>0</v>
      </c>
      <c r="BQ135" s="30">
        <v>51</v>
      </c>
      <c r="BR135" s="47">
        <v>24175</v>
      </c>
      <c r="BS135" s="47">
        <v>24655</v>
      </c>
      <c r="BT135" s="1">
        <f t="shared" si="69"/>
        <v>1.1304447501146264</v>
      </c>
      <c r="BU135" s="30">
        <v>7</v>
      </c>
      <c r="BV135" s="30">
        <v>0</v>
      </c>
      <c r="BW135" s="47">
        <v>1534</v>
      </c>
      <c r="BX135" s="52">
        <f t="shared" si="70"/>
        <v>7.0334708849151759E-2</v>
      </c>
      <c r="BY135" s="47">
        <v>2715</v>
      </c>
      <c r="BZ135" s="47">
        <v>0</v>
      </c>
      <c r="CA135" s="47">
        <v>11329</v>
      </c>
      <c r="CB135" s="47">
        <v>0</v>
      </c>
      <c r="CC135" s="47">
        <v>14044</v>
      </c>
      <c r="CD135" s="55">
        <f t="shared" si="71"/>
        <v>0.64392480513525907</v>
      </c>
      <c r="CE135" s="3">
        <f t="shared" si="72"/>
        <v>2767.2906403940888</v>
      </c>
      <c r="CF135" s="55">
        <f t="shared" si="73"/>
        <v>2.7537254901960786</v>
      </c>
      <c r="CG135" s="55">
        <f t="shared" si="74"/>
        <v>0.57879986811737549</v>
      </c>
      <c r="CH135" s="55">
        <f t="shared" si="75"/>
        <v>0.56962076657878724</v>
      </c>
      <c r="CI135" s="30">
        <v>83</v>
      </c>
      <c r="CJ135" s="30">
        <v>3</v>
      </c>
      <c r="CK135" s="30">
        <v>156</v>
      </c>
      <c r="CL135" s="30">
        <v>242</v>
      </c>
      <c r="CM135" s="30">
        <v>1500</v>
      </c>
      <c r="CN135" s="30">
        <v>15</v>
      </c>
      <c r="CO135" s="30">
        <v>1012</v>
      </c>
      <c r="CP135" s="30">
        <v>2527</v>
      </c>
      <c r="CQ135" s="1">
        <f t="shared" si="83"/>
        <v>0.11586428243924805</v>
      </c>
      <c r="CR135" s="47">
        <v>24264</v>
      </c>
      <c r="CS135" s="55">
        <f t="shared" si="76"/>
        <v>1.1125171939477303</v>
      </c>
      <c r="CT135" s="59">
        <v>4310</v>
      </c>
      <c r="CU135" s="29" t="s">
        <v>25</v>
      </c>
      <c r="CV135" s="29" t="s">
        <v>25</v>
      </c>
      <c r="CW135" s="29" t="s">
        <v>25</v>
      </c>
      <c r="CX135" s="35">
        <v>0.25</v>
      </c>
      <c r="CY135" s="49">
        <f>C135/CX135</f>
        <v>87240</v>
      </c>
      <c r="CZ135" s="35">
        <v>4.7750000000000004</v>
      </c>
      <c r="DA135" s="35">
        <v>0.05</v>
      </c>
      <c r="DB135" s="35">
        <v>5.0750000000000002</v>
      </c>
      <c r="DC135" s="49">
        <f t="shared" si="77"/>
        <v>4297.536945812808</v>
      </c>
      <c r="DD135" s="30">
        <v>1373</v>
      </c>
      <c r="DE135" s="31">
        <v>39440</v>
      </c>
      <c r="DF135" s="35">
        <v>40</v>
      </c>
      <c r="DG135" s="29" t="s">
        <v>25</v>
      </c>
      <c r="DH135" s="29" t="s">
        <v>25</v>
      </c>
      <c r="DI135" s="29" t="s">
        <v>25</v>
      </c>
      <c r="DJ135" s="47">
        <v>0</v>
      </c>
      <c r="DK135" s="47">
        <v>12</v>
      </c>
      <c r="DL135" s="47">
        <v>25</v>
      </c>
      <c r="DM135" s="47">
        <v>14708</v>
      </c>
      <c r="DN135" s="47">
        <v>8</v>
      </c>
      <c r="DO135" s="47">
        <v>2290</v>
      </c>
      <c r="DP135" s="29" t="s">
        <v>2028</v>
      </c>
      <c r="DQ135" s="47">
        <v>0</v>
      </c>
      <c r="DR135" s="47">
        <v>2907</v>
      </c>
      <c r="DS135" s="30">
        <v>50</v>
      </c>
      <c r="DT135" s="30">
        <v>63</v>
      </c>
      <c r="DU135" s="30">
        <v>57</v>
      </c>
      <c r="DV135" s="30">
        <v>57</v>
      </c>
      <c r="DW135">
        <f>VLOOKUP(EC135,branch!$I$4:$K$77,3,0)</f>
        <v>2193</v>
      </c>
      <c r="DX135" s="2">
        <f t="shared" si="78"/>
        <v>5100</v>
      </c>
      <c r="DY135" s="33" t="s">
        <v>2186</v>
      </c>
      <c r="DZ135" s="33" t="s">
        <v>1634</v>
      </c>
      <c r="EA135" s="33" t="s">
        <v>2033</v>
      </c>
      <c r="EB135" s="33" t="s">
        <v>2027</v>
      </c>
      <c r="EC135" s="36">
        <v>552</v>
      </c>
      <c r="ED135" s="29" t="s">
        <v>1632</v>
      </c>
      <c r="EE135" s="29" t="s">
        <v>110</v>
      </c>
      <c r="EF135" s="37">
        <v>41640</v>
      </c>
      <c r="EG135" s="37">
        <v>42004</v>
      </c>
      <c r="EH135" s="29" t="s">
        <v>1632</v>
      </c>
      <c r="EI135" s="55">
        <f t="shared" si="79"/>
        <v>0.12448418156808803</v>
      </c>
      <c r="EJ135" s="54">
        <f t="shared" si="80"/>
        <v>0</v>
      </c>
      <c r="EK135" s="55">
        <f t="shared" si="81"/>
        <v>0.51944062356717102</v>
      </c>
      <c r="EL135" s="54">
        <f t="shared" si="82"/>
        <v>0</v>
      </c>
    </row>
    <row r="136" spans="1:142" ht="28.8" x14ac:dyDescent="0.3">
      <c r="A136" s="29" t="s">
        <v>419</v>
      </c>
      <c r="B136" s="29"/>
      <c r="C136" s="30">
        <v>22816</v>
      </c>
      <c r="D136" s="30">
        <v>0</v>
      </c>
      <c r="E136" s="30">
        <v>0</v>
      </c>
      <c r="F136" s="30">
        <v>18356</v>
      </c>
      <c r="H136" s="2">
        <f t="shared" si="58"/>
        <v>18356</v>
      </c>
      <c r="I136" s="1">
        <f t="shared" si="57"/>
        <v>0.80452314165497896</v>
      </c>
      <c r="J136" s="31">
        <v>413283</v>
      </c>
      <c r="K136" s="31">
        <v>90836</v>
      </c>
      <c r="L136" s="31">
        <v>504119</v>
      </c>
      <c r="M136" s="45">
        <f t="shared" si="59"/>
        <v>22.094977208976157</v>
      </c>
      <c r="N136" s="31">
        <v>49189</v>
      </c>
      <c r="O136" s="31">
        <v>9550</v>
      </c>
      <c r="P136" s="31">
        <v>6541</v>
      </c>
      <c r="Q136" s="31">
        <v>65280</v>
      </c>
      <c r="R136" s="45">
        <f t="shared" si="60"/>
        <v>2.8611500701262274</v>
      </c>
      <c r="S136" s="31">
        <v>148129</v>
      </c>
      <c r="T136" s="31">
        <v>717528</v>
      </c>
      <c r="U136" s="31">
        <v>0</v>
      </c>
      <c r="V136" s="31">
        <v>717528</v>
      </c>
      <c r="W136" s="45">
        <f t="shared" si="61"/>
        <v>31.448457223001402</v>
      </c>
      <c r="X136" s="4">
        <f t="shared" si="62"/>
        <v>0.70257746039178959</v>
      </c>
      <c r="Y136" s="4">
        <f t="shared" si="63"/>
        <v>9.097902799612001E-2</v>
      </c>
      <c r="Z136" s="4">
        <f t="shared" si="64"/>
        <v>0.2064435116120904</v>
      </c>
      <c r="AA136" s="4">
        <f t="shared" si="65"/>
        <v>0</v>
      </c>
      <c r="AB136" s="31">
        <v>0</v>
      </c>
      <c r="AC136" s="31">
        <v>65280</v>
      </c>
      <c r="AD136" s="31">
        <v>717528</v>
      </c>
      <c r="AE136" s="31">
        <v>690420</v>
      </c>
      <c r="AF136" s="31">
        <v>696843</v>
      </c>
      <c r="AG136" s="31">
        <v>0</v>
      </c>
      <c r="AH136" s="31">
        <v>0</v>
      </c>
      <c r="AI136" s="31">
        <v>696843</v>
      </c>
      <c r="AJ136" s="45">
        <f t="shared" si="66"/>
        <v>30.541856591865358</v>
      </c>
      <c r="AK136" s="31">
        <v>0</v>
      </c>
      <c r="AL136" s="31">
        <v>0</v>
      </c>
      <c r="AM136" s="31">
        <v>0</v>
      </c>
      <c r="AN136" s="31">
        <v>0</v>
      </c>
      <c r="AO136" s="31">
        <v>10295</v>
      </c>
      <c r="AP136" s="31">
        <v>0</v>
      </c>
      <c r="AQ136" s="31">
        <v>10295</v>
      </c>
      <c r="AR136" s="31">
        <v>707138</v>
      </c>
      <c r="AS136" s="46">
        <f t="shared" si="67"/>
        <v>30.993075035063114</v>
      </c>
      <c r="AT136" s="31">
        <v>0</v>
      </c>
      <c r="AU136" s="31">
        <v>0</v>
      </c>
      <c r="AV136" s="31">
        <v>0</v>
      </c>
      <c r="AW136" s="31">
        <v>0</v>
      </c>
      <c r="AX136" s="31">
        <v>0</v>
      </c>
      <c r="AY136" s="31">
        <v>0</v>
      </c>
      <c r="AZ136" s="31">
        <v>0</v>
      </c>
      <c r="BA136" s="31">
        <v>0</v>
      </c>
      <c r="BB136" s="31">
        <v>0</v>
      </c>
      <c r="BC136" s="33" t="s">
        <v>25</v>
      </c>
      <c r="BD136" s="47">
        <v>53123</v>
      </c>
      <c r="BE136" s="47">
        <v>54875</v>
      </c>
      <c r="BF136" s="45">
        <f t="shared" si="68"/>
        <v>2.4051104488078541</v>
      </c>
      <c r="BG136" s="30">
        <v>2410</v>
      </c>
      <c r="BH136" s="30">
        <v>2695</v>
      </c>
      <c r="BI136" s="30">
        <v>0</v>
      </c>
      <c r="BJ136" s="30">
        <v>3281</v>
      </c>
      <c r="BK136" s="30">
        <v>3396</v>
      </c>
      <c r="BL136" s="30">
        <v>0</v>
      </c>
      <c r="BM136" s="30">
        <v>891</v>
      </c>
      <c r="BN136" s="30">
        <v>0</v>
      </c>
      <c r="BO136" s="30">
        <v>51</v>
      </c>
      <c r="BP136" s="30">
        <v>0</v>
      </c>
      <c r="BQ136" s="30">
        <v>51</v>
      </c>
      <c r="BR136" s="47">
        <v>58814</v>
      </c>
      <c r="BS136" s="47">
        <v>61857</v>
      </c>
      <c r="BT136" s="1">
        <f t="shared" si="69"/>
        <v>2.7111237727910238</v>
      </c>
      <c r="BU136" s="30">
        <v>32</v>
      </c>
      <c r="BV136" s="30">
        <v>4</v>
      </c>
      <c r="BW136" s="47">
        <v>14877</v>
      </c>
      <c r="BX136" s="52">
        <f t="shared" si="70"/>
        <v>0.65204242636746146</v>
      </c>
      <c r="BY136" s="47">
        <v>52354</v>
      </c>
      <c r="BZ136" s="47">
        <v>55</v>
      </c>
      <c r="CA136" s="47">
        <v>105420</v>
      </c>
      <c r="CB136" s="47">
        <v>1049</v>
      </c>
      <c r="CC136" s="47">
        <v>158878</v>
      </c>
      <c r="CD136" s="55">
        <f t="shared" si="71"/>
        <v>6.9634467040673211</v>
      </c>
      <c r="CE136" s="3">
        <f t="shared" si="72"/>
        <v>15887.8</v>
      </c>
      <c r="CF136" s="55">
        <f t="shared" si="73"/>
        <v>52.818484042553195</v>
      </c>
      <c r="CG136" s="55">
        <f t="shared" si="74"/>
        <v>1.2707901746078722</v>
      </c>
      <c r="CH136" s="55">
        <f t="shared" si="75"/>
        <v>2.5506248282328596</v>
      </c>
      <c r="CI136" s="30">
        <v>90</v>
      </c>
      <c r="CJ136" s="30">
        <v>2</v>
      </c>
      <c r="CK136" s="30">
        <v>30</v>
      </c>
      <c r="CL136" s="30">
        <v>122</v>
      </c>
      <c r="CM136" s="30">
        <v>2450</v>
      </c>
      <c r="CN136" s="30">
        <v>13</v>
      </c>
      <c r="CO136" s="30">
        <v>82</v>
      </c>
      <c r="CP136" s="30">
        <v>2545</v>
      </c>
      <c r="CQ136" s="1">
        <f t="shared" si="83"/>
        <v>0.1115445301542777</v>
      </c>
      <c r="CR136" s="47">
        <v>125023</v>
      </c>
      <c r="CS136" s="55">
        <f t="shared" si="76"/>
        <v>5.4796195652173916</v>
      </c>
      <c r="CT136" s="59">
        <v>36938</v>
      </c>
      <c r="CU136" s="29" t="s">
        <v>25</v>
      </c>
      <c r="CV136" s="29" t="s">
        <v>25</v>
      </c>
      <c r="CW136" s="29" t="s">
        <v>25</v>
      </c>
      <c r="CX136" s="35">
        <v>3</v>
      </c>
      <c r="CY136" s="49">
        <f>C136/CX136</f>
        <v>7605.333333333333</v>
      </c>
      <c r="CZ136" s="35">
        <v>0</v>
      </c>
      <c r="DA136" s="35">
        <v>7</v>
      </c>
      <c r="DB136" s="35">
        <v>10</v>
      </c>
      <c r="DC136" s="49">
        <f t="shared" si="77"/>
        <v>2281.6</v>
      </c>
      <c r="DD136" s="30">
        <v>30</v>
      </c>
      <c r="DE136" s="31">
        <v>74500</v>
      </c>
      <c r="DF136" s="35">
        <v>40</v>
      </c>
      <c r="DG136" s="29" t="s">
        <v>25</v>
      </c>
      <c r="DH136" s="29" t="s">
        <v>25</v>
      </c>
      <c r="DI136" s="29" t="s">
        <v>25</v>
      </c>
      <c r="DJ136" s="47">
        <v>226</v>
      </c>
      <c r="DK136" s="47">
        <v>202</v>
      </c>
      <c r="DL136" s="47">
        <v>34</v>
      </c>
      <c r="DM136" s="47">
        <v>28479</v>
      </c>
      <c r="DN136" s="47">
        <v>8</v>
      </c>
      <c r="DO136" s="47">
        <v>51</v>
      </c>
      <c r="DP136" s="29" t="s">
        <v>2028</v>
      </c>
      <c r="DQ136" s="47">
        <v>0</v>
      </c>
      <c r="DR136" s="47">
        <v>3008</v>
      </c>
      <c r="DS136" s="30">
        <v>52</v>
      </c>
      <c r="DT136" s="30">
        <v>59</v>
      </c>
      <c r="DU136" s="30">
        <v>59</v>
      </c>
      <c r="DV136" s="30">
        <v>59</v>
      </c>
      <c r="DX136" s="2">
        <f t="shared" si="78"/>
        <v>3008</v>
      </c>
      <c r="DY136" s="33" t="s">
        <v>2182</v>
      </c>
      <c r="DZ136" s="33" t="s">
        <v>423</v>
      </c>
      <c r="EA136" s="33" t="s">
        <v>2030</v>
      </c>
      <c r="EB136" s="33" t="s">
        <v>2027</v>
      </c>
      <c r="EC136" s="36">
        <v>108</v>
      </c>
      <c r="ED136" s="29" t="s">
        <v>420</v>
      </c>
      <c r="EE136" s="29" t="s">
        <v>421</v>
      </c>
      <c r="EF136" s="37">
        <v>41548</v>
      </c>
      <c r="EG136" s="37">
        <v>41912</v>
      </c>
      <c r="EH136" s="29" t="s">
        <v>420</v>
      </c>
      <c r="EI136" s="55">
        <f t="shared" si="79"/>
        <v>2.2946178120617109</v>
      </c>
      <c r="EJ136" s="54">
        <f t="shared" si="80"/>
        <v>2.4105890603085553E-3</v>
      </c>
      <c r="EK136" s="55">
        <f t="shared" si="81"/>
        <v>4.6204417952314163</v>
      </c>
      <c r="EL136" s="54">
        <f t="shared" si="82"/>
        <v>4.5976507713884993E-2</v>
      </c>
    </row>
    <row r="137" spans="1:142" ht="28.8" x14ac:dyDescent="0.3">
      <c r="A137" s="29" t="s">
        <v>424</v>
      </c>
      <c r="B137" s="29"/>
      <c r="C137" s="30">
        <v>123099</v>
      </c>
      <c r="D137" s="30">
        <v>2</v>
      </c>
      <c r="E137" s="30">
        <v>0</v>
      </c>
      <c r="F137" s="30">
        <v>22876</v>
      </c>
      <c r="G137">
        <v>54954</v>
      </c>
      <c r="H137" s="2">
        <f t="shared" si="58"/>
        <v>77830</v>
      </c>
      <c r="I137" s="1">
        <f t="shared" si="57"/>
        <v>0.63225533919853127</v>
      </c>
      <c r="J137" s="31">
        <v>2183562</v>
      </c>
      <c r="K137" s="31">
        <v>1179933</v>
      </c>
      <c r="L137" s="31">
        <v>3363495</v>
      </c>
      <c r="M137" s="45">
        <f t="shared" si="59"/>
        <v>27.323495722954696</v>
      </c>
      <c r="N137" s="31">
        <v>280863</v>
      </c>
      <c r="O137" s="31">
        <v>163741</v>
      </c>
      <c r="P137" s="31">
        <v>127600</v>
      </c>
      <c r="Q137" s="31">
        <v>572204</v>
      </c>
      <c r="R137" s="45">
        <f t="shared" si="60"/>
        <v>4.6483237069350682</v>
      </c>
      <c r="S137" s="31">
        <v>1572733</v>
      </c>
      <c r="T137" s="31">
        <v>5508432</v>
      </c>
      <c r="U137" s="31">
        <v>0</v>
      </c>
      <c r="V137" s="31">
        <v>5508432</v>
      </c>
      <c r="W137" s="45">
        <f t="shared" si="61"/>
        <v>44.747983330490094</v>
      </c>
      <c r="X137" s="4">
        <f t="shared" si="62"/>
        <v>0.61060842722575137</v>
      </c>
      <c r="Y137" s="4">
        <f t="shared" si="63"/>
        <v>0.10387783674192583</v>
      </c>
      <c r="Z137" s="4">
        <f t="shared" si="64"/>
        <v>0.28551373603232283</v>
      </c>
      <c r="AA137" s="4">
        <f t="shared" si="65"/>
        <v>0</v>
      </c>
      <c r="AB137" s="31">
        <v>103681</v>
      </c>
      <c r="AC137" s="31">
        <v>572204</v>
      </c>
      <c r="AD137" s="31">
        <v>5508432</v>
      </c>
      <c r="AE137" s="31">
        <v>5508432</v>
      </c>
      <c r="AF137" s="31">
        <v>5508740</v>
      </c>
      <c r="AG137" s="31">
        <v>0</v>
      </c>
      <c r="AH137" s="31">
        <v>0</v>
      </c>
      <c r="AI137" s="31">
        <v>5508740</v>
      </c>
      <c r="AJ137" s="45">
        <f t="shared" si="66"/>
        <v>44.750485381684662</v>
      </c>
      <c r="AK137" s="31">
        <v>0</v>
      </c>
      <c r="AL137" s="31">
        <v>0</v>
      </c>
      <c r="AM137" s="31">
        <v>0</v>
      </c>
      <c r="AN137" s="31">
        <v>0</v>
      </c>
      <c r="AO137" s="31">
        <v>0</v>
      </c>
      <c r="AP137" s="31">
        <v>171465</v>
      </c>
      <c r="AQ137" s="31">
        <v>171465</v>
      </c>
      <c r="AR137" s="31">
        <v>5680205</v>
      </c>
      <c r="AS137" s="46">
        <f t="shared" si="67"/>
        <v>46.143388654660072</v>
      </c>
      <c r="AT137" s="31">
        <v>0</v>
      </c>
      <c r="AU137" s="31">
        <v>0</v>
      </c>
      <c r="AV137" s="31">
        <v>0</v>
      </c>
      <c r="AW137" s="31">
        <v>0</v>
      </c>
      <c r="AX137" s="31">
        <v>0</v>
      </c>
      <c r="AY137" s="31">
        <v>0</v>
      </c>
      <c r="AZ137" s="31">
        <v>0</v>
      </c>
      <c r="BA137" s="31">
        <v>0</v>
      </c>
      <c r="BB137" s="31">
        <v>0</v>
      </c>
      <c r="BC137" s="33" t="s">
        <v>25</v>
      </c>
      <c r="BD137" s="47">
        <v>132168</v>
      </c>
      <c r="BE137" s="47">
        <v>186053</v>
      </c>
      <c r="BF137" s="45">
        <f t="shared" si="68"/>
        <v>1.5114095159180823</v>
      </c>
      <c r="BG137" s="30">
        <v>22490</v>
      </c>
      <c r="BH137" s="30">
        <v>26189</v>
      </c>
      <c r="BI137" s="30">
        <v>4497</v>
      </c>
      <c r="BJ137" s="30">
        <v>19837</v>
      </c>
      <c r="BK137" s="30">
        <v>34060</v>
      </c>
      <c r="BL137" s="30">
        <v>127</v>
      </c>
      <c r="BM137" s="30">
        <v>5809</v>
      </c>
      <c r="BN137" s="30">
        <v>15</v>
      </c>
      <c r="BO137" s="30">
        <v>51</v>
      </c>
      <c r="BP137" s="30">
        <v>0</v>
      </c>
      <c r="BQ137" s="30">
        <v>66</v>
      </c>
      <c r="BR137" s="47">
        <v>174495</v>
      </c>
      <c r="BS137" s="47">
        <v>256750</v>
      </c>
      <c r="BT137" s="1">
        <f t="shared" si="69"/>
        <v>2.0857196240424374</v>
      </c>
      <c r="BU137" s="30">
        <v>353</v>
      </c>
      <c r="BV137" s="30">
        <v>52</v>
      </c>
      <c r="BW137" s="47">
        <v>38005</v>
      </c>
      <c r="BX137" s="52">
        <f t="shared" si="70"/>
        <v>0.30873524561531773</v>
      </c>
      <c r="BY137" s="47">
        <v>541791</v>
      </c>
      <c r="BZ137" s="47">
        <v>3741</v>
      </c>
      <c r="CA137" s="47">
        <v>654627</v>
      </c>
      <c r="CB137" s="47">
        <v>55431</v>
      </c>
      <c r="CC137" s="47">
        <v>1255590</v>
      </c>
      <c r="CD137" s="55">
        <f t="shared" si="71"/>
        <v>10.199839153851778</v>
      </c>
      <c r="CE137" s="3">
        <f t="shared" si="72"/>
        <v>24863.168316831685</v>
      </c>
      <c r="CF137" s="55">
        <f t="shared" si="73"/>
        <v>130.84514380992081</v>
      </c>
      <c r="CG137" s="55">
        <f t="shared" si="74"/>
        <v>2.2829448696060091</v>
      </c>
      <c r="CH137" s="55">
        <f t="shared" si="75"/>
        <v>4.6598558909444989</v>
      </c>
      <c r="CI137" s="30">
        <v>722</v>
      </c>
      <c r="CJ137" s="30">
        <v>150</v>
      </c>
      <c r="CK137" s="30">
        <v>464</v>
      </c>
      <c r="CL137" s="30">
        <v>1336</v>
      </c>
      <c r="CM137" s="30">
        <v>24596</v>
      </c>
      <c r="CN137" s="30">
        <v>2579</v>
      </c>
      <c r="CO137" s="30">
        <v>5415</v>
      </c>
      <c r="CP137" s="30">
        <v>32590</v>
      </c>
      <c r="CQ137" s="1">
        <f t="shared" si="83"/>
        <v>0.26474626113940813</v>
      </c>
      <c r="CR137" s="47">
        <v>549987</v>
      </c>
      <c r="CS137" s="55">
        <f t="shared" si="76"/>
        <v>4.4678429556698269</v>
      </c>
      <c r="CT137" s="59">
        <v>93516</v>
      </c>
      <c r="CU137" s="29" t="s">
        <v>25</v>
      </c>
      <c r="CV137" s="29" t="s">
        <v>25</v>
      </c>
      <c r="CW137" s="29" t="s">
        <v>25</v>
      </c>
      <c r="CX137" s="35">
        <v>19.3</v>
      </c>
      <c r="CY137" s="49">
        <f>C137/CX137</f>
        <v>6378.1865284974092</v>
      </c>
      <c r="CZ137" s="35">
        <v>0</v>
      </c>
      <c r="DA137" s="35">
        <v>31.2</v>
      </c>
      <c r="DB137" s="35">
        <v>50.5</v>
      </c>
      <c r="DC137" s="49">
        <f t="shared" si="77"/>
        <v>2437.6039603960394</v>
      </c>
      <c r="DD137" s="30">
        <v>10601</v>
      </c>
      <c r="DE137" s="31">
        <v>114704</v>
      </c>
      <c r="DF137" s="35">
        <v>40</v>
      </c>
      <c r="DG137" s="29" t="s">
        <v>25</v>
      </c>
      <c r="DH137" s="29" t="s">
        <v>25</v>
      </c>
      <c r="DI137" s="29" t="s">
        <v>25</v>
      </c>
      <c r="DJ137" s="47">
        <v>2529</v>
      </c>
      <c r="DK137" s="47">
        <v>3103</v>
      </c>
      <c r="DL137" s="47">
        <v>125</v>
      </c>
      <c r="DM137" s="47">
        <v>113197</v>
      </c>
      <c r="DN137" s="47">
        <v>12673</v>
      </c>
      <c r="DO137" s="47">
        <v>-1</v>
      </c>
      <c r="DP137" s="29" t="s">
        <v>25</v>
      </c>
      <c r="DQ137" s="47">
        <v>333200</v>
      </c>
      <c r="DR137" s="47">
        <v>3212</v>
      </c>
      <c r="DS137" s="30">
        <v>52</v>
      </c>
      <c r="DT137" s="30">
        <v>70</v>
      </c>
      <c r="DU137" s="30">
        <v>64</v>
      </c>
      <c r="DV137" s="30">
        <v>64</v>
      </c>
      <c r="DW137">
        <f>VLOOKUP(EC137,branch!$I$4:$K$77,3,0)</f>
        <v>6384</v>
      </c>
      <c r="DX137" s="2">
        <f t="shared" si="78"/>
        <v>9596</v>
      </c>
      <c r="DY137" s="33" t="s">
        <v>2181</v>
      </c>
      <c r="DZ137" s="33" t="s">
        <v>426</v>
      </c>
      <c r="EA137" s="33" t="s">
        <v>2030</v>
      </c>
      <c r="EB137" s="33" t="s">
        <v>2027</v>
      </c>
      <c r="EC137" s="36">
        <v>109</v>
      </c>
      <c r="ED137" s="29" t="s">
        <v>425</v>
      </c>
      <c r="EE137" s="29" t="s">
        <v>424</v>
      </c>
      <c r="EF137" s="37">
        <v>41548</v>
      </c>
      <c r="EG137" s="37">
        <v>41912</v>
      </c>
      <c r="EH137" s="29" t="s">
        <v>425</v>
      </c>
      <c r="EI137" s="55">
        <f t="shared" si="79"/>
        <v>4.4012623985572592</v>
      </c>
      <c r="EJ137" s="54">
        <f t="shared" si="80"/>
        <v>3.0390173762581338E-2</v>
      </c>
      <c r="EK137" s="55">
        <f t="shared" si="81"/>
        <v>5.3178904783954382</v>
      </c>
      <c r="EL137" s="54">
        <f t="shared" si="82"/>
        <v>0.45029610313649987</v>
      </c>
    </row>
    <row r="138" spans="1:142" ht="43.2" x14ac:dyDescent="0.3">
      <c r="A138" s="29" t="s">
        <v>429</v>
      </c>
      <c r="B138" s="29"/>
      <c r="C138" s="30">
        <v>4359</v>
      </c>
      <c r="D138" s="30">
        <v>0</v>
      </c>
      <c r="E138" s="30">
        <v>0</v>
      </c>
      <c r="F138" s="30">
        <v>6837</v>
      </c>
      <c r="H138" s="2">
        <f t="shared" si="58"/>
        <v>6837</v>
      </c>
      <c r="I138" s="1">
        <f t="shared" si="57"/>
        <v>1.5684790089470062</v>
      </c>
      <c r="J138" s="31">
        <v>123884</v>
      </c>
      <c r="K138" s="31">
        <v>72696</v>
      </c>
      <c r="L138" s="31">
        <v>196580</v>
      </c>
      <c r="M138" s="45">
        <f t="shared" si="59"/>
        <v>45.097499426473959</v>
      </c>
      <c r="N138" s="31">
        <v>21705</v>
      </c>
      <c r="O138" s="31">
        <v>1500</v>
      </c>
      <c r="P138" s="31">
        <v>9225</v>
      </c>
      <c r="Q138" s="31">
        <v>32430</v>
      </c>
      <c r="R138" s="45">
        <f t="shared" si="60"/>
        <v>7.4397797660013767</v>
      </c>
      <c r="S138" s="31">
        <v>19900</v>
      </c>
      <c r="T138" s="31">
        <v>248910</v>
      </c>
      <c r="U138" s="31">
        <v>0</v>
      </c>
      <c r="V138" s="31">
        <v>248910</v>
      </c>
      <c r="W138" s="45">
        <f t="shared" si="61"/>
        <v>57.102546455609087</v>
      </c>
      <c r="X138" s="4">
        <f t="shared" si="62"/>
        <v>0.7897633682857258</v>
      </c>
      <c r="Y138" s="4">
        <f t="shared" si="63"/>
        <v>0.13028805592382789</v>
      </c>
      <c r="Z138" s="4">
        <f t="shared" si="64"/>
        <v>7.9948575790446341E-2</v>
      </c>
      <c r="AA138" s="4">
        <f t="shared" si="65"/>
        <v>0</v>
      </c>
      <c r="AB138" s="31">
        <v>0</v>
      </c>
      <c r="AC138" s="31">
        <v>30430</v>
      </c>
      <c r="AD138" s="31">
        <v>246910</v>
      </c>
      <c r="AE138" s="31">
        <v>243885</v>
      </c>
      <c r="AF138" s="31">
        <v>0</v>
      </c>
      <c r="AG138" s="31">
        <v>243885</v>
      </c>
      <c r="AH138" s="31">
        <v>0</v>
      </c>
      <c r="AI138" s="31">
        <v>243885</v>
      </c>
      <c r="AJ138" s="45">
        <f t="shared" si="66"/>
        <v>55.949759119064005</v>
      </c>
      <c r="AK138" s="31">
        <v>0</v>
      </c>
      <c r="AL138" s="31">
        <v>0</v>
      </c>
      <c r="AM138" s="31">
        <v>0</v>
      </c>
      <c r="AN138" s="31">
        <v>0</v>
      </c>
      <c r="AO138" s="31">
        <v>2000</v>
      </c>
      <c r="AP138" s="31">
        <v>3025</v>
      </c>
      <c r="AQ138" s="31">
        <v>5025</v>
      </c>
      <c r="AR138" s="31">
        <v>248910</v>
      </c>
      <c r="AS138" s="46">
        <f t="shared" si="67"/>
        <v>57.102546455609087</v>
      </c>
      <c r="AT138" s="31">
        <v>0</v>
      </c>
      <c r="AU138" s="31">
        <v>0</v>
      </c>
      <c r="AV138" s="31">
        <v>0</v>
      </c>
      <c r="AW138" s="31">
        <v>0</v>
      </c>
      <c r="AX138" s="31">
        <v>0</v>
      </c>
      <c r="AY138" s="31">
        <v>0</v>
      </c>
      <c r="AZ138" s="31">
        <v>0</v>
      </c>
      <c r="BA138" s="31">
        <v>0</v>
      </c>
      <c r="BB138" s="31">
        <v>0</v>
      </c>
      <c r="BC138" s="33" t="s">
        <v>25</v>
      </c>
      <c r="BD138" s="47">
        <v>40025</v>
      </c>
      <c r="BE138" s="47">
        <v>40223</v>
      </c>
      <c r="BF138" s="45">
        <f t="shared" si="68"/>
        <v>9.2275751319109887</v>
      </c>
      <c r="BG138" s="30">
        <v>1380</v>
      </c>
      <c r="BH138" s="30">
        <v>2019</v>
      </c>
      <c r="BI138" s="30">
        <v>0</v>
      </c>
      <c r="BJ138" s="30">
        <v>3267</v>
      </c>
      <c r="BK138" s="30">
        <v>3269</v>
      </c>
      <c r="BL138" s="30">
        <v>0</v>
      </c>
      <c r="BM138" s="30">
        <v>47</v>
      </c>
      <c r="BN138" s="30">
        <v>1</v>
      </c>
      <c r="BO138" s="30">
        <v>51</v>
      </c>
      <c r="BP138" s="30">
        <v>0</v>
      </c>
      <c r="BQ138" s="30">
        <v>52</v>
      </c>
      <c r="BR138" s="47">
        <v>44672</v>
      </c>
      <c r="BS138" s="47">
        <v>45559</v>
      </c>
      <c r="BT138" s="1">
        <f t="shared" si="69"/>
        <v>10.451709107593485</v>
      </c>
      <c r="BU138" s="30">
        <v>64</v>
      </c>
      <c r="BV138" s="30">
        <v>0</v>
      </c>
      <c r="BW138" s="47">
        <v>85208</v>
      </c>
      <c r="BX138" s="52">
        <f t="shared" si="70"/>
        <v>19.547602661160816</v>
      </c>
      <c r="BY138" s="47">
        <v>13908</v>
      </c>
      <c r="BZ138" s="47">
        <v>34</v>
      </c>
      <c r="CA138" s="47">
        <v>26564</v>
      </c>
      <c r="CB138" s="47">
        <v>928</v>
      </c>
      <c r="CC138" s="47">
        <v>41434</v>
      </c>
      <c r="CD138" s="55">
        <f t="shared" si="71"/>
        <v>9.5053911447579722</v>
      </c>
      <c r="CE138" s="3">
        <f t="shared" si="72"/>
        <v>12555.757575757576</v>
      </c>
      <c r="CF138" s="55">
        <f t="shared" si="73"/>
        <v>21.934356802541028</v>
      </c>
      <c r="CG138" s="55">
        <f t="shared" si="74"/>
        <v>1.4317702754068904</v>
      </c>
      <c r="CH138" s="55">
        <f t="shared" si="75"/>
        <v>0.88834258873109595</v>
      </c>
      <c r="CI138" s="30">
        <v>496</v>
      </c>
      <c r="CJ138" s="30">
        <v>27</v>
      </c>
      <c r="CK138" s="30">
        <v>21</v>
      </c>
      <c r="CL138" s="30">
        <v>544</v>
      </c>
      <c r="CM138" s="30">
        <v>25257</v>
      </c>
      <c r="CN138" s="30">
        <v>1632</v>
      </c>
      <c r="CO138" s="30">
        <v>274</v>
      </c>
      <c r="CP138" s="30">
        <v>27163</v>
      </c>
      <c r="CQ138" s="1">
        <f t="shared" si="83"/>
        <v>6.2314751089699474</v>
      </c>
      <c r="CR138" s="47">
        <v>28939</v>
      </c>
      <c r="CS138" s="55">
        <f t="shared" si="76"/>
        <v>6.6389080064234918</v>
      </c>
      <c r="CT138" s="59">
        <v>5402</v>
      </c>
      <c r="CU138" s="29" t="s">
        <v>25</v>
      </c>
      <c r="CV138" s="29" t="s">
        <v>25</v>
      </c>
      <c r="CW138" s="29" t="s">
        <v>25</v>
      </c>
      <c r="CX138" s="35">
        <v>0</v>
      </c>
      <c r="CY138" s="49">
        <v>0</v>
      </c>
      <c r="CZ138" s="35">
        <v>0.75</v>
      </c>
      <c r="DA138" s="35">
        <v>2.5499999999999998</v>
      </c>
      <c r="DB138" s="35">
        <v>3.3</v>
      </c>
      <c r="DC138" s="49">
        <f t="shared" si="77"/>
        <v>1320.909090909091</v>
      </c>
      <c r="DD138" s="30">
        <v>32</v>
      </c>
      <c r="DE138" s="31">
        <v>27500</v>
      </c>
      <c r="DF138" s="35">
        <v>20</v>
      </c>
      <c r="DG138" s="29" t="s">
        <v>25</v>
      </c>
      <c r="DH138" s="29" t="s">
        <v>26</v>
      </c>
      <c r="DI138" s="29" t="s">
        <v>26</v>
      </c>
      <c r="DJ138" s="47">
        <v>384</v>
      </c>
      <c r="DK138" s="47">
        <v>484</v>
      </c>
      <c r="DL138" s="47">
        <v>10</v>
      </c>
      <c r="DM138" s="47">
        <v>21620</v>
      </c>
      <c r="DN138" s="47">
        <v>820</v>
      </c>
      <c r="DO138" s="47">
        <v>3687</v>
      </c>
      <c r="DP138" s="29" t="s">
        <v>2028</v>
      </c>
      <c r="DQ138" s="47">
        <v>0</v>
      </c>
      <c r="DR138" s="47">
        <v>1889</v>
      </c>
      <c r="DS138" s="30">
        <v>50</v>
      </c>
      <c r="DT138" s="30">
        <v>40</v>
      </c>
      <c r="DU138" s="30">
        <v>40</v>
      </c>
      <c r="DV138" s="30">
        <v>40</v>
      </c>
      <c r="DX138" s="2">
        <f t="shared" si="78"/>
        <v>1889</v>
      </c>
      <c r="DY138" s="33" t="s">
        <v>2178</v>
      </c>
      <c r="DZ138" s="33" t="s">
        <v>430</v>
      </c>
      <c r="EA138" s="33" t="s">
        <v>2031</v>
      </c>
      <c r="EB138" s="33" t="s">
        <v>2027</v>
      </c>
      <c r="EC138" s="36">
        <v>110</v>
      </c>
      <c r="ED138" s="29" t="s">
        <v>427</v>
      </c>
      <c r="EE138" s="29" t="s">
        <v>428</v>
      </c>
      <c r="EF138" s="37">
        <v>41640</v>
      </c>
      <c r="EG138" s="37">
        <v>42004</v>
      </c>
      <c r="EH138" s="29" t="s">
        <v>427</v>
      </c>
      <c r="EI138" s="55">
        <f t="shared" si="79"/>
        <v>3.1906400550584997</v>
      </c>
      <c r="EJ138" s="54">
        <f t="shared" si="80"/>
        <v>7.7999541179169535E-3</v>
      </c>
      <c r="EK138" s="55">
        <f t="shared" si="81"/>
        <v>6.0940582702454691</v>
      </c>
      <c r="EL138" s="54">
        <f t="shared" si="82"/>
        <v>0.21289286533608626</v>
      </c>
    </row>
    <row r="139" spans="1:142" ht="28.8" x14ac:dyDescent="0.3">
      <c r="A139" s="29" t="s">
        <v>1398</v>
      </c>
      <c r="B139" s="29"/>
      <c r="C139" s="30">
        <v>51483</v>
      </c>
      <c r="D139" s="30">
        <v>0</v>
      </c>
      <c r="E139" s="30">
        <v>0</v>
      </c>
      <c r="F139" s="30">
        <v>30000</v>
      </c>
      <c r="H139" s="2">
        <f t="shared" si="58"/>
        <v>30000</v>
      </c>
      <c r="I139" s="1">
        <f t="shared" si="57"/>
        <v>0.58271662490530851</v>
      </c>
      <c r="J139" s="31">
        <v>536457</v>
      </c>
      <c r="K139" s="31">
        <v>160184</v>
      </c>
      <c r="L139" s="31">
        <v>696641</v>
      </c>
      <c r="M139" s="45">
        <f t="shared" si="59"/>
        <v>13.531476409688635</v>
      </c>
      <c r="N139" s="31">
        <v>63735</v>
      </c>
      <c r="O139" s="31">
        <v>10240</v>
      </c>
      <c r="P139" s="31">
        <v>19450</v>
      </c>
      <c r="Q139" s="31">
        <v>93425</v>
      </c>
      <c r="R139" s="45">
        <f t="shared" si="60"/>
        <v>1.8146766893926149</v>
      </c>
      <c r="S139" s="31">
        <v>170564</v>
      </c>
      <c r="T139" s="31">
        <v>960630</v>
      </c>
      <c r="U139" s="31">
        <v>0</v>
      </c>
      <c r="V139" s="31">
        <v>960630</v>
      </c>
      <c r="W139" s="45">
        <f t="shared" si="61"/>
        <v>18.659169046092885</v>
      </c>
      <c r="X139" s="4">
        <f t="shared" si="62"/>
        <v>0.72519180121378679</v>
      </c>
      <c r="Y139" s="4">
        <f t="shared" si="63"/>
        <v>9.7253885470992993E-2</v>
      </c>
      <c r="Z139" s="4">
        <f t="shared" si="64"/>
        <v>0.17755431331522023</v>
      </c>
      <c r="AA139" s="4">
        <f t="shared" si="65"/>
        <v>0</v>
      </c>
      <c r="AB139" s="31">
        <v>0</v>
      </c>
      <c r="AC139" s="31">
        <v>93425</v>
      </c>
      <c r="AD139" s="31">
        <v>960630</v>
      </c>
      <c r="AE139" s="31">
        <v>958465</v>
      </c>
      <c r="AF139" s="31">
        <v>958466</v>
      </c>
      <c r="AG139" s="31">
        <v>0</v>
      </c>
      <c r="AH139" s="31">
        <v>0</v>
      </c>
      <c r="AI139" s="31">
        <v>958466</v>
      </c>
      <c r="AJ139" s="45">
        <f t="shared" si="66"/>
        <v>18.617135753549714</v>
      </c>
      <c r="AK139" s="31">
        <v>0</v>
      </c>
      <c r="AL139" s="31">
        <v>0</v>
      </c>
      <c r="AM139" s="31">
        <v>0</v>
      </c>
      <c r="AN139" s="31">
        <v>0</v>
      </c>
      <c r="AO139" s="31">
        <v>0</v>
      </c>
      <c r="AP139" s="31">
        <v>2165</v>
      </c>
      <c r="AQ139" s="31">
        <v>2165</v>
      </c>
      <c r="AR139" s="31">
        <v>960631</v>
      </c>
      <c r="AS139" s="46">
        <f t="shared" si="67"/>
        <v>18.659188469980382</v>
      </c>
      <c r="AT139" s="31">
        <v>0</v>
      </c>
      <c r="AU139" s="31">
        <v>0</v>
      </c>
      <c r="AV139" s="31">
        <v>0</v>
      </c>
      <c r="AW139" s="31">
        <v>0</v>
      </c>
      <c r="AX139" s="31">
        <v>0</v>
      </c>
      <c r="AY139" s="31">
        <v>0</v>
      </c>
      <c r="AZ139" s="31">
        <v>0</v>
      </c>
      <c r="BA139" s="31">
        <v>0</v>
      </c>
      <c r="BB139" s="31">
        <v>0</v>
      </c>
      <c r="BC139" s="33" t="s">
        <v>25</v>
      </c>
      <c r="BD139" s="47">
        <v>57455</v>
      </c>
      <c r="BE139" s="47">
        <v>63444</v>
      </c>
      <c r="BF139" s="45">
        <f t="shared" si="68"/>
        <v>1.2323291183497465</v>
      </c>
      <c r="BG139" s="30">
        <v>2016</v>
      </c>
      <c r="BH139" s="30">
        <v>2097</v>
      </c>
      <c r="BI139" s="30">
        <v>390</v>
      </c>
      <c r="BJ139" s="30">
        <v>8305</v>
      </c>
      <c r="BK139" s="30">
        <v>12282</v>
      </c>
      <c r="BL139" s="30">
        <v>0</v>
      </c>
      <c r="BM139" s="30">
        <v>1618</v>
      </c>
      <c r="BN139" s="30">
        <v>7</v>
      </c>
      <c r="BO139" s="30">
        <v>51</v>
      </c>
      <c r="BP139" s="30">
        <v>0</v>
      </c>
      <c r="BQ139" s="30">
        <v>58</v>
      </c>
      <c r="BR139" s="47">
        <v>67776</v>
      </c>
      <c r="BS139" s="47">
        <v>79838</v>
      </c>
      <c r="BT139" s="1">
        <f t="shared" si="69"/>
        <v>1.5507643299730007</v>
      </c>
      <c r="BU139" s="30">
        <v>118</v>
      </c>
      <c r="BV139" s="30">
        <v>0</v>
      </c>
      <c r="BW139" s="47">
        <v>14880</v>
      </c>
      <c r="BX139" s="52">
        <f t="shared" si="70"/>
        <v>0.28902744595303304</v>
      </c>
      <c r="BY139" s="47">
        <v>88584</v>
      </c>
      <c r="BZ139" s="47">
        <v>1522</v>
      </c>
      <c r="CA139" s="47">
        <v>71011</v>
      </c>
      <c r="CB139" s="47">
        <v>2713</v>
      </c>
      <c r="CC139" s="47">
        <v>163830</v>
      </c>
      <c r="CD139" s="55">
        <f t="shared" si="71"/>
        <v>3.1822154886078899</v>
      </c>
      <c r="CE139" s="3">
        <f t="shared" si="72"/>
        <v>14246.08695652174</v>
      </c>
      <c r="CF139" s="55">
        <f t="shared" si="73"/>
        <v>47.555878084179973</v>
      </c>
      <c r="CG139" s="55">
        <f t="shared" si="74"/>
        <v>0.94253217427323821</v>
      </c>
      <c r="CH139" s="55">
        <f t="shared" si="75"/>
        <v>1.9989854455271925</v>
      </c>
      <c r="CI139" s="30">
        <v>125</v>
      </c>
      <c r="CJ139" s="30">
        <v>69</v>
      </c>
      <c r="CK139" s="30">
        <v>95</v>
      </c>
      <c r="CL139" s="30">
        <v>289</v>
      </c>
      <c r="CM139" s="30">
        <v>2086</v>
      </c>
      <c r="CN139" s="30">
        <v>932</v>
      </c>
      <c r="CO139" s="30">
        <v>1010</v>
      </c>
      <c r="CP139" s="30">
        <v>4028</v>
      </c>
      <c r="CQ139" s="1">
        <f t="shared" si="83"/>
        <v>7.8239418837286093E-2</v>
      </c>
      <c r="CR139" s="47">
        <v>173819</v>
      </c>
      <c r="CS139" s="55">
        <f t="shared" si="76"/>
        <v>3.3762407008138609</v>
      </c>
      <c r="CT139" s="59">
        <v>5563</v>
      </c>
      <c r="CU139" s="29" t="s">
        <v>25</v>
      </c>
      <c r="CV139" s="29" t="s">
        <v>25</v>
      </c>
      <c r="CW139" s="29" t="s">
        <v>25</v>
      </c>
      <c r="CX139" s="35">
        <v>5</v>
      </c>
      <c r="CY139" s="49">
        <f>C139/CX139</f>
        <v>10296.6</v>
      </c>
      <c r="CZ139" s="35">
        <v>0</v>
      </c>
      <c r="DA139" s="35">
        <v>6.5</v>
      </c>
      <c r="DB139" s="35">
        <v>11.5</v>
      </c>
      <c r="DC139" s="49">
        <f t="shared" si="77"/>
        <v>4476.782608695652</v>
      </c>
      <c r="DD139" s="30">
        <v>876</v>
      </c>
      <c r="DE139" s="31">
        <v>115000</v>
      </c>
      <c r="DF139" s="35">
        <v>40</v>
      </c>
      <c r="DG139" s="29" t="s">
        <v>25</v>
      </c>
      <c r="DH139" s="29" t="s">
        <v>25</v>
      </c>
      <c r="DI139" s="29" t="s">
        <v>25</v>
      </c>
      <c r="DJ139" s="47">
        <v>702</v>
      </c>
      <c r="DK139" s="47">
        <v>171</v>
      </c>
      <c r="DL139" s="47">
        <v>46</v>
      </c>
      <c r="DM139" s="47">
        <v>140386</v>
      </c>
      <c r="DN139" s="47">
        <v>125</v>
      </c>
      <c r="DO139" s="47">
        <v>63750</v>
      </c>
      <c r="DP139" s="29" t="s">
        <v>2028</v>
      </c>
      <c r="DQ139" s="47">
        <v>0</v>
      </c>
      <c r="DR139" s="47">
        <v>3445</v>
      </c>
      <c r="DS139" s="30">
        <v>52</v>
      </c>
      <c r="DT139" s="30">
        <v>65</v>
      </c>
      <c r="DU139" s="30">
        <v>65</v>
      </c>
      <c r="DV139" s="30">
        <v>65</v>
      </c>
      <c r="DX139" s="2">
        <f t="shared" si="78"/>
        <v>3445</v>
      </c>
      <c r="DY139" s="33" t="s">
        <v>2182</v>
      </c>
      <c r="DZ139" s="33" t="s">
        <v>1399</v>
      </c>
      <c r="EA139" s="33" t="s">
        <v>2030</v>
      </c>
      <c r="EB139" s="33" t="s">
        <v>2027</v>
      </c>
      <c r="EC139" s="36">
        <v>435</v>
      </c>
      <c r="ED139" s="29" t="s">
        <v>1397</v>
      </c>
      <c r="EE139" s="29" t="s">
        <v>269</v>
      </c>
      <c r="EF139" s="37">
        <v>41548</v>
      </c>
      <c r="EG139" s="37">
        <v>41912</v>
      </c>
      <c r="EH139" s="29" t="s">
        <v>1397</v>
      </c>
      <c r="EI139" s="55">
        <f t="shared" si="79"/>
        <v>1.720645650020395</v>
      </c>
      <c r="EJ139" s="54">
        <f t="shared" si="80"/>
        <v>2.9563156770195987E-2</v>
      </c>
      <c r="EK139" s="55">
        <f t="shared" si="81"/>
        <v>1.3793096750383622</v>
      </c>
      <c r="EL139" s="54">
        <f t="shared" si="82"/>
        <v>5.2697006778936739E-2</v>
      </c>
    </row>
    <row r="140" spans="1:142" ht="28.8" x14ac:dyDescent="0.3">
      <c r="A140" s="29" t="s">
        <v>431</v>
      </c>
      <c r="B140" s="29"/>
      <c r="C140" s="30">
        <v>4543</v>
      </c>
      <c r="D140" s="30">
        <v>0</v>
      </c>
      <c r="E140" s="30">
        <v>0</v>
      </c>
      <c r="F140" s="30">
        <v>4738</v>
      </c>
      <c r="H140" s="2">
        <f t="shared" si="58"/>
        <v>4738</v>
      </c>
      <c r="I140" s="1">
        <f t="shared" si="57"/>
        <v>1.0429231785163988</v>
      </c>
      <c r="J140" s="31">
        <v>45154</v>
      </c>
      <c r="K140" s="31">
        <v>7790</v>
      </c>
      <c r="L140" s="31">
        <v>52944</v>
      </c>
      <c r="M140" s="45">
        <f t="shared" si="59"/>
        <v>11.653973145498568</v>
      </c>
      <c r="N140" s="31">
        <v>5234</v>
      </c>
      <c r="O140" s="31">
        <v>1500</v>
      </c>
      <c r="P140" s="31">
        <v>1320</v>
      </c>
      <c r="Q140" s="31">
        <v>8054</v>
      </c>
      <c r="R140" s="45">
        <f t="shared" si="60"/>
        <v>1.772837332159366</v>
      </c>
      <c r="S140" s="31">
        <v>27656</v>
      </c>
      <c r="T140" s="31">
        <v>88654</v>
      </c>
      <c r="U140" s="31">
        <v>0</v>
      </c>
      <c r="V140" s="31">
        <v>88654</v>
      </c>
      <c r="W140" s="45">
        <f t="shared" si="61"/>
        <v>19.514417785604227</v>
      </c>
      <c r="X140" s="4">
        <f t="shared" si="62"/>
        <v>0.59719809596859696</v>
      </c>
      <c r="Y140" s="4">
        <f t="shared" si="63"/>
        <v>9.0847564689692517E-2</v>
      </c>
      <c r="Z140" s="4">
        <f t="shared" si="64"/>
        <v>0.31195433934171046</v>
      </c>
      <c r="AA140" s="4">
        <f t="shared" si="65"/>
        <v>0</v>
      </c>
      <c r="AB140" s="31">
        <v>0</v>
      </c>
      <c r="AC140" s="31">
        <v>8054</v>
      </c>
      <c r="AD140" s="31">
        <v>88654</v>
      </c>
      <c r="AE140" s="31">
        <v>84080</v>
      </c>
      <c r="AF140" s="31">
        <v>84080</v>
      </c>
      <c r="AG140" s="31">
        <v>0</v>
      </c>
      <c r="AH140" s="31">
        <v>0</v>
      </c>
      <c r="AI140" s="31">
        <v>84080</v>
      </c>
      <c r="AJ140" s="45">
        <f t="shared" si="66"/>
        <v>18.50759410081444</v>
      </c>
      <c r="AK140" s="31">
        <v>0</v>
      </c>
      <c r="AL140" s="31">
        <v>0</v>
      </c>
      <c r="AM140" s="31">
        <v>0</v>
      </c>
      <c r="AN140" s="31">
        <v>0</v>
      </c>
      <c r="AO140" s="31">
        <v>0</v>
      </c>
      <c r="AP140" s="31">
        <v>3640</v>
      </c>
      <c r="AQ140" s="31">
        <v>3640</v>
      </c>
      <c r="AR140" s="31">
        <v>87720</v>
      </c>
      <c r="AS140" s="46">
        <f t="shared" si="67"/>
        <v>19.308826766453887</v>
      </c>
      <c r="AT140" s="31">
        <v>0</v>
      </c>
      <c r="AU140" s="31">
        <v>0</v>
      </c>
      <c r="AV140" s="31">
        <v>0</v>
      </c>
      <c r="AW140" s="31">
        <v>0</v>
      </c>
      <c r="AX140" s="31">
        <v>0</v>
      </c>
      <c r="AY140" s="31">
        <v>0</v>
      </c>
      <c r="AZ140" s="31">
        <v>50000</v>
      </c>
      <c r="BA140" s="31">
        <v>0</v>
      </c>
      <c r="BB140" s="31">
        <v>50000</v>
      </c>
      <c r="BC140" s="33" t="s">
        <v>25</v>
      </c>
      <c r="BD140" s="47">
        <v>18452</v>
      </c>
      <c r="BE140" s="47">
        <v>18482</v>
      </c>
      <c r="BF140" s="45">
        <f t="shared" si="68"/>
        <v>4.0682368478978645</v>
      </c>
      <c r="BG140" s="30">
        <v>426</v>
      </c>
      <c r="BH140" s="30">
        <v>428</v>
      </c>
      <c r="BI140" s="30">
        <v>1071</v>
      </c>
      <c r="BJ140" s="30">
        <v>1557</v>
      </c>
      <c r="BK140" s="30">
        <v>1567</v>
      </c>
      <c r="BL140" s="30">
        <v>163</v>
      </c>
      <c r="BM140" s="30">
        <v>4549</v>
      </c>
      <c r="BN140" s="30">
        <v>0</v>
      </c>
      <c r="BO140" s="30">
        <v>51</v>
      </c>
      <c r="BP140" s="30">
        <v>0</v>
      </c>
      <c r="BQ140" s="30">
        <v>51</v>
      </c>
      <c r="BR140" s="47">
        <v>20435</v>
      </c>
      <c r="BS140" s="47">
        <v>26260</v>
      </c>
      <c r="BT140" s="1">
        <f t="shared" si="69"/>
        <v>5.7803213735417129</v>
      </c>
      <c r="BU140" s="30">
        <v>25</v>
      </c>
      <c r="BV140" s="30">
        <v>0</v>
      </c>
      <c r="BW140" s="47">
        <v>195</v>
      </c>
      <c r="BX140" s="52">
        <f t="shared" si="70"/>
        <v>4.2923178516398854E-2</v>
      </c>
      <c r="BY140" s="47">
        <v>5275</v>
      </c>
      <c r="BZ140" s="47">
        <v>51</v>
      </c>
      <c r="CA140" s="47">
        <v>9716</v>
      </c>
      <c r="CB140" s="47">
        <v>490</v>
      </c>
      <c r="CC140" s="47">
        <v>15532</v>
      </c>
      <c r="CD140" s="55">
        <f t="shared" si="71"/>
        <v>3.4188861985472156</v>
      </c>
      <c r="CE140" s="3">
        <f t="shared" si="72"/>
        <v>7485.3012048192768</v>
      </c>
      <c r="CF140" s="55">
        <f t="shared" si="73"/>
        <v>9.6953807740324596</v>
      </c>
      <c r="CG140" s="55">
        <f t="shared" si="74"/>
        <v>0.65863794419472477</v>
      </c>
      <c r="CH140" s="55">
        <f t="shared" si="75"/>
        <v>0.57086824067022091</v>
      </c>
      <c r="CI140" s="30">
        <v>91</v>
      </c>
      <c r="CJ140" s="30">
        <v>0</v>
      </c>
      <c r="CK140" s="30">
        <v>5</v>
      </c>
      <c r="CL140" s="30">
        <v>96</v>
      </c>
      <c r="CM140" s="30">
        <v>2765</v>
      </c>
      <c r="CN140" s="30">
        <v>0</v>
      </c>
      <c r="CO140" s="30">
        <v>52</v>
      </c>
      <c r="CP140" s="30">
        <v>2817</v>
      </c>
      <c r="CQ140" s="1">
        <f t="shared" si="83"/>
        <v>0.62007484041382344</v>
      </c>
      <c r="CR140" s="47">
        <v>23582</v>
      </c>
      <c r="CS140" s="55">
        <f t="shared" si="76"/>
        <v>5.190843055249835</v>
      </c>
      <c r="CT140" s="59">
        <v>1795</v>
      </c>
      <c r="CU140" s="29" t="s">
        <v>25</v>
      </c>
      <c r="CV140" s="29" t="s">
        <v>25</v>
      </c>
      <c r="CW140" s="29" t="s">
        <v>25</v>
      </c>
      <c r="CX140" s="35">
        <v>0</v>
      </c>
      <c r="CY140" s="49">
        <v>0</v>
      </c>
      <c r="CZ140" s="35">
        <v>0.85</v>
      </c>
      <c r="DA140" s="35">
        <v>1.2250000000000001</v>
      </c>
      <c r="DB140" s="35">
        <v>2.0750000000000002</v>
      </c>
      <c r="DC140" s="49">
        <f t="shared" si="77"/>
        <v>2189.3975903614455</v>
      </c>
      <c r="DD140" s="30">
        <v>255</v>
      </c>
      <c r="DE140" s="31">
        <v>22193</v>
      </c>
      <c r="DF140" s="35">
        <v>34</v>
      </c>
      <c r="DG140" s="29" t="s">
        <v>25</v>
      </c>
      <c r="DH140" s="29" t="s">
        <v>25</v>
      </c>
      <c r="DI140" s="29" t="s">
        <v>25</v>
      </c>
      <c r="DJ140" s="47">
        <v>59</v>
      </c>
      <c r="DK140" s="47">
        <v>53</v>
      </c>
      <c r="DL140" s="47">
        <v>10</v>
      </c>
      <c r="DM140" s="47">
        <v>6468</v>
      </c>
      <c r="DN140" s="47">
        <v>75</v>
      </c>
      <c r="DO140" s="47">
        <v>0</v>
      </c>
      <c r="DP140" s="29" t="s">
        <v>2028</v>
      </c>
      <c r="DQ140" s="47">
        <v>0</v>
      </c>
      <c r="DR140" s="47">
        <v>1602</v>
      </c>
      <c r="DS140" s="30">
        <v>49</v>
      </c>
      <c r="DT140" s="30">
        <v>35</v>
      </c>
      <c r="DU140" s="30">
        <v>35</v>
      </c>
      <c r="DV140" s="30">
        <v>35</v>
      </c>
      <c r="DX140" s="2">
        <f t="shared" si="78"/>
        <v>1602</v>
      </c>
      <c r="DY140" s="33" t="s">
        <v>2187</v>
      </c>
      <c r="DZ140" s="33" t="s">
        <v>433</v>
      </c>
      <c r="EA140" s="33" t="s">
        <v>2030</v>
      </c>
      <c r="EB140" s="33" t="s">
        <v>2027</v>
      </c>
      <c r="EC140" s="36">
        <v>111</v>
      </c>
      <c r="ED140" s="29" t="s">
        <v>432</v>
      </c>
      <c r="EE140" s="29" t="s">
        <v>277</v>
      </c>
      <c r="EF140" s="37">
        <v>41548</v>
      </c>
      <c r="EG140" s="37">
        <v>41912</v>
      </c>
      <c r="EH140" s="29" t="s">
        <v>432</v>
      </c>
      <c r="EI140" s="55">
        <f t="shared" si="79"/>
        <v>1.1611270085846357</v>
      </c>
      <c r="EJ140" s="54">
        <f t="shared" si="80"/>
        <v>1.1226062073519701E-2</v>
      </c>
      <c r="EK140" s="55">
        <f t="shared" si="81"/>
        <v>2.1386748844375965</v>
      </c>
      <c r="EL140" s="54">
        <f t="shared" si="82"/>
        <v>0.10785824345146379</v>
      </c>
    </row>
    <row r="141" spans="1:142" ht="43.2" x14ac:dyDescent="0.3">
      <c r="A141" s="29" t="s">
        <v>434</v>
      </c>
      <c r="B141" s="29"/>
      <c r="C141" s="30">
        <v>5323</v>
      </c>
      <c r="D141" s="30">
        <v>0</v>
      </c>
      <c r="E141" s="30">
        <v>0</v>
      </c>
      <c r="F141" s="30">
        <v>14108</v>
      </c>
      <c r="H141" s="2">
        <f t="shared" si="58"/>
        <v>14108</v>
      </c>
      <c r="I141" s="1">
        <f t="shared" si="57"/>
        <v>2.6503851211722713</v>
      </c>
      <c r="J141" s="31">
        <v>236616</v>
      </c>
      <c r="K141" s="31">
        <v>71383</v>
      </c>
      <c r="L141" s="31">
        <v>307999</v>
      </c>
      <c r="M141" s="45">
        <f t="shared" si="59"/>
        <v>57.861919969941759</v>
      </c>
      <c r="N141" s="31">
        <v>14460</v>
      </c>
      <c r="O141" s="31">
        <v>0</v>
      </c>
      <c r="P141" s="31">
        <v>1109</v>
      </c>
      <c r="Q141" s="31">
        <v>15569</v>
      </c>
      <c r="R141" s="45">
        <f t="shared" si="60"/>
        <v>2.9248544054104828</v>
      </c>
      <c r="S141" s="31">
        <v>115050</v>
      </c>
      <c r="T141" s="31">
        <v>438618</v>
      </c>
      <c r="U141" s="31">
        <v>0</v>
      </c>
      <c r="V141" s="31">
        <v>438618</v>
      </c>
      <c r="W141" s="45">
        <f t="shared" si="61"/>
        <v>82.400526019162129</v>
      </c>
      <c r="X141" s="4">
        <f t="shared" si="62"/>
        <v>0.70220328395095499</v>
      </c>
      <c r="Y141" s="4">
        <f t="shared" si="63"/>
        <v>3.5495579296791285E-2</v>
      </c>
      <c r="Z141" s="4">
        <f t="shared" si="64"/>
        <v>0.26230113675225369</v>
      </c>
      <c r="AA141" s="4">
        <f t="shared" si="65"/>
        <v>0</v>
      </c>
      <c r="AB141" s="31">
        <v>8090</v>
      </c>
      <c r="AC141" s="31">
        <v>15569</v>
      </c>
      <c r="AD141" s="31">
        <v>423049</v>
      </c>
      <c r="AE141" s="31">
        <v>27000</v>
      </c>
      <c r="AF141" s="31">
        <v>27000</v>
      </c>
      <c r="AG141" s="31">
        <v>0</v>
      </c>
      <c r="AH141" s="31">
        <v>0</v>
      </c>
      <c r="AI141" s="31">
        <v>27000</v>
      </c>
      <c r="AJ141" s="45">
        <f t="shared" si="66"/>
        <v>5.0723276347924102</v>
      </c>
      <c r="AK141" s="31">
        <v>0</v>
      </c>
      <c r="AL141" s="31">
        <v>0</v>
      </c>
      <c r="AM141" s="31">
        <v>0</v>
      </c>
      <c r="AN141" s="31">
        <v>0</v>
      </c>
      <c r="AO141" s="31">
        <v>372996</v>
      </c>
      <c r="AP141" s="31">
        <v>46057</v>
      </c>
      <c r="AQ141" s="31">
        <v>419053</v>
      </c>
      <c r="AR141" s="31">
        <v>446053</v>
      </c>
      <c r="AS141" s="46">
        <f t="shared" si="67"/>
        <v>83.797294758594774</v>
      </c>
      <c r="AT141" s="31">
        <v>0</v>
      </c>
      <c r="AU141" s="31">
        <v>0</v>
      </c>
      <c r="AV141" s="31">
        <v>0</v>
      </c>
      <c r="AW141" s="31">
        <v>0</v>
      </c>
      <c r="AX141" s="31">
        <v>0</v>
      </c>
      <c r="AY141" s="31">
        <v>0</v>
      </c>
      <c r="AZ141" s="31">
        <v>8180</v>
      </c>
      <c r="BA141" s="31">
        <v>0</v>
      </c>
      <c r="BB141" s="31">
        <v>8180</v>
      </c>
      <c r="BC141" s="33" t="s">
        <v>25</v>
      </c>
      <c r="BD141" s="47">
        <v>41700</v>
      </c>
      <c r="BE141" s="47">
        <v>44569</v>
      </c>
      <c r="BF141" s="45">
        <f t="shared" si="68"/>
        <v>8.372910013150479</v>
      </c>
      <c r="BG141" s="30">
        <v>946</v>
      </c>
      <c r="BH141" s="30">
        <v>1003</v>
      </c>
      <c r="BI141" s="30">
        <v>0</v>
      </c>
      <c r="BJ141" s="30">
        <v>1274</v>
      </c>
      <c r="BK141" s="30">
        <v>1289</v>
      </c>
      <c r="BL141" s="30">
        <v>0</v>
      </c>
      <c r="BM141" s="30">
        <v>1547</v>
      </c>
      <c r="BN141" s="30">
        <v>0</v>
      </c>
      <c r="BO141" s="30">
        <v>51</v>
      </c>
      <c r="BP141" s="30">
        <v>0</v>
      </c>
      <c r="BQ141" s="30">
        <v>51</v>
      </c>
      <c r="BR141" s="47">
        <v>43920</v>
      </c>
      <c r="BS141" s="47">
        <v>48408</v>
      </c>
      <c r="BT141" s="1">
        <f t="shared" si="69"/>
        <v>9.0941198572233706</v>
      </c>
      <c r="BU141" s="30">
        <v>26</v>
      </c>
      <c r="BV141" s="30">
        <v>0</v>
      </c>
      <c r="BW141" s="47">
        <v>1422</v>
      </c>
      <c r="BX141" s="52">
        <f t="shared" si="70"/>
        <v>0.2671425887657336</v>
      </c>
      <c r="BY141" s="47">
        <v>10032</v>
      </c>
      <c r="BZ141" s="47">
        <v>229</v>
      </c>
      <c r="CA141" s="47">
        <v>22412</v>
      </c>
      <c r="CB141" s="47">
        <v>751</v>
      </c>
      <c r="CC141" s="47">
        <v>33424</v>
      </c>
      <c r="CD141" s="55">
        <f t="shared" si="71"/>
        <v>6.2791658839000561</v>
      </c>
      <c r="CE141" s="3">
        <f t="shared" si="72"/>
        <v>4178</v>
      </c>
      <c r="CF141" s="55">
        <f t="shared" si="73"/>
        <v>14.438012958963283</v>
      </c>
      <c r="CG141" s="55">
        <f t="shared" si="74"/>
        <v>2.2363174093402916</v>
      </c>
      <c r="CH141" s="55">
        <f t="shared" si="75"/>
        <v>0.670219798380433</v>
      </c>
      <c r="CI141" s="30">
        <v>31</v>
      </c>
      <c r="CJ141" s="30">
        <v>12</v>
      </c>
      <c r="CK141" s="30">
        <v>20</v>
      </c>
      <c r="CL141" s="30">
        <v>63</v>
      </c>
      <c r="CM141" s="30">
        <v>660</v>
      </c>
      <c r="CN141" s="30">
        <v>3891</v>
      </c>
      <c r="CO141" s="30">
        <v>7347</v>
      </c>
      <c r="CP141" s="30">
        <v>11898</v>
      </c>
      <c r="CQ141" s="1">
        <f t="shared" si="83"/>
        <v>2.2352057110651886</v>
      </c>
      <c r="CR141" s="47">
        <v>14946</v>
      </c>
      <c r="CS141" s="55">
        <f t="shared" si="76"/>
        <v>2.8078151418373096</v>
      </c>
      <c r="CT141" s="59">
        <v>6446</v>
      </c>
      <c r="CU141" s="29" t="s">
        <v>25</v>
      </c>
      <c r="CV141" s="29" t="s">
        <v>25</v>
      </c>
      <c r="CW141" s="29" t="s">
        <v>25</v>
      </c>
      <c r="CX141" s="35">
        <v>1</v>
      </c>
      <c r="CY141" s="49">
        <f>C141/CX141</f>
        <v>5323</v>
      </c>
      <c r="CZ141" s="35">
        <v>0</v>
      </c>
      <c r="DA141" s="35">
        <v>7</v>
      </c>
      <c r="DB141" s="35">
        <v>8</v>
      </c>
      <c r="DC141" s="49">
        <f t="shared" si="77"/>
        <v>665.375</v>
      </c>
      <c r="DD141" s="30">
        <v>516</v>
      </c>
      <c r="DE141" s="31">
        <v>63036</v>
      </c>
      <c r="DF141" s="35">
        <v>40</v>
      </c>
      <c r="DG141" s="29" t="s">
        <v>25</v>
      </c>
      <c r="DH141" s="29" t="s">
        <v>25</v>
      </c>
      <c r="DI141" s="29" t="s">
        <v>25</v>
      </c>
      <c r="DJ141" s="47">
        <v>50</v>
      </c>
      <c r="DK141" s="47">
        <v>75</v>
      </c>
      <c r="DL141" s="47">
        <v>22</v>
      </c>
      <c r="DM141" s="47">
        <v>6072</v>
      </c>
      <c r="DN141" s="47">
        <v>0</v>
      </c>
      <c r="DO141" s="47">
        <v>0</v>
      </c>
      <c r="DP141" s="29" t="s">
        <v>2028</v>
      </c>
      <c r="DQ141" s="47">
        <v>0</v>
      </c>
      <c r="DR141" s="47">
        <v>2315</v>
      </c>
      <c r="DS141" s="30">
        <v>52</v>
      </c>
      <c r="DT141" s="30">
        <v>46</v>
      </c>
      <c r="DU141" s="30">
        <v>46</v>
      </c>
      <c r="DV141" s="30">
        <v>40</v>
      </c>
      <c r="DX141" s="2">
        <f t="shared" si="78"/>
        <v>2315</v>
      </c>
      <c r="DY141" s="33" t="s">
        <v>2185</v>
      </c>
      <c r="DZ141" s="33" t="s">
        <v>437</v>
      </c>
      <c r="EA141" s="33" t="s">
        <v>2032</v>
      </c>
      <c r="EB141" s="33" t="s">
        <v>2027</v>
      </c>
      <c r="EC141" s="36">
        <v>112</v>
      </c>
      <c r="ED141" s="29" t="s">
        <v>435</v>
      </c>
      <c r="EE141" s="29" t="s">
        <v>436</v>
      </c>
      <c r="EF141" s="37">
        <v>41640</v>
      </c>
      <c r="EG141" s="37">
        <v>42004</v>
      </c>
      <c r="EH141" s="29" t="s">
        <v>435</v>
      </c>
      <c r="EI141" s="55">
        <f t="shared" si="79"/>
        <v>1.8846515123050911</v>
      </c>
      <c r="EJ141" s="54">
        <f t="shared" si="80"/>
        <v>4.3020852902498588E-2</v>
      </c>
      <c r="EK141" s="55">
        <f t="shared" si="81"/>
        <v>4.2104076648506483</v>
      </c>
      <c r="EL141" s="54">
        <f t="shared" si="82"/>
        <v>0.14108585384181851</v>
      </c>
    </row>
    <row r="142" spans="1:142" ht="28.8" x14ac:dyDescent="0.3">
      <c r="A142" s="29" t="s">
        <v>438</v>
      </c>
      <c r="B142" s="29"/>
      <c r="C142" s="30">
        <v>22324</v>
      </c>
      <c r="D142" s="30">
        <v>0</v>
      </c>
      <c r="E142" s="30">
        <v>0</v>
      </c>
      <c r="F142" s="30">
        <v>12226</v>
      </c>
      <c r="H142" s="2">
        <f t="shared" si="58"/>
        <v>12226</v>
      </c>
      <c r="I142" s="1">
        <f t="shared" si="57"/>
        <v>0.5476617093710805</v>
      </c>
      <c r="J142" s="31">
        <v>191932</v>
      </c>
      <c r="K142" s="31">
        <v>40993</v>
      </c>
      <c r="L142" s="31">
        <v>232925</v>
      </c>
      <c r="M142" s="45">
        <f t="shared" si="59"/>
        <v>10.433838021859883</v>
      </c>
      <c r="N142" s="31">
        <v>23741</v>
      </c>
      <c r="O142" s="31">
        <v>5549</v>
      </c>
      <c r="P142" s="31">
        <v>7268</v>
      </c>
      <c r="Q142" s="31">
        <v>36558</v>
      </c>
      <c r="R142" s="45">
        <f t="shared" si="60"/>
        <v>1.6376097473571045</v>
      </c>
      <c r="S142" s="31">
        <v>88574</v>
      </c>
      <c r="T142" s="31">
        <v>358057</v>
      </c>
      <c r="U142" s="31">
        <v>0</v>
      </c>
      <c r="V142" s="31">
        <v>358057</v>
      </c>
      <c r="W142" s="45">
        <f t="shared" si="61"/>
        <v>16.039105895000898</v>
      </c>
      <c r="X142" s="4">
        <f t="shared" si="62"/>
        <v>0.6505249164239213</v>
      </c>
      <c r="Y142" s="4">
        <f t="shared" si="63"/>
        <v>0.10210106212139408</v>
      </c>
      <c r="Z142" s="4">
        <f t="shared" si="64"/>
        <v>0.2473740214546846</v>
      </c>
      <c r="AA142" s="4">
        <f t="shared" si="65"/>
        <v>0</v>
      </c>
      <c r="AB142" s="31">
        <v>0</v>
      </c>
      <c r="AC142" s="31">
        <v>36558</v>
      </c>
      <c r="AD142" s="31">
        <v>358057</v>
      </c>
      <c r="AE142" s="31">
        <v>358057</v>
      </c>
      <c r="AF142" s="31">
        <v>328531</v>
      </c>
      <c r="AG142" s="31">
        <v>29526</v>
      </c>
      <c r="AH142" s="31">
        <v>0</v>
      </c>
      <c r="AI142" s="31">
        <v>358057</v>
      </c>
      <c r="AJ142" s="45">
        <f t="shared" si="66"/>
        <v>16.039105895000898</v>
      </c>
      <c r="AK142" s="31">
        <v>0</v>
      </c>
      <c r="AL142" s="31">
        <v>0</v>
      </c>
      <c r="AM142" s="31">
        <v>0</v>
      </c>
      <c r="AN142" s="31">
        <v>0</v>
      </c>
      <c r="AO142" s="31">
        <v>0</v>
      </c>
      <c r="AP142" s="31">
        <v>0</v>
      </c>
      <c r="AQ142" s="31">
        <v>0</v>
      </c>
      <c r="AR142" s="31">
        <v>358057</v>
      </c>
      <c r="AS142" s="46">
        <f t="shared" si="67"/>
        <v>16.039105895000898</v>
      </c>
      <c r="AT142" s="31">
        <v>0</v>
      </c>
      <c r="AU142" s="31">
        <v>0</v>
      </c>
      <c r="AV142" s="31">
        <v>0</v>
      </c>
      <c r="AW142" s="31">
        <v>0</v>
      </c>
      <c r="AX142" s="31">
        <v>0</v>
      </c>
      <c r="AY142" s="31">
        <v>0</v>
      </c>
      <c r="AZ142" s="31">
        <v>0</v>
      </c>
      <c r="BA142" s="31">
        <v>0</v>
      </c>
      <c r="BB142" s="31">
        <v>0</v>
      </c>
      <c r="BC142" s="33" t="s">
        <v>25</v>
      </c>
      <c r="BD142" s="47">
        <v>33643</v>
      </c>
      <c r="BE142" s="47">
        <v>34643</v>
      </c>
      <c r="BF142" s="45">
        <f t="shared" si="68"/>
        <v>1.5518276294570865</v>
      </c>
      <c r="BG142" s="30">
        <v>1401</v>
      </c>
      <c r="BH142" s="30">
        <v>1401</v>
      </c>
      <c r="BI142" s="30">
        <v>93</v>
      </c>
      <c r="BJ142" s="30">
        <v>2316</v>
      </c>
      <c r="BK142" s="30">
        <v>2326</v>
      </c>
      <c r="BL142" s="30">
        <v>0</v>
      </c>
      <c r="BM142" s="30">
        <v>1483</v>
      </c>
      <c r="BN142" s="30">
        <v>5</v>
      </c>
      <c r="BO142" s="30">
        <v>51</v>
      </c>
      <c r="BP142" s="30">
        <v>0</v>
      </c>
      <c r="BQ142" s="30">
        <v>56</v>
      </c>
      <c r="BR142" s="47">
        <v>37360</v>
      </c>
      <c r="BS142" s="47">
        <v>39951</v>
      </c>
      <c r="BT142" s="1">
        <f t="shared" si="69"/>
        <v>1.7895986382368751</v>
      </c>
      <c r="BU142" s="30">
        <v>65</v>
      </c>
      <c r="BV142" s="30">
        <v>0</v>
      </c>
      <c r="BW142" s="47">
        <v>4337</v>
      </c>
      <c r="BX142" s="52">
        <f t="shared" si="70"/>
        <v>0.19427521949471421</v>
      </c>
      <c r="BY142" s="47">
        <v>29057</v>
      </c>
      <c r="BZ142" s="47">
        <v>0</v>
      </c>
      <c r="CA142" s="47">
        <v>29058</v>
      </c>
      <c r="CB142" s="47">
        <v>1059</v>
      </c>
      <c r="CC142" s="47">
        <v>59174</v>
      </c>
      <c r="CD142" s="55">
        <f t="shared" si="71"/>
        <v>2.6506898405303709</v>
      </c>
      <c r="CE142" s="3">
        <f t="shared" si="72"/>
        <v>12644.017094017096</v>
      </c>
      <c r="CF142" s="55">
        <f t="shared" si="73"/>
        <v>28.725242718446601</v>
      </c>
      <c r="CG142" s="55">
        <f t="shared" si="74"/>
        <v>0.90514722753346077</v>
      </c>
      <c r="CH142" s="55">
        <f t="shared" si="75"/>
        <v>1.4546569547695927</v>
      </c>
      <c r="CI142" s="30">
        <v>118</v>
      </c>
      <c r="CJ142" s="30">
        <v>52</v>
      </c>
      <c r="CK142" s="30">
        <v>57</v>
      </c>
      <c r="CL142" s="30">
        <v>227</v>
      </c>
      <c r="CM142" s="30">
        <v>3461</v>
      </c>
      <c r="CN142" s="30">
        <v>272</v>
      </c>
      <c r="CO142" s="30">
        <v>485</v>
      </c>
      <c r="CP142" s="30">
        <v>4218</v>
      </c>
      <c r="CQ142" s="1">
        <f t="shared" si="83"/>
        <v>0.18894463357821178</v>
      </c>
      <c r="CR142" s="47">
        <v>65375</v>
      </c>
      <c r="CS142" s="55">
        <f t="shared" si="76"/>
        <v>2.9284626411037449</v>
      </c>
      <c r="CT142" s="59">
        <v>15805</v>
      </c>
      <c r="CU142" s="29" t="s">
        <v>25</v>
      </c>
      <c r="CV142" s="29" t="s">
        <v>25</v>
      </c>
      <c r="CW142" s="29" t="s">
        <v>25</v>
      </c>
      <c r="CX142" s="35">
        <v>2.7</v>
      </c>
      <c r="CY142" s="49">
        <f>C142/CX142</f>
        <v>8268.1481481481478</v>
      </c>
      <c r="CZ142" s="35">
        <v>0</v>
      </c>
      <c r="DA142" s="35">
        <v>1.98</v>
      </c>
      <c r="DB142" s="35">
        <v>4.68</v>
      </c>
      <c r="DC142" s="49">
        <f t="shared" si="77"/>
        <v>4770.0854700854707</v>
      </c>
      <c r="DD142" s="30">
        <v>413</v>
      </c>
      <c r="DE142" s="31">
        <v>64870</v>
      </c>
      <c r="DF142" s="35">
        <v>40</v>
      </c>
      <c r="DG142" s="29" t="s">
        <v>25</v>
      </c>
      <c r="DH142" s="29" t="s">
        <v>25</v>
      </c>
      <c r="DI142" s="29" t="s">
        <v>25</v>
      </c>
      <c r="DJ142" s="47">
        <v>248</v>
      </c>
      <c r="DK142" s="47">
        <v>296</v>
      </c>
      <c r="DL142" s="47">
        <v>16</v>
      </c>
      <c r="DM142" s="47">
        <v>18904</v>
      </c>
      <c r="DN142" s="47">
        <v>31002</v>
      </c>
      <c r="DO142" s="47">
        <v>425</v>
      </c>
      <c r="DP142" s="29" t="s">
        <v>25</v>
      </c>
      <c r="DQ142" s="47">
        <v>46718</v>
      </c>
      <c r="DR142" s="47">
        <v>2060</v>
      </c>
      <c r="DS142" s="30">
        <v>52</v>
      </c>
      <c r="DT142" s="30">
        <v>41</v>
      </c>
      <c r="DU142" s="30">
        <v>41</v>
      </c>
      <c r="DV142" s="30">
        <v>41</v>
      </c>
      <c r="DX142" s="2">
        <f t="shared" si="78"/>
        <v>2060</v>
      </c>
      <c r="DY142" s="33" t="s">
        <v>2185</v>
      </c>
      <c r="DZ142" s="33" t="s">
        <v>441</v>
      </c>
      <c r="EA142" s="33" t="s">
        <v>2030</v>
      </c>
      <c r="EB142" s="33" t="s">
        <v>2027</v>
      </c>
      <c r="EC142" s="36">
        <v>113</v>
      </c>
      <c r="ED142" s="29" t="s">
        <v>439</v>
      </c>
      <c r="EE142" s="29" t="s">
        <v>440</v>
      </c>
      <c r="EF142" s="37">
        <v>41548</v>
      </c>
      <c r="EG142" s="37">
        <v>41912</v>
      </c>
      <c r="EH142" s="29" t="s">
        <v>439</v>
      </c>
      <c r="EI142" s="55">
        <f t="shared" si="79"/>
        <v>1.3016036552589141</v>
      </c>
      <c r="EJ142" s="54">
        <f t="shared" si="80"/>
        <v>0</v>
      </c>
      <c r="EK142" s="55">
        <f t="shared" si="81"/>
        <v>1.3016484500985486</v>
      </c>
      <c r="EL142" s="54">
        <f t="shared" si="82"/>
        <v>4.7437735172908078E-2</v>
      </c>
    </row>
    <row r="143" spans="1:142" ht="28.8" x14ac:dyDescent="0.3">
      <c r="A143" s="29" t="s">
        <v>1690</v>
      </c>
      <c r="B143" s="29"/>
      <c r="C143" s="30">
        <v>4070</v>
      </c>
      <c r="D143" s="30">
        <v>0</v>
      </c>
      <c r="E143" s="30">
        <v>0</v>
      </c>
      <c r="F143" s="30">
        <v>2340</v>
      </c>
      <c r="H143" s="2">
        <f t="shared" si="58"/>
        <v>2340</v>
      </c>
      <c r="I143" s="1">
        <f t="shared" si="57"/>
        <v>0.57493857493857492</v>
      </c>
      <c r="J143" s="31">
        <v>47854</v>
      </c>
      <c r="K143" s="31">
        <v>17000</v>
      </c>
      <c r="L143" s="31">
        <v>64854</v>
      </c>
      <c r="M143" s="45">
        <f t="shared" si="59"/>
        <v>15.934643734643736</v>
      </c>
      <c r="N143" s="31">
        <v>2500</v>
      </c>
      <c r="O143" s="31">
        <v>0</v>
      </c>
      <c r="P143" s="31">
        <v>0</v>
      </c>
      <c r="Q143" s="31">
        <v>2500</v>
      </c>
      <c r="R143" s="45">
        <f t="shared" si="60"/>
        <v>0.61425061425061422</v>
      </c>
      <c r="S143" s="31">
        <v>23550</v>
      </c>
      <c r="T143" s="31">
        <v>90904</v>
      </c>
      <c r="U143" s="31">
        <v>0</v>
      </c>
      <c r="V143" s="31">
        <v>90904</v>
      </c>
      <c r="W143" s="45">
        <f t="shared" si="61"/>
        <v>22.335135135135136</v>
      </c>
      <c r="X143" s="4">
        <f t="shared" si="62"/>
        <v>0.71343395230132889</v>
      </c>
      <c r="Y143" s="4">
        <f t="shared" si="63"/>
        <v>2.7501540086244829E-2</v>
      </c>
      <c r="Z143" s="4">
        <f t="shared" si="64"/>
        <v>0.25906450761242628</v>
      </c>
      <c r="AA143" s="4">
        <f t="shared" si="65"/>
        <v>0</v>
      </c>
      <c r="AB143" s="31">
        <v>3000</v>
      </c>
      <c r="AC143" s="31">
        <v>2500</v>
      </c>
      <c r="AD143" s="31">
        <v>90904</v>
      </c>
      <c r="AE143" s="31">
        <v>90904</v>
      </c>
      <c r="AF143" s="31">
        <v>90904</v>
      </c>
      <c r="AG143" s="31">
        <v>0</v>
      </c>
      <c r="AH143" s="31">
        <v>0</v>
      </c>
      <c r="AI143" s="31">
        <v>90904</v>
      </c>
      <c r="AJ143" s="45">
        <f t="shared" si="66"/>
        <v>22.335135135135136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31">
        <v>0</v>
      </c>
      <c r="AQ143" s="31">
        <v>0</v>
      </c>
      <c r="AR143" s="31">
        <v>90904</v>
      </c>
      <c r="AS143" s="46">
        <f t="shared" si="67"/>
        <v>22.335135135135136</v>
      </c>
      <c r="AT143" s="31">
        <v>0</v>
      </c>
      <c r="AU143" s="31">
        <v>0</v>
      </c>
      <c r="AV143" s="31">
        <v>0</v>
      </c>
      <c r="AW143" s="31">
        <v>0</v>
      </c>
      <c r="AX143" s="31">
        <v>0</v>
      </c>
      <c r="AY143" s="31">
        <v>0</v>
      </c>
      <c r="AZ143" s="31">
        <v>0</v>
      </c>
      <c r="BA143" s="31">
        <v>0</v>
      </c>
      <c r="BB143" s="31">
        <v>0</v>
      </c>
      <c r="BC143" s="33" t="s">
        <v>25</v>
      </c>
      <c r="BD143" s="47">
        <v>11331</v>
      </c>
      <c r="BE143" s="47">
        <v>11856</v>
      </c>
      <c r="BF143" s="45">
        <f t="shared" si="68"/>
        <v>2.9130221130221132</v>
      </c>
      <c r="BG143" s="30">
        <v>130</v>
      </c>
      <c r="BH143" s="30">
        <v>477</v>
      </c>
      <c r="BI143" s="30">
        <v>0</v>
      </c>
      <c r="BJ143" s="30">
        <v>17</v>
      </c>
      <c r="BK143" s="30">
        <v>187</v>
      </c>
      <c r="BL143" s="30">
        <v>0</v>
      </c>
      <c r="BM143" s="30">
        <v>0</v>
      </c>
      <c r="BN143" s="30">
        <v>0</v>
      </c>
      <c r="BO143" s="30">
        <v>51</v>
      </c>
      <c r="BP143" s="30">
        <v>0</v>
      </c>
      <c r="BQ143" s="30">
        <v>51</v>
      </c>
      <c r="BR143" s="47">
        <v>11478</v>
      </c>
      <c r="BS143" s="47">
        <v>12520</v>
      </c>
      <c r="BT143" s="1">
        <f t="shared" si="69"/>
        <v>3.0761670761670761</v>
      </c>
      <c r="BU143" s="30">
        <v>8</v>
      </c>
      <c r="BV143" s="30">
        <v>0</v>
      </c>
      <c r="BW143" s="47">
        <v>150</v>
      </c>
      <c r="BX143" s="52">
        <f t="shared" si="70"/>
        <v>3.6855036855036855E-2</v>
      </c>
      <c r="BY143" s="47">
        <v>1609</v>
      </c>
      <c r="BZ143" s="47">
        <v>0</v>
      </c>
      <c r="CA143" s="47">
        <v>3509</v>
      </c>
      <c r="CB143" s="47">
        <v>0</v>
      </c>
      <c r="CC143" s="47">
        <v>5118</v>
      </c>
      <c r="CD143" s="55">
        <f t="shared" si="71"/>
        <v>1.2574938574938574</v>
      </c>
      <c r="CE143" s="3">
        <f t="shared" si="72"/>
        <v>3149.5384615384614</v>
      </c>
      <c r="CF143" s="55">
        <f t="shared" si="73"/>
        <v>2.38046511627907</v>
      </c>
      <c r="CG143" s="55">
        <f t="shared" si="74"/>
        <v>1</v>
      </c>
      <c r="CH143" s="55">
        <f t="shared" si="75"/>
        <v>0.40878594249201278</v>
      </c>
      <c r="CI143" s="30">
        <v>249</v>
      </c>
      <c r="CJ143" s="30">
        <v>244</v>
      </c>
      <c r="CK143" s="30">
        <v>0</v>
      </c>
      <c r="CL143" s="30">
        <v>493</v>
      </c>
      <c r="CM143" s="30">
        <v>2642</v>
      </c>
      <c r="CN143" s="30">
        <v>500</v>
      </c>
      <c r="CO143" s="30">
        <v>0</v>
      </c>
      <c r="CP143" s="30">
        <v>3142</v>
      </c>
      <c r="CQ143" s="1">
        <f t="shared" si="83"/>
        <v>0.77199017199017195</v>
      </c>
      <c r="CR143" s="47">
        <v>5118</v>
      </c>
      <c r="CS143" s="55">
        <f t="shared" si="76"/>
        <v>1.2574938574938574</v>
      </c>
      <c r="CT143" s="59">
        <v>1579</v>
      </c>
      <c r="CU143" s="29" t="s">
        <v>25</v>
      </c>
      <c r="CV143" s="29" t="s">
        <v>25</v>
      </c>
      <c r="CW143" s="29" t="s">
        <v>25</v>
      </c>
      <c r="CX143" s="35">
        <v>0</v>
      </c>
      <c r="CY143" s="49">
        <v>0</v>
      </c>
      <c r="CZ143" s="35">
        <v>1</v>
      </c>
      <c r="DA143" s="35">
        <v>0.625</v>
      </c>
      <c r="DB143" s="35">
        <v>1.625</v>
      </c>
      <c r="DC143" s="49">
        <f t="shared" si="77"/>
        <v>2504.6153846153848</v>
      </c>
      <c r="DD143" s="30">
        <v>0</v>
      </c>
      <c r="DE143" s="31">
        <v>32754</v>
      </c>
      <c r="DF143" s="35">
        <v>40</v>
      </c>
      <c r="DG143" s="29" t="s">
        <v>25</v>
      </c>
      <c r="DH143" s="29" t="s">
        <v>25</v>
      </c>
      <c r="DI143" s="29" t="s">
        <v>25</v>
      </c>
      <c r="DJ143" s="47">
        <v>10</v>
      </c>
      <c r="DK143" s="47">
        <v>0</v>
      </c>
      <c r="DL143" s="47">
        <v>18</v>
      </c>
      <c r="DM143" s="47">
        <v>3727</v>
      </c>
      <c r="DN143" s="47">
        <v>15</v>
      </c>
      <c r="DO143" s="47">
        <v>100</v>
      </c>
      <c r="DP143" s="29" t="s">
        <v>83</v>
      </c>
      <c r="DQ143" s="47">
        <v>0</v>
      </c>
      <c r="DR143" s="47">
        <v>2150</v>
      </c>
      <c r="DS143" s="30">
        <v>50</v>
      </c>
      <c r="DT143" s="30">
        <v>43</v>
      </c>
      <c r="DU143" s="30">
        <v>43</v>
      </c>
      <c r="DV143" s="30">
        <v>43</v>
      </c>
      <c r="DX143" s="2">
        <f t="shared" si="78"/>
        <v>2150</v>
      </c>
      <c r="DY143" s="33" t="s">
        <v>2187</v>
      </c>
      <c r="DZ143" s="33" t="s">
        <v>1692</v>
      </c>
      <c r="EA143" s="33" t="s">
        <v>2030</v>
      </c>
      <c r="EB143" s="33" t="s">
        <v>2027</v>
      </c>
      <c r="EC143" s="36">
        <v>577</v>
      </c>
      <c r="ED143" s="29" t="s">
        <v>1691</v>
      </c>
      <c r="EE143" s="29" t="s">
        <v>1031</v>
      </c>
      <c r="EF143" s="37">
        <v>41548</v>
      </c>
      <c r="EG143" s="37">
        <v>41912</v>
      </c>
      <c r="EH143" s="29" t="s">
        <v>1691</v>
      </c>
      <c r="EI143" s="55">
        <f t="shared" si="79"/>
        <v>0.39533169533169532</v>
      </c>
      <c r="EJ143" s="54">
        <f t="shared" si="80"/>
        <v>0</v>
      </c>
      <c r="EK143" s="55">
        <f t="shared" si="81"/>
        <v>0.86216216216216213</v>
      </c>
      <c r="EL143" s="54">
        <f t="shared" si="82"/>
        <v>0</v>
      </c>
    </row>
    <row r="144" spans="1:142" ht="28.8" x14ac:dyDescent="0.3">
      <c r="A144" s="29" t="s">
        <v>442</v>
      </c>
      <c r="B144" s="29"/>
      <c r="C144" s="30">
        <v>8030</v>
      </c>
      <c r="D144" s="30">
        <v>0</v>
      </c>
      <c r="E144" s="30">
        <v>0</v>
      </c>
      <c r="F144" s="30">
        <v>7810</v>
      </c>
      <c r="H144" s="2">
        <f t="shared" si="58"/>
        <v>7810</v>
      </c>
      <c r="I144" s="1">
        <f t="shared" si="57"/>
        <v>0.9726027397260274</v>
      </c>
      <c r="J144" s="31">
        <v>49724</v>
      </c>
      <c r="K144" s="31">
        <v>18205</v>
      </c>
      <c r="L144" s="31">
        <v>67929</v>
      </c>
      <c r="M144" s="45">
        <f t="shared" si="59"/>
        <v>8.459402241594022</v>
      </c>
      <c r="N144" s="31">
        <v>7421</v>
      </c>
      <c r="O144" s="31">
        <v>3340</v>
      </c>
      <c r="P144" s="31">
        <v>0</v>
      </c>
      <c r="Q144" s="31">
        <v>10761</v>
      </c>
      <c r="R144" s="45">
        <f t="shared" si="60"/>
        <v>1.3400996264009963</v>
      </c>
      <c r="S144" s="31">
        <v>20127</v>
      </c>
      <c r="T144" s="31">
        <v>98817</v>
      </c>
      <c r="U144" s="31">
        <v>0</v>
      </c>
      <c r="V144" s="31">
        <v>98817</v>
      </c>
      <c r="W144" s="45">
        <f t="shared" si="61"/>
        <v>12.305977584059775</v>
      </c>
      <c r="X144" s="4">
        <f t="shared" si="62"/>
        <v>0.68742220468138071</v>
      </c>
      <c r="Y144" s="4">
        <f t="shared" si="63"/>
        <v>0.10889826649260755</v>
      </c>
      <c r="Z144" s="4">
        <f t="shared" si="64"/>
        <v>0.20367952882601173</v>
      </c>
      <c r="AA144" s="4">
        <f t="shared" si="65"/>
        <v>0</v>
      </c>
      <c r="AB144" s="31">
        <v>0</v>
      </c>
      <c r="AC144" s="31">
        <v>10761</v>
      </c>
      <c r="AD144" s="31">
        <v>98817</v>
      </c>
      <c r="AE144" s="31">
        <v>92563</v>
      </c>
      <c r="AF144" s="31">
        <v>45500</v>
      </c>
      <c r="AG144" s="31">
        <v>47063</v>
      </c>
      <c r="AH144" s="31">
        <v>0</v>
      </c>
      <c r="AI144" s="31">
        <v>92563</v>
      </c>
      <c r="AJ144" s="45">
        <f t="shared" si="66"/>
        <v>11.527148194271481</v>
      </c>
      <c r="AK144" s="31">
        <v>0</v>
      </c>
      <c r="AL144" s="31">
        <v>0</v>
      </c>
      <c r="AM144" s="31">
        <v>0</v>
      </c>
      <c r="AN144" s="31">
        <v>0</v>
      </c>
      <c r="AO144" s="31">
        <v>0</v>
      </c>
      <c r="AP144" s="31">
        <v>6254</v>
      </c>
      <c r="AQ144" s="31">
        <v>6254</v>
      </c>
      <c r="AR144" s="31">
        <v>98817</v>
      </c>
      <c r="AS144" s="46">
        <f t="shared" si="67"/>
        <v>12.305977584059775</v>
      </c>
      <c r="AT144" s="31">
        <v>0</v>
      </c>
      <c r="AU144" s="31">
        <v>0</v>
      </c>
      <c r="AV144" s="31">
        <v>0</v>
      </c>
      <c r="AW144" s="31">
        <v>0</v>
      </c>
      <c r="AX144" s="31">
        <v>0</v>
      </c>
      <c r="AY144" s="31">
        <v>0</v>
      </c>
      <c r="AZ144" s="31">
        <v>0</v>
      </c>
      <c r="BA144" s="31">
        <v>0</v>
      </c>
      <c r="BB144" s="31">
        <v>0</v>
      </c>
      <c r="BC144" s="33" t="s">
        <v>25</v>
      </c>
      <c r="BD144" s="47">
        <v>16375</v>
      </c>
      <c r="BE144" s="47">
        <v>18001</v>
      </c>
      <c r="BF144" s="45">
        <f t="shared" si="68"/>
        <v>2.2417185554171857</v>
      </c>
      <c r="BG144" s="30">
        <v>2799</v>
      </c>
      <c r="BH144" s="30">
        <v>4387</v>
      </c>
      <c r="BI144" s="30">
        <v>749</v>
      </c>
      <c r="BJ144" s="30">
        <v>189</v>
      </c>
      <c r="BK144" s="30">
        <v>241</v>
      </c>
      <c r="BL144" s="30">
        <v>24</v>
      </c>
      <c r="BM144" s="30">
        <v>2142</v>
      </c>
      <c r="BN144" s="30">
        <v>0</v>
      </c>
      <c r="BO144" s="30">
        <v>51</v>
      </c>
      <c r="BP144" s="30">
        <v>15</v>
      </c>
      <c r="BQ144" s="30">
        <v>66</v>
      </c>
      <c r="BR144" s="47">
        <v>19363</v>
      </c>
      <c r="BS144" s="47">
        <v>25544</v>
      </c>
      <c r="BT144" s="1">
        <f t="shared" si="69"/>
        <v>3.1810709838107099</v>
      </c>
      <c r="BU144" s="30">
        <v>34</v>
      </c>
      <c r="BV144" s="30">
        <v>0</v>
      </c>
      <c r="BW144" s="47">
        <v>2133</v>
      </c>
      <c r="BX144" s="52">
        <f t="shared" si="70"/>
        <v>0.26562889165628889</v>
      </c>
      <c r="BY144" s="47">
        <v>3109</v>
      </c>
      <c r="BZ144" s="47">
        <v>90000</v>
      </c>
      <c r="CA144" s="47">
        <v>6483</v>
      </c>
      <c r="CB144" s="47">
        <v>99</v>
      </c>
      <c r="CC144" s="47">
        <v>99691</v>
      </c>
      <c r="CD144" s="55">
        <f t="shared" si="71"/>
        <v>12.414819427148194</v>
      </c>
      <c r="CE144" s="3">
        <f t="shared" si="72"/>
        <v>49845.5</v>
      </c>
      <c r="CF144" s="55">
        <f t="shared" si="73"/>
        <v>51.519896640826872</v>
      </c>
      <c r="CG144" s="55">
        <f t="shared" si="74"/>
        <v>5.6523785224244483</v>
      </c>
      <c r="CH144" s="55">
        <f t="shared" si="75"/>
        <v>0.37550892577513312</v>
      </c>
      <c r="CI144" s="30">
        <v>12</v>
      </c>
      <c r="CJ144" s="30">
        <v>5</v>
      </c>
      <c r="CK144" s="30">
        <v>2</v>
      </c>
      <c r="CL144" s="30">
        <v>19</v>
      </c>
      <c r="CM144" s="30">
        <v>249</v>
      </c>
      <c r="CN144" s="30">
        <v>36</v>
      </c>
      <c r="CO144" s="30">
        <v>15</v>
      </c>
      <c r="CP144" s="30">
        <v>300</v>
      </c>
      <c r="CQ144" s="1">
        <f t="shared" si="83"/>
        <v>3.7359900373599E-2</v>
      </c>
      <c r="CR144" s="47">
        <v>17637</v>
      </c>
      <c r="CS144" s="55">
        <f t="shared" si="76"/>
        <v>2.1963885429638856</v>
      </c>
      <c r="CT144" s="59">
        <v>1742</v>
      </c>
      <c r="CU144" s="29" t="s">
        <v>25</v>
      </c>
      <c r="CV144" s="29" t="s">
        <v>25</v>
      </c>
      <c r="CW144" s="29" t="s">
        <v>25</v>
      </c>
      <c r="CX144" s="35">
        <v>0</v>
      </c>
      <c r="CY144" s="49">
        <v>0</v>
      </c>
      <c r="CZ144" s="35">
        <v>0.875</v>
      </c>
      <c r="DA144" s="35">
        <v>1.125</v>
      </c>
      <c r="DB144" s="35">
        <v>2</v>
      </c>
      <c r="DC144" s="49">
        <f t="shared" si="77"/>
        <v>4015</v>
      </c>
      <c r="DD144" s="30">
        <v>1190</v>
      </c>
      <c r="DE144" s="31">
        <v>26552</v>
      </c>
      <c r="DF144" s="35">
        <v>35</v>
      </c>
      <c r="DG144" s="29" t="s">
        <v>25</v>
      </c>
      <c r="DH144" s="29" t="s">
        <v>25</v>
      </c>
      <c r="DI144" s="29" t="s">
        <v>25</v>
      </c>
      <c r="DJ144" s="47">
        <v>45</v>
      </c>
      <c r="DK144" s="47">
        <v>53</v>
      </c>
      <c r="DL144" s="47">
        <v>8</v>
      </c>
      <c r="DM144" s="47">
        <v>5616</v>
      </c>
      <c r="DN144" s="47">
        <v>262</v>
      </c>
      <c r="DO144" s="47">
        <v>1205</v>
      </c>
      <c r="DP144" s="29" t="s">
        <v>25</v>
      </c>
      <c r="DQ144" s="47">
        <v>2450</v>
      </c>
      <c r="DR144" s="47">
        <v>1935</v>
      </c>
      <c r="DS144" s="30">
        <v>50</v>
      </c>
      <c r="DT144" s="30">
        <v>39</v>
      </c>
      <c r="DU144" s="30">
        <v>39</v>
      </c>
      <c r="DV144" s="30">
        <v>39</v>
      </c>
      <c r="DX144" s="2">
        <f t="shared" si="78"/>
        <v>1935</v>
      </c>
      <c r="DY144" s="33" t="s">
        <v>2184</v>
      </c>
      <c r="DZ144" s="33" t="s">
        <v>445</v>
      </c>
      <c r="EA144" s="33" t="s">
        <v>2031</v>
      </c>
      <c r="EB144" s="33" t="s">
        <v>2027</v>
      </c>
      <c r="EC144" s="36">
        <v>114</v>
      </c>
      <c r="ED144" s="29" t="s">
        <v>443</v>
      </c>
      <c r="EE144" s="29" t="s">
        <v>444</v>
      </c>
      <c r="EF144" s="37">
        <v>41548</v>
      </c>
      <c r="EG144" s="37">
        <v>41912</v>
      </c>
      <c r="EH144" s="29" t="s">
        <v>443</v>
      </c>
      <c r="EI144" s="55">
        <f t="shared" si="79"/>
        <v>0.38717310087173101</v>
      </c>
      <c r="EJ144" s="54">
        <f t="shared" si="80"/>
        <v>11.207970112079702</v>
      </c>
      <c r="EK144" s="55">
        <f t="shared" si="81"/>
        <v>0.8073474470734745</v>
      </c>
      <c r="EL144" s="54">
        <f t="shared" si="82"/>
        <v>1.2328767123287671E-2</v>
      </c>
    </row>
    <row r="145" spans="1:142" ht="28.8" x14ac:dyDescent="0.3">
      <c r="A145" s="29" t="s">
        <v>62</v>
      </c>
      <c r="B145" s="29"/>
      <c r="C145" s="30">
        <v>25281</v>
      </c>
      <c r="D145" s="30">
        <v>0</v>
      </c>
      <c r="E145" s="30">
        <v>0</v>
      </c>
      <c r="F145" s="30">
        <v>10500</v>
      </c>
      <c r="H145" s="2">
        <f t="shared" si="58"/>
        <v>10500</v>
      </c>
      <c r="I145" s="1">
        <f t="shared" si="57"/>
        <v>0.41533167200664528</v>
      </c>
      <c r="J145" s="31">
        <v>207046</v>
      </c>
      <c r="K145" s="31">
        <v>46930</v>
      </c>
      <c r="L145" s="31">
        <v>253976</v>
      </c>
      <c r="M145" s="45">
        <f t="shared" si="59"/>
        <v>10.046121593291405</v>
      </c>
      <c r="N145" s="31">
        <v>11000</v>
      </c>
      <c r="O145" s="31">
        <v>8500</v>
      </c>
      <c r="P145" s="31">
        <v>500</v>
      </c>
      <c r="Q145" s="31">
        <v>20000</v>
      </c>
      <c r="R145" s="45">
        <f t="shared" si="60"/>
        <v>0.79110794667932438</v>
      </c>
      <c r="S145" s="31">
        <v>67550</v>
      </c>
      <c r="T145" s="31">
        <v>341526</v>
      </c>
      <c r="U145" s="31">
        <v>0</v>
      </c>
      <c r="V145" s="31">
        <v>341526</v>
      </c>
      <c r="W145" s="45">
        <f t="shared" si="61"/>
        <v>13.509196629880147</v>
      </c>
      <c r="X145" s="4">
        <f t="shared" si="62"/>
        <v>0.74365055661940815</v>
      </c>
      <c r="Y145" s="4">
        <f t="shared" si="63"/>
        <v>5.8560695232573803E-2</v>
      </c>
      <c r="Z145" s="4">
        <f t="shared" si="64"/>
        <v>0.197788748148018</v>
      </c>
      <c r="AA145" s="4">
        <f t="shared" si="65"/>
        <v>0</v>
      </c>
      <c r="AB145" s="31">
        <v>16000</v>
      </c>
      <c r="AC145" s="31">
        <v>20000</v>
      </c>
      <c r="AD145" s="31">
        <v>341526</v>
      </c>
      <c r="AE145" s="31">
        <v>341526</v>
      </c>
      <c r="AF145" s="31">
        <v>341526</v>
      </c>
      <c r="AG145" s="31">
        <v>15000</v>
      </c>
      <c r="AH145" s="31">
        <v>0</v>
      </c>
      <c r="AI145" s="31">
        <v>356526</v>
      </c>
      <c r="AJ145" s="45">
        <f t="shared" si="66"/>
        <v>14.10252758988964</v>
      </c>
      <c r="AK145" s="31">
        <v>0</v>
      </c>
      <c r="AL145" s="31">
        <v>0</v>
      </c>
      <c r="AM145" s="31">
        <v>0</v>
      </c>
      <c r="AN145" s="31">
        <v>0</v>
      </c>
      <c r="AO145" s="31">
        <v>0</v>
      </c>
      <c r="AP145" s="31">
        <v>0</v>
      </c>
      <c r="AQ145" s="31">
        <v>0</v>
      </c>
      <c r="AR145" s="31">
        <v>356526</v>
      </c>
      <c r="AS145" s="46">
        <f t="shared" si="67"/>
        <v>14.10252758988964</v>
      </c>
      <c r="AT145" s="31">
        <v>0</v>
      </c>
      <c r="AU145" s="31">
        <v>0</v>
      </c>
      <c r="AV145" s="31">
        <v>0</v>
      </c>
      <c r="AW145" s="31">
        <v>0</v>
      </c>
      <c r="AX145" s="31">
        <v>0</v>
      </c>
      <c r="AY145" s="31">
        <v>0</v>
      </c>
      <c r="AZ145" s="31">
        <v>0</v>
      </c>
      <c r="BA145" s="31">
        <v>0</v>
      </c>
      <c r="BB145" s="31">
        <v>0</v>
      </c>
      <c r="BC145" s="33" t="s">
        <v>25</v>
      </c>
      <c r="BD145" s="47">
        <v>45386</v>
      </c>
      <c r="BE145" s="47">
        <v>45917</v>
      </c>
      <c r="BF145" s="45">
        <f t="shared" si="68"/>
        <v>1.816265179383727</v>
      </c>
      <c r="BG145" s="30">
        <v>550</v>
      </c>
      <c r="BH145" s="30">
        <v>950</v>
      </c>
      <c r="BI145" s="30">
        <v>0</v>
      </c>
      <c r="BJ145" s="30">
        <v>3220</v>
      </c>
      <c r="BK145" s="30">
        <v>3245</v>
      </c>
      <c r="BL145" s="30">
        <v>0</v>
      </c>
      <c r="BM145" s="30">
        <v>390</v>
      </c>
      <c r="BN145" s="30">
        <v>4</v>
      </c>
      <c r="BO145" s="30">
        <v>51</v>
      </c>
      <c r="BP145" s="30">
        <v>0</v>
      </c>
      <c r="BQ145" s="30">
        <v>55</v>
      </c>
      <c r="BR145" s="47">
        <v>49156</v>
      </c>
      <c r="BS145" s="47">
        <v>50506</v>
      </c>
      <c r="BT145" s="1">
        <f t="shared" si="69"/>
        <v>1.9977848977492978</v>
      </c>
      <c r="BU145" s="30">
        <v>7</v>
      </c>
      <c r="BV145" s="30">
        <v>2</v>
      </c>
      <c r="BW145" s="47">
        <v>1856</v>
      </c>
      <c r="BX145" s="52">
        <f t="shared" si="70"/>
        <v>7.3414817451841308E-2</v>
      </c>
      <c r="BY145" s="47">
        <v>5226</v>
      </c>
      <c r="BZ145" s="47">
        <v>3</v>
      </c>
      <c r="CA145" s="47">
        <v>6606</v>
      </c>
      <c r="CB145" s="47">
        <v>464</v>
      </c>
      <c r="CC145" s="47">
        <v>12299</v>
      </c>
      <c r="CD145" s="55">
        <f t="shared" si="71"/>
        <v>0.48649183181045053</v>
      </c>
      <c r="CE145" s="3">
        <f t="shared" si="72"/>
        <v>1892.1538461538462</v>
      </c>
      <c r="CF145" s="55">
        <f t="shared" si="73"/>
        <v>4.2913468248429867</v>
      </c>
      <c r="CG145" s="55">
        <f t="shared" si="74"/>
        <v>0.12636391657248536</v>
      </c>
      <c r="CH145" s="55">
        <f t="shared" si="75"/>
        <v>0.23426919573912011</v>
      </c>
      <c r="CI145" s="30">
        <v>422</v>
      </c>
      <c r="CJ145" s="30">
        <v>11</v>
      </c>
      <c r="CK145" s="30">
        <v>210</v>
      </c>
      <c r="CL145" s="30">
        <v>643</v>
      </c>
      <c r="CM145" s="30">
        <v>2428</v>
      </c>
      <c r="CN145" s="30">
        <v>110</v>
      </c>
      <c r="CO145" s="30">
        <v>2104</v>
      </c>
      <c r="CP145" s="30">
        <v>4642</v>
      </c>
      <c r="CQ145" s="1">
        <f t="shared" si="83"/>
        <v>0.18361615442427121</v>
      </c>
      <c r="CR145" s="47">
        <v>97330</v>
      </c>
      <c r="CS145" s="55">
        <f t="shared" si="76"/>
        <v>3.8499268225149321</v>
      </c>
      <c r="CT145" s="59">
        <v>14161</v>
      </c>
      <c r="CU145" s="29" t="s">
        <v>25</v>
      </c>
      <c r="CV145" s="29" t="s">
        <v>25</v>
      </c>
      <c r="CW145" s="29" t="s">
        <v>25</v>
      </c>
      <c r="CX145" s="35">
        <v>1</v>
      </c>
      <c r="CY145" s="49">
        <f>C145/CX145</f>
        <v>25281</v>
      </c>
      <c r="CZ145" s="35">
        <v>2</v>
      </c>
      <c r="DA145" s="35">
        <v>3.5</v>
      </c>
      <c r="DB145" s="35">
        <v>6.5</v>
      </c>
      <c r="DC145" s="49">
        <f t="shared" si="77"/>
        <v>3889.3846153846152</v>
      </c>
      <c r="DD145" s="30">
        <v>200</v>
      </c>
      <c r="DE145" s="31">
        <v>60000</v>
      </c>
      <c r="DF145" s="35">
        <v>40</v>
      </c>
      <c r="DG145" s="29" t="s">
        <v>25</v>
      </c>
      <c r="DH145" s="29" t="s">
        <v>26</v>
      </c>
      <c r="DI145" s="29" t="s">
        <v>26</v>
      </c>
      <c r="DJ145" s="47">
        <v>84</v>
      </c>
      <c r="DK145" s="47">
        <v>163</v>
      </c>
      <c r="DL145" s="47">
        <v>26</v>
      </c>
      <c r="DM145" s="47">
        <v>36469</v>
      </c>
      <c r="DN145" s="47">
        <v>2271</v>
      </c>
      <c r="DO145" s="47">
        <v>0</v>
      </c>
      <c r="DP145" s="29" t="s">
        <v>2028</v>
      </c>
      <c r="DQ145" s="47">
        <v>0</v>
      </c>
      <c r="DR145" s="47">
        <v>2866</v>
      </c>
      <c r="DS145" s="30">
        <v>52</v>
      </c>
      <c r="DT145" s="30">
        <v>57</v>
      </c>
      <c r="DU145" s="30">
        <v>57</v>
      </c>
      <c r="DV145" s="30">
        <v>57</v>
      </c>
      <c r="DX145" s="2">
        <f t="shared" si="78"/>
        <v>2866</v>
      </c>
      <c r="DY145" s="33" t="s">
        <v>2180</v>
      </c>
      <c r="DZ145" s="33" t="s">
        <v>447</v>
      </c>
      <c r="EA145" s="33" t="s">
        <v>2030</v>
      </c>
      <c r="EB145" s="33" t="s">
        <v>2027</v>
      </c>
      <c r="EC145" s="36">
        <v>115</v>
      </c>
      <c r="ED145" s="29" t="s">
        <v>446</v>
      </c>
      <c r="EE145" s="29" t="s">
        <v>35</v>
      </c>
      <c r="EF145" s="37">
        <v>41548</v>
      </c>
      <c r="EG145" s="37">
        <v>41912</v>
      </c>
      <c r="EH145" s="29" t="s">
        <v>446</v>
      </c>
      <c r="EI145" s="55">
        <f t="shared" si="79"/>
        <v>0.20671650646730746</v>
      </c>
      <c r="EJ145" s="54">
        <f t="shared" si="80"/>
        <v>1.1866619200189867E-4</v>
      </c>
      <c r="EK145" s="55">
        <f t="shared" si="81"/>
        <v>0.26130295478818083</v>
      </c>
      <c r="EL145" s="54">
        <f t="shared" si="82"/>
        <v>1.8353704362960327E-2</v>
      </c>
    </row>
    <row r="146" spans="1:142" ht="43.2" x14ac:dyDescent="0.3">
      <c r="A146" s="29" t="s">
        <v>1476</v>
      </c>
      <c r="B146" s="29"/>
      <c r="C146" s="30">
        <v>33164</v>
      </c>
      <c r="D146" s="30">
        <v>0</v>
      </c>
      <c r="E146" s="30">
        <v>0</v>
      </c>
      <c r="F146" s="30">
        <v>9220</v>
      </c>
      <c r="H146" s="2">
        <f t="shared" si="58"/>
        <v>9220</v>
      </c>
      <c r="I146" s="1">
        <f t="shared" si="57"/>
        <v>0.27801230249668313</v>
      </c>
      <c r="J146" s="31">
        <v>272052</v>
      </c>
      <c r="K146" s="31">
        <v>26636</v>
      </c>
      <c r="L146" s="31">
        <v>298688</v>
      </c>
      <c r="M146" s="45">
        <f t="shared" si="59"/>
        <v>9.0063924737667342</v>
      </c>
      <c r="N146" s="31">
        <v>58095</v>
      </c>
      <c r="O146" s="31">
        <v>11877</v>
      </c>
      <c r="P146" s="31">
        <v>1998</v>
      </c>
      <c r="Q146" s="31">
        <v>71970</v>
      </c>
      <c r="R146" s="45">
        <f t="shared" si="60"/>
        <v>2.1701242310939572</v>
      </c>
      <c r="S146" s="31">
        <v>269922</v>
      </c>
      <c r="T146" s="31">
        <v>640580</v>
      </c>
      <c r="U146" s="31">
        <v>0</v>
      </c>
      <c r="V146" s="31">
        <v>640580</v>
      </c>
      <c r="W146" s="45">
        <f t="shared" si="61"/>
        <v>19.315522856109034</v>
      </c>
      <c r="X146" s="4">
        <f t="shared" si="62"/>
        <v>0.46627743607355832</v>
      </c>
      <c r="Y146" s="4">
        <f t="shared" si="63"/>
        <v>0.11235130662836804</v>
      </c>
      <c r="Z146" s="4">
        <f t="shared" si="64"/>
        <v>0.42137125729807362</v>
      </c>
      <c r="AA146" s="4">
        <f t="shared" si="65"/>
        <v>0</v>
      </c>
      <c r="AB146" s="31">
        <v>0</v>
      </c>
      <c r="AC146" s="31">
        <v>71970</v>
      </c>
      <c r="AD146" s="31">
        <v>640580</v>
      </c>
      <c r="AE146" s="31">
        <v>551657</v>
      </c>
      <c r="AF146" s="31">
        <v>551657</v>
      </c>
      <c r="AG146" s="31">
        <v>30000</v>
      </c>
      <c r="AH146" s="31">
        <v>0</v>
      </c>
      <c r="AI146" s="31">
        <v>581657</v>
      </c>
      <c r="AJ146" s="45">
        <f t="shared" si="66"/>
        <v>17.538807140272585</v>
      </c>
      <c r="AK146" s="31">
        <v>0</v>
      </c>
      <c r="AL146" s="31">
        <v>0</v>
      </c>
      <c r="AM146" s="31">
        <v>0</v>
      </c>
      <c r="AN146" s="31">
        <v>0</v>
      </c>
      <c r="AO146" s="31">
        <v>1350</v>
      </c>
      <c r="AP146" s="31">
        <v>57571</v>
      </c>
      <c r="AQ146" s="31">
        <v>58921</v>
      </c>
      <c r="AR146" s="31">
        <v>640578</v>
      </c>
      <c r="AS146" s="46">
        <f t="shared" si="67"/>
        <v>19.315462549752745</v>
      </c>
      <c r="AT146" s="31">
        <v>0</v>
      </c>
      <c r="AU146" s="31">
        <v>0</v>
      </c>
      <c r="AV146" s="31">
        <v>0</v>
      </c>
      <c r="AW146" s="31">
        <v>0</v>
      </c>
      <c r="AX146" s="31">
        <v>0</v>
      </c>
      <c r="AY146" s="31">
        <v>0</v>
      </c>
      <c r="AZ146" s="31">
        <v>0</v>
      </c>
      <c r="BA146" s="31">
        <v>0</v>
      </c>
      <c r="BB146" s="31">
        <v>0</v>
      </c>
      <c r="BC146" s="33" t="s">
        <v>25</v>
      </c>
      <c r="BD146" s="47">
        <v>47866</v>
      </c>
      <c r="BE146" s="47">
        <v>49052</v>
      </c>
      <c r="BF146" s="45">
        <f t="shared" si="68"/>
        <v>1.4790736943673863</v>
      </c>
      <c r="BG146" s="30">
        <v>2930</v>
      </c>
      <c r="BH146" s="30">
        <v>2945</v>
      </c>
      <c r="BI146" s="30">
        <v>6915</v>
      </c>
      <c r="BJ146" s="30">
        <v>2488</v>
      </c>
      <c r="BK146" s="30">
        <v>2552</v>
      </c>
      <c r="BL146" s="30">
        <v>85</v>
      </c>
      <c r="BM146" s="30">
        <v>469</v>
      </c>
      <c r="BN146" s="30">
        <v>0</v>
      </c>
      <c r="BO146" s="30">
        <v>51</v>
      </c>
      <c r="BP146" s="30">
        <v>0</v>
      </c>
      <c r="BQ146" s="30">
        <v>51</v>
      </c>
      <c r="BR146" s="47">
        <v>53284</v>
      </c>
      <c r="BS146" s="47">
        <v>62018</v>
      </c>
      <c r="BT146" s="1">
        <f t="shared" si="69"/>
        <v>1.8700398021951514</v>
      </c>
      <c r="BU146" s="30">
        <v>35</v>
      </c>
      <c r="BV146" s="30">
        <v>1</v>
      </c>
      <c r="BW146" s="47">
        <v>3317</v>
      </c>
      <c r="BX146" s="52">
        <f t="shared" si="70"/>
        <v>0.10001809190688699</v>
      </c>
      <c r="BY146" s="47">
        <v>66645</v>
      </c>
      <c r="BZ146" s="47">
        <v>351</v>
      </c>
      <c r="CA146" s="47">
        <v>74208</v>
      </c>
      <c r="CB146" s="47">
        <v>2271</v>
      </c>
      <c r="CC146" s="47">
        <v>143475</v>
      </c>
      <c r="CD146" s="55">
        <f t="shared" si="71"/>
        <v>4.3262272343505002</v>
      </c>
      <c r="CE146" s="3">
        <f t="shared" si="72"/>
        <v>17182.634730538924</v>
      </c>
      <c r="CF146" s="55">
        <f t="shared" si="73"/>
        <v>51.113288208051301</v>
      </c>
      <c r="CG146" s="55">
        <f t="shared" si="74"/>
        <v>1.5969702366376528</v>
      </c>
      <c r="CH146" s="55">
        <f t="shared" si="75"/>
        <v>2.2711632106807702</v>
      </c>
      <c r="CI146" s="30">
        <v>160</v>
      </c>
      <c r="CJ146" s="30">
        <v>21</v>
      </c>
      <c r="CK146" s="30">
        <v>61</v>
      </c>
      <c r="CL146" s="30">
        <v>242</v>
      </c>
      <c r="CM146" s="30">
        <v>3271</v>
      </c>
      <c r="CN146" s="30">
        <v>95</v>
      </c>
      <c r="CO146" s="30">
        <v>648</v>
      </c>
      <c r="CP146" s="30">
        <v>4014</v>
      </c>
      <c r="CQ146" s="1">
        <f t="shared" si="83"/>
        <v>0.12103485707393559</v>
      </c>
      <c r="CR146" s="47">
        <v>89842</v>
      </c>
      <c r="CS146" s="55">
        <f t="shared" si="76"/>
        <v>2.7090218309009768</v>
      </c>
      <c r="CT146" s="59">
        <v>8593</v>
      </c>
      <c r="CU146" s="29" t="s">
        <v>25</v>
      </c>
      <c r="CV146" s="29" t="s">
        <v>25</v>
      </c>
      <c r="CW146" s="29" t="s">
        <v>25</v>
      </c>
      <c r="CX146" s="35">
        <v>2</v>
      </c>
      <c r="CY146" s="49">
        <f>C146/CX146</f>
        <v>16582</v>
      </c>
      <c r="CZ146" s="35">
        <v>0</v>
      </c>
      <c r="DA146" s="35">
        <v>6.35</v>
      </c>
      <c r="DB146" s="35">
        <v>8.35</v>
      </c>
      <c r="DC146" s="49">
        <f t="shared" si="77"/>
        <v>3971.7365269461079</v>
      </c>
      <c r="DD146" s="30">
        <v>3255</v>
      </c>
      <c r="DE146" s="31">
        <v>45000</v>
      </c>
      <c r="DF146" s="35">
        <v>40</v>
      </c>
      <c r="DG146" s="29" t="s">
        <v>25</v>
      </c>
      <c r="DH146" s="29" t="s">
        <v>25</v>
      </c>
      <c r="DI146" s="29" t="s">
        <v>25</v>
      </c>
      <c r="DJ146" s="47">
        <v>234</v>
      </c>
      <c r="DK146" s="47">
        <v>0</v>
      </c>
      <c r="DL146" s="47">
        <v>24</v>
      </c>
      <c r="DM146" s="47">
        <v>11094</v>
      </c>
      <c r="DN146" s="47">
        <v>300</v>
      </c>
      <c r="DO146" s="47">
        <v>12733</v>
      </c>
      <c r="DP146" s="29" t="s">
        <v>25</v>
      </c>
      <c r="DQ146" s="47">
        <v>41416</v>
      </c>
      <c r="DR146" s="47">
        <v>2807</v>
      </c>
      <c r="DS146" s="30">
        <v>52</v>
      </c>
      <c r="DT146" s="30">
        <v>58</v>
      </c>
      <c r="DU146" s="30">
        <v>58</v>
      </c>
      <c r="DV146" s="30">
        <v>58</v>
      </c>
      <c r="DX146" s="2">
        <f t="shared" si="78"/>
        <v>2807</v>
      </c>
      <c r="DY146" s="33" t="s">
        <v>2186</v>
      </c>
      <c r="DZ146" s="33" t="s">
        <v>1477</v>
      </c>
      <c r="EA146" s="33" t="s">
        <v>2033</v>
      </c>
      <c r="EB146" s="33" t="s">
        <v>2027</v>
      </c>
      <c r="EC146" s="36">
        <v>467</v>
      </c>
      <c r="ED146" s="29" t="s">
        <v>1475</v>
      </c>
      <c r="EE146" s="29" t="s">
        <v>776</v>
      </c>
      <c r="EF146" s="37">
        <v>41640</v>
      </c>
      <c r="EG146" s="37">
        <v>42004</v>
      </c>
      <c r="EH146" s="29" t="s">
        <v>1475</v>
      </c>
      <c r="EI146" s="55">
        <f t="shared" si="79"/>
        <v>2.0095585574719577</v>
      </c>
      <c r="EJ146" s="54">
        <f t="shared" si="80"/>
        <v>1.0583765528886745E-2</v>
      </c>
      <c r="EK146" s="55">
        <f t="shared" si="81"/>
        <v>2.2376070437824147</v>
      </c>
      <c r="EL146" s="54">
        <f t="shared" si="82"/>
        <v>6.8477867567241585E-2</v>
      </c>
    </row>
    <row r="147" spans="1:142" ht="28.8" x14ac:dyDescent="0.3">
      <c r="A147" s="29" t="s">
        <v>448</v>
      </c>
      <c r="B147" s="29"/>
      <c r="C147" s="30">
        <v>3698</v>
      </c>
      <c r="D147" s="30">
        <v>0</v>
      </c>
      <c r="E147" s="30">
        <v>0</v>
      </c>
      <c r="F147" s="30">
        <v>3850</v>
      </c>
      <c r="H147" s="2">
        <f t="shared" si="58"/>
        <v>3850</v>
      </c>
      <c r="I147" s="1">
        <f t="shared" si="57"/>
        <v>1.0411032990805842</v>
      </c>
      <c r="J147" s="31">
        <v>77264</v>
      </c>
      <c r="K147" s="31">
        <v>18193</v>
      </c>
      <c r="L147" s="31">
        <v>95457</v>
      </c>
      <c r="M147" s="45">
        <f t="shared" si="59"/>
        <v>25.813142239048133</v>
      </c>
      <c r="N147" s="31">
        <v>7368</v>
      </c>
      <c r="O147" s="31">
        <v>3000</v>
      </c>
      <c r="P147" s="31">
        <v>1563</v>
      </c>
      <c r="Q147" s="31">
        <v>11931</v>
      </c>
      <c r="R147" s="45">
        <f t="shared" si="60"/>
        <v>3.2263385613845323</v>
      </c>
      <c r="S147" s="31">
        <v>29270</v>
      </c>
      <c r="T147" s="31">
        <v>136658</v>
      </c>
      <c r="U147" s="31">
        <v>0</v>
      </c>
      <c r="V147" s="31">
        <v>136658</v>
      </c>
      <c r="W147" s="45">
        <f t="shared" si="61"/>
        <v>36.954570037858304</v>
      </c>
      <c r="X147" s="4">
        <f t="shared" si="62"/>
        <v>0.69851014942410983</v>
      </c>
      <c r="Y147" s="4">
        <f t="shared" si="63"/>
        <v>8.730553644865284E-2</v>
      </c>
      <c r="Z147" s="4">
        <f t="shared" si="64"/>
        <v>0.21418431412723735</v>
      </c>
      <c r="AA147" s="4">
        <f t="shared" si="65"/>
        <v>0</v>
      </c>
      <c r="AB147" s="31">
        <v>0</v>
      </c>
      <c r="AC147" s="31">
        <v>7321</v>
      </c>
      <c r="AD147" s="31">
        <v>127057</v>
      </c>
      <c r="AE147" s="31">
        <v>127057</v>
      </c>
      <c r="AF147" s="31">
        <v>131780</v>
      </c>
      <c r="AG147" s="31">
        <v>0</v>
      </c>
      <c r="AH147" s="31">
        <v>0</v>
      </c>
      <c r="AI147" s="31">
        <v>131780</v>
      </c>
      <c r="AJ147" s="45">
        <f t="shared" si="66"/>
        <v>35.635478637101137</v>
      </c>
      <c r="AK147" s="31">
        <v>0</v>
      </c>
      <c r="AL147" s="31">
        <v>0</v>
      </c>
      <c r="AM147" s="31">
        <v>0</v>
      </c>
      <c r="AN147" s="31">
        <v>0</v>
      </c>
      <c r="AO147" s="31">
        <v>9601</v>
      </c>
      <c r="AP147" s="31">
        <v>6474</v>
      </c>
      <c r="AQ147" s="31">
        <v>16075</v>
      </c>
      <c r="AR147" s="31">
        <v>147855</v>
      </c>
      <c r="AS147" s="46">
        <f t="shared" si="67"/>
        <v>39.982422931314225</v>
      </c>
      <c r="AT147" s="31">
        <v>0</v>
      </c>
      <c r="AU147" s="31">
        <v>0</v>
      </c>
      <c r="AV147" s="31">
        <v>0</v>
      </c>
      <c r="AW147" s="31">
        <v>0</v>
      </c>
      <c r="AX147" s="31">
        <v>0</v>
      </c>
      <c r="AY147" s="31">
        <v>0</v>
      </c>
      <c r="AZ147" s="31">
        <v>0</v>
      </c>
      <c r="BA147" s="31">
        <v>0</v>
      </c>
      <c r="BB147" s="31">
        <v>0</v>
      </c>
      <c r="BC147" s="33" t="s">
        <v>25</v>
      </c>
      <c r="BD147" s="47">
        <v>14960</v>
      </c>
      <c r="BE147" s="47">
        <v>16053</v>
      </c>
      <c r="BF147" s="45">
        <f t="shared" si="68"/>
        <v>4.3409951325040561</v>
      </c>
      <c r="BG147" s="30">
        <v>760</v>
      </c>
      <c r="BH147" s="30">
        <v>776</v>
      </c>
      <c r="BI147" s="30">
        <v>5026</v>
      </c>
      <c r="BJ147" s="30">
        <v>1555</v>
      </c>
      <c r="BK147" s="30">
        <v>1590</v>
      </c>
      <c r="BL147" s="30">
        <v>0</v>
      </c>
      <c r="BM147" s="30">
        <v>10583</v>
      </c>
      <c r="BN147" s="30">
        <v>0</v>
      </c>
      <c r="BO147" s="30">
        <v>51</v>
      </c>
      <c r="BP147" s="30">
        <v>0</v>
      </c>
      <c r="BQ147" s="30">
        <v>51</v>
      </c>
      <c r="BR147" s="47">
        <v>17275</v>
      </c>
      <c r="BS147" s="47">
        <v>34028</v>
      </c>
      <c r="BT147" s="1">
        <f t="shared" si="69"/>
        <v>9.2017306652244457</v>
      </c>
      <c r="BU147" s="30">
        <v>30</v>
      </c>
      <c r="BV147" s="30">
        <v>0</v>
      </c>
      <c r="BW147" s="47">
        <v>488</v>
      </c>
      <c r="BX147" s="52">
        <f t="shared" si="70"/>
        <v>0.13196322336398053</v>
      </c>
      <c r="BY147" s="47">
        <v>6471</v>
      </c>
      <c r="BZ147" s="47">
        <v>1000</v>
      </c>
      <c r="CA147" s="47">
        <v>21817</v>
      </c>
      <c r="CB147" s="47">
        <v>1423</v>
      </c>
      <c r="CC147" s="47">
        <v>30711</v>
      </c>
      <c r="CD147" s="55">
        <f t="shared" si="71"/>
        <v>8.3047593293672257</v>
      </c>
      <c r="CE147" s="3">
        <f t="shared" si="72"/>
        <v>10237</v>
      </c>
      <c r="CF147" s="55">
        <f t="shared" si="73"/>
        <v>15.173418972332016</v>
      </c>
      <c r="CG147" s="55">
        <f t="shared" si="74"/>
        <v>2.2706839186691314</v>
      </c>
      <c r="CH147" s="55">
        <f t="shared" si="75"/>
        <v>0.83131538732808274</v>
      </c>
      <c r="CI147" s="30">
        <v>28</v>
      </c>
      <c r="CJ147" s="30">
        <v>6</v>
      </c>
      <c r="CK147" s="30">
        <v>17</v>
      </c>
      <c r="CL147" s="30">
        <v>51</v>
      </c>
      <c r="CM147" s="30">
        <v>572</v>
      </c>
      <c r="CN147" s="30">
        <v>90</v>
      </c>
      <c r="CO147" s="30">
        <v>203</v>
      </c>
      <c r="CP147" s="30">
        <v>865</v>
      </c>
      <c r="CQ147" s="1">
        <f t="shared" si="83"/>
        <v>0.23391022174148188</v>
      </c>
      <c r="CR147" s="47">
        <v>13525</v>
      </c>
      <c r="CS147" s="55">
        <f t="shared" si="76"/>
        <v>3.657382368848026</v>
      </c>
      <c r="CT147" s="59">
        <v>4188</v>
      </c>
      <c r="CU147" s="29" t="s">
        <v>25</v>
      </c>
      <c r="CV147" s="29" t="s">
        <v>25</v>
      </c>
      <c r="CW147" s="29" t="s">
        <v>25</v>
      </c>
      <c r="CX147" s="35">
        <v>0</v>
      </c>
      <c r="CY147" s="49">
        <v>0</v>
      </c>
      <c r="CZ147" s="35">
        <v>3</v>
      </c>
      <c r="DA147" s="35">
        <v>0</v>
      </c>
      <c r="DB147" s="35">
        <v>3</v>
      </c>
      <c r="DC147" s="49">
        <f t="shared" si="77"/>
        <v>1232.6666666666667</v>
      </c>
      <c r="DD147" s="30">
        <v>1500</v>
      </c>
      <c r="DE147" s="31">
        <v>32288</v>
      </c>
      <c r="DF147" s="35">
        <v>40</v>
      </c>
      <c r="DG147" s="29" t="s">
        <v>25</v>
      </c>
      <c r="DH147" s="29" t="s">
        <v>25</v>
      </c>
      <c r="DI147" s="29" t="s">
        <v>25</v>
      </c>
      <c r="DJ147" s="47">
        <v>36</v>
      </c>
      <c r="DK147" s="47">
        <v>7</v>
      </c>
      <c r="DL147" s="47">
        <v>20</v>
      </c>
      <c r="DM147" s="47">
        <v>4799</v>
      </c>
      <c r="DN147" s="47">
        <v>503</v>
      </c>
      <c r="DO147" s="47">
        <v>1258</v>
      </c>
      <c r="DP147" s="29" t="s">
        <v>25</v>
      </c>
      <c r="DQ147" s="47">
        <v>319</v>
      </c>
      <c r="DR147" s="47">
        <v>2024</v>
      </c>
      <c r="DS147" s="30">
        <v>52</v>
      </c>
      <c r="DT147" s="30">
        <v>41</v>
      </c>
      <c r="DU147" s="30">
        <v>41</v>
      </c>
      <c r="DV147" s="30">
        <v>41</v>
      </c>
      <c r="DX147" s="2">
        <f t="shared" si="78"/>
        <v>2024</v>
      </c>
      <c r="DY147" s="33" t="s">
        <v>2181</v>
      </c>
      <c r="DZ147" s="33" t="s">
        <v>451</v>
      </c>
      <c r="EA147" s="33" t="s">
        <v>2030</v>
      </c>
      <c r="EB147" s="33" t="s">
        <v>2027</v>
      </c>
      <c r="EC147" s="36">
        <v>116</v>
      </c>
      <c r="ED147" s="29" t="s">
        <v>449</v>
      </c>
      <c r="EE147" s="29" t="s">
        <v>450</v>
      </c>
      <c r="EF147" s="37">
        <v>41548</v>
      </c>
      <c r="EG147" s="37">
        <v>41912</v>
      </c>
      <c r="EH147" s="29" t="s">
        <v>449</v>
      </c>
      <c r="EI147" s="55">
        <f t="shared" si="79"/>
        <v>1.7498647917793402</v>
      </c>
      <c r="EJ147" s="54">
        <f t="shared" si="80"/>
        <v>0.27041644131963222</v>
      </c>
      <c r="EK147" s="55">
        <f t="shared" si="81"/>
        <v>5.8996755002704164</v>
      </c>
      <c r="EL147" s="54">
        <f t="shared" si="82"/>
        <v>0.38480259599783667</v>
      </c>
    </row>
    <row r="148" spans="1:142" ht="28.8" x14ac:dyDescent="0.3">
      <c r="A148" s="29" t="s">
        <v>452</v>
      </c>
      <c r="B148" s="29"/>
      <c r="C148" s="30">
        <v>22141</v>
      </c>
      <c r="D148" s="30">
        <v>2</v>
      </c>
      <c r="E148" s="30">
        <v>0</v>
      </c>
      <c r="F148" s="30">
        <v>6674</v>
      </c>
      <c r="G148">
        <v>4700</v>
      </c>
      <c r="H148" s="2">
        <f t="shared" si="58"/>
        <v>11374</v>
      </c>
      <c r="I148" s="1">
        <f t="shared" si="57"/>
        <v>0.51370760128268822</v>
      </c>
      <c r="J148" s="31">
        <v>265207</v>
      </c>
      <c r="K148" s="31">
        <v>110560</v>
      </c>
      <c r="L148" s="31">
        <v>375767</v>
      </c>
      <c r="M148" s="45">
        <f t="shared" si="59"/>
        <v>16.971546000632312</v>
      </c>
      <c r="N148" s="31">
        <v>47584</v>
      </c>
      <c r="O148" s="31">
        <v>856</v>
      </c>
      <c r="P148" s="31">
        <v>29589</v>
      </c>
      <c r="Q148" s="31">
        <v>78029</v>
      </c>
      <c r="R148" s="45">
        <f t="shared" si="60"/>
        <v>3.5241858994625357</v>
      </c>
      <c r="S148" s="31">
        <v>79818</v>
      </c>
      <c r="T148" s="31">
        <v>533614</v>
      </c>
      <c r="U148" s="31">
        <v>0</v>
      </c>
      <c r="V148" s="31">
        <v>533614</v>
      </c>
      <c r="W148" s="45">
        <f t="shared" si="61"/>
        <v>24.100718124745946</v>
      </c>
      <c r="X148" s="4">
        <f t="shared" si="62"/>
        <v>0.70419254367389161</v>
      </c>
      <c r="Y148" s="4">
        <f t="shared" si="63"/>
        <v>0.14622742281874163</v>
      </c>
      <c r="Z148" s="4">
        <f t="shared" si="64"/>
        <v>0.14958003350736676</v>
      </c>
      <c r="AA148" s="4">
        <f t="shared" si="65"/>
        <v>0</v>
      </c>
      <c r="AB148" s="31">
        <v>0</v>
      </c>
      <c r="AC148" s="31">
        <v>78029</v>
      </c>
      <c r="AD148" s="31">
        <v>533614</v>
      </c>
      <c r="AE148" s="31">
        <v>533614</v>
      </c>
      <c r="AF148" s="31">
        <v>0</v>
      </c>
      <c r="AG148" s="31">
        <v>533614</v>
      </c>
      <c r="AH148" s="31">
        <v>0</v>
      </c>
      <c r="AI148" s="31">
        <v>533614</v>
      </c>
      <c r="AJ148" s="45">
        <f t="shared" si="66"/>
        <v>24.100718124745946</v>
      </c>
      <c r="AK148" s="31">
        <v>0</v>
      </c>
      <c r="AL148" s="31">
        <v>0</v>
      </c>
      <c r="AM148" s="31">
        <v>0</v>
      </c>
      <c r="AN148" s="31">
        <v>0</v>
      </c>
      <c r="AO148" s="31">
        <v>0</v>
      </c>
      <c r="AP148" s="31">
        <v>13091</v>
      </c>
      <c r="AQ148" s="31">
        <v>13091</v>
      </c>
      <c r="AR148" s="31">
        <v>546705</v>
      </c>
      <c r="AS148" s="46">
        <f t="shared" si="67"/>
        <v>24.691974165575179</v>
      </c>
      <c r="AT148" s="31">
        <v>0</v>
      </c>
      <c r="AU148" s="31">
        <v>0</v>
      </c>
      <c r="AV148" s="31">
        <v>0</v>
      </c>
      <c r="AW148" s="31">
        <v>0</v>
      </c>
      <c r="AX148" s="31">
        <v>0</v>
      </c>
      <c r="AY148" s="31">
        <v>0</v>
      </c>
      <c r="AZ148" s="31">
        <v>0</v>
      </c>
      <c r="BA148" s="31">
        <v>0</v>
      </c>
      <c r="BB148" s="31">
        <v>0</v>
      </c>
      <c r="BC148" s="33" t="s">
        <v>25</v>
      </c>
      <c r="BD148" s="47">
        <v>56660</v>
      </c>
      <c r="BE148" s="47">
        <v>59095</v>
      </c>
      <c r="BF148" s="45">
        <f t="shared" si="68"/>
        <v>2.6690303057675804</v>
      </c>
      <c r="BG148" s="30">
        <v>3570</v>
      </c>
      <c r="BH148" s="30">
        <v>10873</v>
      </c>
      <c r="BI148" s="30">
        <v>803</v>
      </c>
      <c r="BJ148" s="30">
        <v>7445</v>
      </c>
      <c r="BK148" s="30">
        <v>9398</v>
      </c>
      <c r="BL148" s="30">
        <v>23</v>
      </c>
      <c r="BM148" s="30">
        <v>3348</v>
      </c>
      <c r="BN148" s="30">
        <v>7</v>
      </c>
      <c r="BO148" s="30">
        <v>51</v>
      </c>
      <c r="BP148" s="30">
        <v>16</v>
      </c>
      <c r="BQ148" s="30">
        <v>74</v>
      </c>
      <c r="BR148" s="47">
        <v>67675</v>
      </c>
      <c r="BS148" s="47">
        <v>83547</v>
      </c>
      <c r="BT148" s="1">
        <f t="shared" si="69"/>
        <v>3.7734068018608014</v>
      </c>
      <c r="BU148" s="30">
        <v>91</v>
      </c>
      <c r="BV148" s="30">
        <v>0</v>
      </c>
      <c r="BW148" s="47">
        <v>11098</v>
      </c>
      <c r="BX148" s="52">
        <f t="shared" si="70"/>
        <v>0.50124203965493885</v>
      </c>
      <c r="BY148" s="47">
        <v>23852</v>
      </c>
      <c r="BZ148" s="47">
        <v>3258</v>
      </c>
      <c r="CA148" s="47">
        <v>65871</v>
      </c>
      <c r="CB148" s="47">
        <v>728</v>
      </c>
      <c r="CC148" s="47">
        <v>93709</v>
      </c>
      <c r="CD148" s="55">
        <f t="shared" si="71"/>
        <v>4.2323743281694597</v>
      </c>
      <c r="CE148" s="3">
        <f t="shared" si="72"/>
        <v>11713.625</v>
      </c>
      <c r="CF148" s="55">
        <f t="shared" si="73"/>
        <v>16.190221147201107</v>
      </c>
      <c r="CG148" s="55">
        <f t="shared" si="74"/>
        <v>1.1184326737163726</v>
      </c>
      <c r="CH148" s="55">
        <f t="shared" si="75"/>
        <v>1.073922462805367</v>
      </c>
      <c r="CI148" s="30">
        <v>268</v>
      </c>
      <c r="CJ148" s="30">
        <v>37</v>
      </c>
      <c r="CK148" s="30">
        <v>18</v>
      </c>
      <c r="CL148" s="30">
        <v>323</v>
      </c>
      <c r="CM148" s="30">
        <v>4080</v>
      </c>
      <c r="CN148" s="30">
        <v>256</v>
      </c>
      <c r="CO148" s="30">
        <v>272</v>
      </c>
      <c r="CP148" s="30">
        <v>4608</v>
      </c>
      <c r="CQ148" s="1">
        <f t="shared" si="83"/>
        <v>0.2081206810893817</v>
      </c>
      <c r="CR148" s="47">
        <v>83786</v>
      </c>
      <c r="CS148" s="55">
        <f t="shared" si="76"/>
        <v>3.7842012555891786</v>
      </c>
      <c r="CT148" s="59">
        <v>8783</v>
      </c>
      <c r="CU148" s="29" t="s">
        <v>25</v>
      </c>
      <c r="CV148" s="29" t="s">
        <v>25</v>
      </c>
      <c r="CW148" s="29" t="s">
        <v>25</v>
      </c>
      <c r="CX148" s="35">
        <v>0</v>
      </c>
      <c r="CY148" s="49">
        <v>0</v>
      </c>
      <c r="CZ148" s="35">
        <v>7</v>
      </c>
      <c r="DA148" s="35">
        <v>1</v>
      </c>
      <c r="DB148" s="35">
        <v>8</v>
      </c>
      <c r="DC148" s="49">
        <f t="shared" si="77"/>
        <v>2767.625</v>
      </c>
      <c r="DD148" s="30">
        <v>627</v>
      </c>
      <c r="DE148" s="31">
        <v>42605</v>
      </c>
      <c r="DF148" s="35">
        <v>40</v>
      </c>
      <c r="DG148" s="29" t="s">
        <v>25</v>
      </c>
      <c r="DH148" s="29" t="s">
        <v>25</v>
      </c>
      <c r="DI148" s="29" t="s">
        <v>25</v>
      </c>
      <c r="DJ148" s="47">
        <v>7</v>
      </c>
      <c r="DK148" s="47">
        <v>51</v>
      </c>
      <c r="DL148" s="47">
        <v>23</v>
      </c>
      <c r="DM148" s="47">
        <v>9498</v>
      </c>
      <c r="DN148" s="47">
        <v>5549</v>
      </c>
      <c r="DO148" s="47">
        <v>9125</v>
      </c>
      <c r="DP148" s="29" t="s">
        <v>25</v>
      </c>
      <c r="DQ148" s="47">
        <v>4143</v>
      </c>
      <c r="DR148" s="47">
        <v>2217</v>
      </c>
      <c r="DS148" s="30">
        <v>52</v>
      </c>
      <c r="DT148" s="30">
        <v>45</v>
      </c>
      <c r="DU148" s="30">
        <v>45</v>
      </c>
      <c r="DV148" s="30">
        <v>45</v>
      </c>
      <c r="DW148">
        <f>VLOOKUP(EC148,branch!$I$4:$K$77,3,0)</f>
        <v>3571</v>
      </c>
      <c r="DX148" s="2">
        <f t="shared" si="78"/>
        <v>5788</v>
      </c>
      <c r="DY148" s="33" t="s">
        <v>2184</v>
      </c>
      <c r="DZ148" s="33" t="s">
        <v>455</v>
      </c>
      <c r="EA148" s="33" t="s">
        <v>2031</v>
      </c>
      <c r="EB148" s="33" t="s">
        <v>2027</v>
      </c>
      <c r="EC148" s="36">
        <v>117</v>
      </c>
      <c r="ED148" s="29" t="s">
        <v>453</v>
      </c>
      <c r="EE148" s="29" t="s">
        <v>136</v>
      </c>
      <c r="EF148" s="37">
        <v>41548</v>
      </c>
      <c r="EG148" s="37">
        <v>41912</v>
      </c>
      <c r="EH148" s="29" t="s">
        <v>453</v>
      </c>
      <c r="EI148" s="55">
        <f t="shared" si="79"/>
        <v>1.0772774490763741</v>
      </c>
      <c r="EJ148" s="54">
        <f t="shared" si="80"/>
        <v>0.14714782530147691</v>
      </c>
      <c r="EK148" s="55">
        <f t="shared" si="81"/>
        <v>2.9750688767445013</v>
      </c>
      <c r="EL148" s="54">
        <f t="shared" si="82"/>
        <v>3.2880177047107176E-2</v>
      </c>
    </row>
    <row r="149" spans="1:142" ht="28.8" x14ac:dyDescent="0.3">
      <c r="A149" s="29" t="s">
        <v>456</v>
      </c>
      <c r="B149" s="29"/>
      <c r="C149" s="30">
        <v>39605</v>
      </c>
      <c r="D149" s="30">
        <v>0</v>
      </c>
      <c r="E149" s="30">
        <v>0</v>
      </c>
      <c r="F149" s="30">
        <v>26380</v>
      </c>
      <c r="H149" s="2">
        <f t="shared" si="58"/>
        <v>26380</v>
      </c>
      <c r="I149" s="1">
        <f t="shared" si="57"/>
        <v>0.66607751546521898</v>
      </c>
      <c r="J149" s="31">
        <v>407009</v>
      </c>
      <c r="K149" s="31">
        <v>137624</v>
      </c>
      <c r="L149" s="31">
        <v>544633</v>
      </c>
      <c r="M149" s="45">
        <f t="shared" si="59"/>
        <v>13.751622269915416</v>
      </c>
      <c r="N149" s="31">
        <v>90927</v>
      </c>
      <c r="O149" s="31">
        <v>7091</v>
      </c>
      <c r="P149" s="31">
        <v>16321</v>
      </c>
      <c r="Q149" s="31">
        <v>114339</v>
      </c>
      <c r="R149" s="45">
        <f t="shared" si="60"/>
        <v>2.8869839666708748</v>
      </c>
      <c r="S149" s="31">
        <v>75426</v>
      </c>
      <c r="T149" s="31">
        <v>734398</v>
      </c>
      <c r="U149" s="31">
        <v>0</v>
      </c>
      <c r="V149" s="31">
        <v>734398</v>
      </c>
      <c r="W149" s="45">
        <f t="shared" si="61"/>
        <v>18.543062744602953</v>
      </c>
      <c r="X149" s="4">
        <f t="shared" si="62"/>
        <v>0.7416046884659272</v>
      </c>
      <c r="Y149" s="4">
        <f t="shared" si="63"/>
        <v>0.15569078347163254</v>
      </c>
      <c r="Z149" s="4">
        <f t="shared" si="64"/>
        <v>0.10270452806244025</v>
      </c>
      <c r="AA149" s="4">
        <f t="shared" si="65"/>
        <v>0</v>
      </c>
      <c r="AB149" s="31">
        <v>0</v>
      </c>
      <c r="AC149" s="31">
        <v>114339</v>
      </c>
      <c r="AD149" s="31">
        <v>734398</v>
      </c>
      <c r="AE149" s="31">
        <v>734398</v>
      </c>
      <c r="AF149" s="31">
        <v>734398</v>
      </c>
      <c r="AG149" s="31">
        <v>0</v>
      </c>
      <c r="AH149" s="31">
        <v>0</v>
      </c>
      <c r="AI149" s="31">
        <v>734398</v>
      </c>
      <c r="AJ149" s="45">
        <f t="shared" si="66"/>
        <v>18.543062744602953</v>
      </c>
      <c r="AK149" s="31">
        <v>0</v>
      </c>
      <c r="AL149" s="31">
        <v>0</v>
      </c>
      <c r="AM149" s="31">
        <v>0</v>
      </c>
      <c r="AN149" s="31">
        <v>0</v>
      </c>
      <c r="AO149" s="31">
        <v>0</v>
      </c>
      <c r="AP149" s="31">
        <v>36894</v>
      </c>
      <c r="AQ149" s="31">
        <v>36894</v>
      </c>
      <c r="AR149" s="31">
        <v>771292</v>
      </c>
      <c r="AS149" s="46">
        <f t="shared" si="67"/>
        <v>19.474611791440473</v>
      </c>
      <c r="AT149" s="31">
        <v>0</v>
      </c>
      <c r="AU149" s="31">
        <v>0</v>
      </c>
      <c r="AV149" s="31">
        <v>0</v>
      </c>
      <c r="AW149" s="31">
        <v>0</v>
      </c>
      <c r="AX149" s="31">
        <v>0</v>
      </c>
      <c r="AY149" s="31">
        <v>0</v>
      </c>
      <c r="AZ149" s="31">
        <v>0</v>
      </c>
      <c r="BA149" s="31">
        <v>0</v>
      </c>
      <c r="BB149" s="31">
        <v>0</v>
      </c>
      <c r="BC149" s="33" t="s">
        <v>25</v>
      </c>
      <c r="BD149" s="47">
        <v>92095</v>
      </c>
      <c r="BE149" s="47">
        <v>101923</v>
      </c>
      <c r="BF149" s="45">
        <f t="shared" si="68"/>
        <v>2.5734881959348566</v>
      </c>
      <c r="BG149" s="30">
        <v>5459</v>
      </c>
      <c r="BH149" s="30">
        <v>5571</v>
      </c>
      <c r="BI149" s="30">
        <v>1494</v>
      </c>
      <c r="BJ149" s="30">
        <v>2566</v>
      </c>
      <c r="BK149" s="30">
        <v>2999</v>
      </c>
      <c r="BL149" s="30">
        <v>24</v>
      </c>
      <c r="BM149" s="30">
        <v>11234</v>
      </c>
      <c r="BN149" s="30">
        <v>0</v>
      </c>
      <c r="BO149" s="30">
        <v>51</v>
      </c>
      <c r="BP149" s="30">
        <v>0</v>
      </c>
      <c r="BQ149" s="30">
        <v>51</v>
      </c>
      <c r="BR149" s="47">
        <v>100120</v>
      </c>
      <c r="BS149" s="47">
        <v>123245</v>
      </c>
      <c r="BT149" s="1">
        <f t="shared" si="69"/>
        <v>3.1118545638176998</v>
      </c>
      <c r="BU149" s="30">
        <v>106</v>
      </c>
      <c r="BV149" s="30">
        <v>24</v>
      </c>
      <c r="BW149" s="47">
        <v>11277</v>
      </c>
      <c r="BX149" s="52">
        <f t="shared" si="70"/>
        <v>0.28473677565963895</v>
      </c>
      <c r="BY149" s="47">
        <v>52771</v>
      </c>
      <c r="BZ149" s="47">
        <v>270</v>
      </c>
      <c r="CA149" s="47">
        <v>57351</v>
      </c>
      <c r="CB149" s="47">
        <v>5296</v>
      </c>
      <c r="CC149" s="47">
        <v>115688</v>
      </c>
      <c r="CD149" s="55">
        <f t="shared" si="71"/>
        <v>2.9210453225602828</v>
      </c>
      <c r="CE149" s="3">
        <f t="shared" si="72"/>
        <v>9640.6666666666661</v>
      </c>
      <c r="CF149" s="55">
        <f t="shared" si="73"/>
        <v>41.038666193685707</v>
      </c>
      <c r="CG149" s="55">
        <f t="shared" si="74"/>
        <v>0.72823411661767201</v>
      </c>
      <c r="CH149" s="55">
        <f t="shared" si="75"/>
        <v>0.89352103533611915</v>
      </c>
      <c r="CI149" s="30">
        <v>171</v>
      </c>
      <c r="CJ149" s="30">
        <v>0</v>
      </c>
      <c r="CK149" s="30">
        <v>156</v>
      </c>
      <c r="CL149" s="30">
        <v>327</v>
      </c>
      <c r="CM149" s="30">
        <v>3874</v>
      </c>
      <c r="CN149" s="30">
        <v>0</v>
      </c>
      <c r="CO149" s="30">
        <v>3137</v>
      </c>
      <c r="CP149" s="30">
        <v>7011</v>
      </c>
      <c r="CQ149" s="1">
        <f t="shared" si="83"/>
        <v>0.17702310314354247</v>
      </c>
      <c r="CR149" s="47">
        <v>158861</v>
      </c>
      <c r="CS149" s="55">
        <f t="shared" si="76"/>
        <v>4.0111349577073598</v>
      </c>
      <c r="CT149" s="59">
        <v>28401</v>
      </c>
      <c r="CU149" s="29" t="s">
        <v>25</v>
      </c>
      <c r="CV149" s="29" t="s">
        <v>25</v>
      </c>
      <c r="CW149" s="29" t="s">
        <v>25</v>
      </c>
      <c r="CX149" s="35">
        <v>5</v>
      </c>
      <c r="CY149" s="49">
        <f>C149/CX149</f>
        <v>7921</v>
      </c>
      <c r="CZ149" s="35">
        <v>0</v>
      </c>
      <c r="DA149" s="35">
        <v>7</v>
      </c>
      <c r="DB149" s="35">
        <v>12</v>
      </c>
      <c r="DC149" s="49">
        <f t="shared" si="77"/>
        <v>3300.4166666666665</v>
      </c>
      <c r="DD149" s="30">
        <v>649</v>
      </c>
      <c r="DE149" s="31">
        <v>70000</v>
      </c>
      <c r="DF149" s="35">
        <v>40</v>
      </c>
      <c r="DG149" s="29" t="s">
        <v>25</v>
      </c>
      <c r="DH149" s="29" t="s">
        <v>25</v>
      </c>
      <c r="DI149" s="29" t="s">
        <v>25</v>
      </c>
      <c r="DJ149" s="47">
        <v>93</v>
      </c>
      <c r="DK149" s="47">
        <v>275</v>
      </c>
      <c r="DL149" s="47">
        <v>22</v>
      </c>
      <c r="DM149" s="47">
        <v>30023</v>
      </c>
      <c r="DN149" s="47">
        <v>2530</v>
      </c>
      <c r="DO149" s="47">
        <v>0</v>
      </c>
      <c r="DP149" s="29" t="s">
        <v>2028</v>
      </c>
      <c r="DQ149" s="47">
        <v>0</v>
      </c>
      <c r="DR149" s="47">
        <v>2819</v>
      </c>
      <c r="DS149" s="30">
        <v>52</v>
      </c>
      <c r="DT149" s="30">
        <v>56</v>
      </c>
      <c r="DU149" s="30">
        <v>56</v>
      </c>
      <c r="DV149" s="30">
        <v>56</v>
      </c>
      <c r="DX149" s="2">
        <f t="shared" si="78"/>
        <v>2819</v>
      </c>
      <c r="DY149" s="33" t="s">
        <v>2182</v>
      </c>
      <c r="DZ149" s="33" t="s">
        <v>459</v>
      </c>
      <c r="EA149" s="33" t="s">
        <v>2030</v>
      </c>
      <c r="EB149" s="33" t="s">
        <v>2027</v>
      </c>
      <c r="EC149" s="36">
        <v>118</v>
      </c>
      <c r="ED149" s="29" t="s">
        <v>457</v>
      </c>
      <c r="EE149" s="29" t="s">
        <v>269</v>
      </c>
      <c r="EF149" s="37">
        <v>41548</v>
      </c>
      <c r="EG149" s="37">
        <v>41912</v>
      </c>
      <c r="EH149" s="29" t="s">
        <v>457</v>
      </c>
      <c r="EI149" s="55">
        <f t="shared" si="79"/>
        <v>1.3324327736396919</v>
      </c>
      <c r="EJ149" s="54">
        <f t="shared" si="80"/>
        <v>6.8173210453225603E-3</v>
      </c>
      <c r="EK149" s="55">
        <f t="shared" si="81"/>
        <v>1.4480747380381265</v>
      </c>
      <c r="EL149" s="54">
        <f t="shared" si="82"/>
        <v>0.13372048983714177</v>
      </c>
    </row>
    <row r="150" spans="1:142" ht="43.2" x14ac:dyDescent="0.3">
      <c r="A150" s="29" t="s">
        <v>461</v>
      </c>
      <c r="B150" s="29"/>
      <c r="C150" s="30">
        <v>5603</v>
      </c>
      <c r="D150" s="30">
        <v>0</v>
      </c>
      <c r="E150" s="30">
        <v>0</v>
      </c>
      <c r="F150" s="30">
        <v>6972</v>
      </c>
      <c r="H150" s="2">
        <f t="shared" si="58"/>
        <v>6972</v>
      </c>
      <c r="I150" s="1">
        <f t="shared" si="57"/>
        <v>1.2443333928252722</v>
      </c>
      <c r="J150" s="31">
        <v>57539</v>
      </c>
      <c r="K150" s="31">
        <v>4957</v>
      </c>
      <c r="L150" s="31">
        <v>62496</v>
      </c>
      <c r="M150" s="45">
        <f t="shared" si="59"/>
        <v>11.154024629662681</v>
      </c>
      <c r="N150" s="31">
        <v>9908</v>
      </c>
      <c r="O150" s="31">
        <v>1535</v>
      </c>
      <c r="P150" s="31">
        <v>1020</v>
      </c>
      <c r="Q150" s="31">
        <v>12463</v>
      </c>
      <c r="R150" s="45">
        <f t="shared" si="60"/>
        <v>2.224344101374264</v>
      </c>
      <c r="S150" s="31">
        <v>49905</v>
      </c>
      <c r="T150" s="31">
        <v>124864</v>
      </c>
      <c r="U150" s="31">
        <v>0</v>
      </c>
      <c r="V150" s="31">
        <v>124864</v>
      </c>
      <c r="W150" s="45">
        <f t="shared" si="61"/>
        <v>22.285204354809924</v>
      </c>
      <c r="X150" s="4">
        <f t="shared" si="62"/>
        <v>0.50051255766273706</v>
      </c>
      <c r="Y150" s="4">
        <f t="shared" si="63"/>
        <v>9.9812596104561765E-2</v>
      </c>
      <c r="Z150" s="4">
        <f t="shared" si="64"/>
        <v>0.39967484623270116</v>
      </c>
      <c r="AA150" s="4">
        <f t="shared" si="65"/>
        <v>0</v>
      </c>
      <c r="AB150" s="31">
        <v>0</v>
      </c>
      <c r="AC150" s="31">
        <v>11203</v>
      </c>
      <c r="AD150" s="31">
        <v>119550</v>
      </c>
      <c r="AE150" s="31">
        <v>12250</v>
      </c>
      <c r="AF150" s="31">
        <v>7250</v>
      </c>
      <c r="AG150" s="31">
        <v>5000</v>
      </c>
      <c r="AH150" s="31">
        <v>0</v>
      </c>
      <c r="AI150" s="31">
        <v>12250</v>
      </c>
      <c r="AJ150" s="45">
        <f t="shared" si="66"/>
        <v>2.1863287524540427</v>
      </c>
      <c r="AK150" s="31">
        <v>0</v>
      </c>
      <c r="AL150" s="31">
        <v>0</v>
      </c>
      <c r="AM150" s="31">
        <v>0</v>
      </c>
      <c r="AN150" s="31">
        <v>0</v>
      </c>
      <c r="AO150" s="31">
        <v>56184</v>
      </c>
      <c r="AP150" s="31">
        <v>88900</v>
      </c>
      <c r="AQ150" s="31">
        <v>145084</v>
      </c>
      <c r="AR150" s="31">
        <v>157334</v>
      </c>
      <c r="AS150" s="46">
        <f t="shared" si="67"/>
        <v>28.080314117437087</v>
      </c>
      <c r="AT150" s="31">
        <v>0</v>
      </c>
      <c r="AU150" s="31">
        <v>0</v>
      </c>
      <c r="AV150" s="31">
        <v>0</v>
      </c>
      <c r="AW150" s="31">
        <v>0</v>
      </c>
      <c r="AX150" s="31">
        <v>0</v>
      </c>
      <c r="AY150" s="31">
        <v>0</v>
      </c>
      <c r="AZ150" s="31">
        <v>10934</v>
      </c>
      <c r="BA150" s="31">
        <v>0</v>
      </c>
      <c r="BB150" s="31">
        <v>10934</v>
      </c>
      <c r="BC150" s="33" t="s">
        <v>25</v>
      </c>
      <c r="BD150" s="47">
        <v>23627</v>
      </c>
      <c r="BE150" s="47">
        <v>26744</v>
      </c>
      <c r="BF150" s="45">
        <f t="shared" si="68"/>
        <v>4.7731572371943605</v>
      </c>
      <c r="BG150" s="30">
        <v>712</v>
      </c>
      <c r="BH150" s="30">
        <v>2136</v>
      </c>
      <c r="BI150" s="30">
        <v>396</v>
      </c>
      <c r="BJ150" s="30">
        <v>956</v>
      </c>
      <c r="BK150" s="30">
        <v>1059</v>
      </c>
      <c r="BL150" s="30">
        <v>20</v>
      </c>
      <c r="BM150" s="30">
        <v>11754</v>
      </c>
      <c r="BN150" s="30">
        <v>0</v>
      </c>
      <c r="BO150" s="30">
        <v>51</v>
      </c>
      <c r="BP150" s="30">
        <v>0</v>
      </c>
      <c r="BQ150" s="30">
        <v>51</v>
      </c>
      <c r="BR150" s="47">
        <v>25295</v>
      </c>
      <c r="BS150" s="47">
        <v>42109</v>
      </c>
      <c r="BT150" s="1">
        <f t="shared" si="69"/>
        <v>7.5154381581295731</v>
      </c>
      <c r="BU150" s="30">
        <v>36</v>
      </c>
      <c r="BV150" s="30">
        <v>2</v>
      </c>
      <c r="BW150" s="47">
        <v>5980</v>
      </c>
      <c r="BX150" s="52">
        <f t="shared" si="70"/>
        <v>1.0672853828306264</v>
      </c>
      <c r="BY150" s="47">
        <v>4918</v>
      </c>
      <c r="BZ150" s="47">
        <v>235</v>
      </c>
      <c r="CA150" s="47">
        <v>8260</v>
      </c>
      <c r="CB150" s="47">
        <v>59</v>
      </c>
      <c r="CC150" s="47">
        <v>13472</v>
      </c>
      <c r="CD150" s="55">
        <f t="shared" si="71"/>
        <v>2.404426200249866</v>
      </c>
      <c r="CE150" s="3">
        <f t="shared" si="72"/>
        <v>3742.2222222222222</v>
      </c>
      <c r="CF150" s="55">
        <f t="shared" si="73"/>
        <v>6.123636363636364</v>
      </c>
      <c r="CG150" s="55">
        <f t="shared" si="74"/>
        <v>0.90294906166219835</v>
      </c>
      <c r="CH150" s="55">
        <f t="shared" si="75"/>
        <v>0.3129497257118431</v>
      </c>
      <c r="CI150" s="30">
        <v>23</v>
      </c>
      <c r="CJ150" s="30">
        <v>0</v>
      </c>
      <c r="CK150" s="30">
        <v>35</v>
      </c>
      <c r="CL150" s="30">
        <v>58</v>
      </c>
      <c r="CM150" s="30">
        <v>625</v>
      </c>
      <c r="CN150" s="30">
        <v>0</v>
      </c>
      <c r="CO150" s="30">
        <v>371</v>
      </c>
      <c r="CP150" s="30">
        <v>996</v>
      </c>
      <c r="CQ150" s="1">
        <f t="shared" si="83"/>
        <v>0.17776191326075316</v>
      </c>
      <c r="CR150" s="47">
        <v>14920</v>
      </c>
      <c r="CS150" s="55">
        <f t="shared" si="76"/>
        <v>2.6628591825807604</v>
      </c>
      <c r="CT150" s="59">
        <v>3999</v>
      </c>
      <c r="CU150" s="29" t="s">
        <v>25</v>
      </c>
      <c r="CV150" s="29" t="s">
        <v>25</v>
      </c>
      <c r="CW150" s="29" t="s">
        <v>25</v>
      </c>
      <c r="CX150" s="35">
        <v>0</v>
      </c>
      <c r="CY150" s="49">
        <v>0</v>
      </c>
      <c r="CZ150" s="35">
        <v>1</v>
      </c>
      <c r="DA150" s="35">
        <v>2.6</v>
      </c>
      <c r="DB150" s="35">
        <v>3.6</v>
      </c>
      <c r="DC150" s="49">
        <f t="shared" si="77"/>
        <v>1556.3888888888889</v>
      </c>
      <c r="DD150" s="30">
        <v>245</v>
      </c>
      <c r="DE150" s="31">
        <v>30000</v>
      </c>
      <c r="DF150" s="35">
        <v>40</v>
      </c>
      <c r="DG150" s="29" t="s">
        <v>25</v>
      </c>
      <c r="DH150" s="29" t="s">
        <v>25</v>
      </c>
      <c r="DI150" s="29" t="s">
        <v>25</v>
      </c>
      <c r="DJ150" s="47">
        <v>6</v>
      </c>
      <c r="DK150" s="47">
        <v>4</v>
      </c>
      <c r="DL150" s="47">
        <v>12</v>
      </c>
      <c r="DM150" s="47">
        <v>4530</v>
      </c>
      <c r="DN150" s="47">
        <v>28</v>
      </c>
      <c r="DO150" s="47">
        <v>145</v>
      </c>
      <c r="DP150" s="29" t="s">
        <v>25</v>
      </c>
      <c r="DQ150" s="47">
        <v>3926</v>
      </c>
      <c r="DR150" s="47">
        <v>2200</v>
      </c>
      <c r="DS150" s="30">
        <v>52</v>
      </c>
      <c r="DT150" s="30">
        <v>44</v>
      </c>
      <c r="DU150" s="30">
        <v>44</v>
      </c>
      <c r="DV150" s="30">
        <v>44</v>
      </c>
      <c r="DX150" s="2">
        <f t="shared" si="78"/>
        <v>2200</v>
      </c>
      <c r="DY150" s="33" t="s">
        <v>2185</v>
      </c>
      <c r="DZ150" s="33" t="s">
        <v>462</v>
      </c>
      <c r="EA150" s="33" t="s">
        <v>2032</v>
      </c>
      <c r="EB150" s="33" t="s">
        <v>2027</v>
      </c>
      <c r="EC150" s="36">
        <v>119</v>
      </c>
      <c r="ED150" s="29" t="s">
        <v>460</v>
      </c>
      <c r="EE150" s="29" t="s">
        <v>331</v>
      </c>
      <c r="EF150" s="37">
        <v>41456</v>
      </c>
      <c r="EG150" s="37">
        <v>41820</v>
      </c>
      <c r="EH150" s="29" t="s">
        <v>460</v>
      </c>
      <c r="EI150" s="55">
        <f t="shared" si="79"/>
        <v>0.87774406567910046</v>
      </c>
      <c r="EJ150" s="54">
        <f t="shared" si="80"/>
        <v>4.1941816883812245E-2</v>
      </c>
      <c r="EK150" s="55">
        <f t="shared" si="81"/>
        <v>1.4742102445118686</v>
      </c>
      <c r="EL150" s="54">
        <f t="shared" si="82"/>
        <v>1.0530073175084776E-2</v>
      </c>
    </row>
    <row r="151" spans="1:142" ht="28.8" x14ac:dyDescent="0.3">
      <c r="A151" s="29" t="s">
        <v>465</v>
      </c>
      <c r="B151" s="29"/>
      <c r="C151" s="30">
        <v>41690</v>
      </c>
      <c r="D151" s="30">
        <v>1</v>
      </c>
      <c r="E151" s="30">
        <v>0</v>
      </c>
      <c r="F151" s="30">
        <v>13450</v>
      </c>
      <c r="G151">
        <v>4034</v>
      </c>
      <c r="H151" s="2">
        <f t="shared" si="58"/>
        <v>17484</v>
      </c>
      <c r="I151" s="1">
        <f t="shared" si="57"/>
        <v>0.41938114655792758</v>
      </c>
      <c r="J151" s="31">
        <v>210629</v>
      </c>
      <c r="K151" s="31">
        <v>87442</v>
      </c>
      <c r="L151" s="31">
        <v>298071</v>
      </c>
      <c r="M151" s="45">
        <f t="shared" si="59"/>
        <v>7.1497001679059728</v>
      </c>
      <c r="N151" s="31">
        <v>26441</v>
      </c>
      <c r="O151" s="31">
        <v>0</v>
      </c>
      <c r="P151" s="31">
        <v>0</v>
      </c>
      <c r="Q151" s="31">
        <v>26441</v>
      </c>
      <c r="R151" s="45">
        <f t="shared" si="60"/>
        <v>0.63422883185416168</v>
      </c>
      <c r="S151" s="31">
        <v>67751</v>
      </c>
      <c r="T151" s="31">
        <v>392263</v>
      </c>
      <c r="U151" s="31">
        <v>0</v>
      </c>
      <c r="V151" s="31">
        <v>392263</v>
      </c>
      <c r="W151" s="45">
        <f t="shared" si="61"/>
        <v>9.4090429359558652</v>
      </c>
      <c r="X151" s="4">
        <f t="shared" si="62"/>
        <v>0.75987538972577073</v>
      </c>
      <c r="Y151" s="4">
        <f t="shared" si="63"/>
        <v>6.7406306483150338E-2</v>
      </c>
      <c r="Z151" s="4">
        <f t="shared" si="64"/>
        <v>0.17271830379107894</v>
      </c>
      <c r="AA151" s="4">
        <f t="shared" si="65"/>
        <v>0</v>
      </c>
      <c r="AB151" s="31">
        <v>138091</v>
      </c>
      <c r="AC151" s="31">
        <v>26441</v>
      </c>
      <c r="AD151" s="31">
        <v>392263</v>
      </c>
      <c r="AE151" s="31">
        <v>378614</v>
      </c>
      <c r="AF151" s="31">
        <v>377344</v>
      </c>
      <c r="AG151" s="31">
        <v>15000</v>
      </c>
      <c r="AH151" s="31">
        <v>0</v>
      </c>
      <c r="AI151" s="31">
        <v>392344</v>
      </c>
      <c r="AJ151" s="45">
        <f t="shared" si="66"/>
        <v>9.4109858479251614</v>
      </c>
      <c r="AK151" s="31">
        <v>0</v>
      </c>
      <c r="AL151" s="31">
        <v>0</v>
      </c>
      <c r="AM151" s="31">
        <v>0</v>
      </c>
      <c r="AN151" s="31">
        <v>0</v>
      </c>
      <c r="AO151" s="31">
        <v>0</v>
      </c>
      <c r="AP151" s="31">
        <v>11143</v>
      </c>
      <c r="AQ151" s="31">
        <v>11143</v>
      </c>
      <c r="AR151" s="31">
        <v>403487</v>
      </c>
      <c r="AS151" s="46">
        <f t="shared" si="67"/>
        <v>9.6782681698248982</v>
      </c>
      <c r="AT151" s="31">
        <v>3000000</v>
      </c>
      <c r="AU151" s="31">
        <v>0</v>
      </c>
      <c r="AV151" s="31">
        <v>0</v>
      </c>
      <c r="AW151" s="31">
        <v>0</v>
      </c>
      <c r="AX151" s="31">
        <v>0</v>
      </c>
      <c r="AY151" s="31">
        <v>0</v>
      </c>
      <c r="AZ151" s="31">
        <v>0</v>
      </c>
      <c r="BA151" s="31">
        <v>0</v>
      </c>
      <c r="BB151" s="31">
        <v>3000000</v>
      </c>
      <c r="BC151" s="33" t="s">
        <v>25</v>
      </c>
      <c r="BD151" s="47">
        <v>50182</v>
      </c>
      <c r="BE151" s="47">
        <v>52710</v>
      </c>
      <c r="BF151" s="45">
        <f t="shared" si="68"/>
        <v>1.2643319740945071</v>
      </c>
      <c r="BG151" s="30">
        <v>3750</v>
      </c>
      <c r="BH151" s="30">
        <v>3813</v>
      </c>
      <c r="BI151" s="30">
        <v>0</v>
      </c>
      <c r="BJ151" s="30">
        <v>4785</v>
      </c>
      <c r="BK151" s="30">
        <v>4951</v>
      </c>
      <c r="BL151" s="30">
        <v>0</v>
      </c>
      <c r="BM151" s="30">
        <v>70</v>
      </c>
      <c r="BN151" s="30">
        <v>0</v>
      </c>
      <c r="BO151" s="30">
        <v>51</v>
      </c>
      <c r="BP151" s="30">
        <v>1</v>
      </c>
      <c r="BQ151" s="30">
        <v>52</v>
      </c>
      <c r="BR151" s="47">
        <v>58717</v>
      </c>
      <c r="BS151" s="47">
        <v>61544</v>
      </c>
      <c r="BT151" s="1">
        <f t="shared" si="69"/>
        <v>1.4762293115855121</v>
      </c>
      <c r="BU151" s="30">
        <v>18</v>
      </c>
      <c r="BV151" s="30">
        <v>1</v>
      </c>
      <c r="BW151" s="47">
        <v>65753</v>
      </c>
      <c r="BX151" s="52">
        <f t="shared" si="70"/>
        <v>1.5771887742863997</v>
      </c>
      <c r="BY151" s="47">
        <v>7486</v>
      </c>
      <c r="BZ151" s="47">
        <v>0</v>
      </c>
      <c r="CA151" s="47">
        <v>15874</v>
      </c>
      <c r="CB151" s="47">
        <v>1</v>
      </c>
      <c r="CC151" s="47">
        <v>23361</v>
      </c>
      <c r="CD151" s="55">
        <f t="shared" si="71"/>
        <v>0.56035020388582391</v>
      </c>
      <c r="CE151" s="3">
        <f t="shared" si="72"/>
        <v>2920.125</v>
      </c>
      <c r="CF151" s="55">
        <f t="shared" si="73"/>
        <v>4.9160353535353538</v>
      </c>
      <c r="CG151" s="55">
        <f t="shared" si="74"/>
        <v>0.27870769157350961</v>
      </c>
      <c r="CH151" s="55">
        <f t="shared" si="75"/>
        <v>0.37956583907448327</v>
      </c>
      <c r="CI151" s="30">
        <v>158</v>
      </c>
      <c r="CJ151" s="30">
        <v>0</v>
      </c>
      <c r="CK151" s="30">
        <v>65</v>
      </c>
      <c r="CL151" s="30">
        <v>223</v>
      </c>
      <c r="CM151" s="30">
        <v>3476</v>
      </c>
      <c r="CN151" s="30">
        <v>0</v>
      </c>
      <c r="CO151" s="30">
        <v>563</v>
      </c>
      <c r="CP151" s="30">
        <v>4039</v>
      </c>
      <c r="CQ151" s="1">
        <f t="shared" si="83"/>
        <v>9.6881746222115608E-2</v>
      </c>
      <c r="CR151" s="47">
        <v>83819</v>
      </c>
      <c r="CS151" s="55">
        <f t="shared" si="76"/>
        <v>2.0105301031422402</v>
      </c>
      <c r="CT151" s="59">
        <v>17826</v>
      </c>
      <c r="CU151" s="29" t="s">
        <v>25</v>
      </c>
      <c r="CV151" s="29" t="s">
        <v>25</v>
      </c>
      <c r="CW151" s="29" t="s">
        <v>25</v>
      </c>
      <c r="CX151" s="35">
        <v>1</v>
      </c>
      <c r="CY151" s="49">
        <f>C151/CX151</f>
        <v>41690</v>
      </c>
      <c r="CZ151" s="35">
        <v>0</v>
      </c>
      <c r="DA151" s="35">
        <v>7</v>
      </c>
      <c r="DB151" s="35">
        <v>8</v>
      </c>
      <c r="DC151" s="49">
        <f t="shared" si="77"/>
        <v>5211.25</v>
      </c>
      <c r="DD151" s="30">
        <v>1140</v>
      </c>
      <c r="DE151" s="31">
        <v>49921</v>
      </c>
      <c r="DF151" s="35">
        <v>40</v>
      </c>
      <c r="DG151" s="29" t="s">
        <v>25</v>
      </c>
      <c r="DH151" s="29" t="s">
        <v>26</v>
      </c>
      <c r="DI151" s="29" t="s">
        <v>26</v>
      </c>
      <c r="DJ151" s="47">
        <v>0</v>
      </c>
      <c r="DK151" s="47">
        <v>0</v>
      </c>
      <c r="DL151" s="47">
        <v>35</v>
      </c>
      <c r="DM151" s="47">
        <v>42066</v>
      </c>
      <c r="DN151" s="47">
        <v>563</v>
      </c>
      <c r="DO151" s="47">
        <v>0</v>
      </c>
      <c r="DP151" s="29" t="s">
        <v>2028</v>
      </c>
      <c r="DQ151" s="47">
        <v>0</v>
      </c>
      <c r="DR151" s="47">
        <v>2376</v>
      </c>
      <c r="DS151" s="30">
        <v>52</v>
      </c>
      <c r="DT151" s="30">
        <v>48</v>
      </c>
      <c r="DU151" s="30">
        <v>48</v>
      </c>
      <c r="DV151" s="30">
        <v>48</v>
      </c>
      <c r="DW151">
        <f>VLOOKUP(EC151,branch!$I$4:$K$77,3,0)</f>
        <v>2376</v>
      </c>
      <c r="DX151" s="2">
        <f t="shared" si="78"/>
        <v>4752</v>
      </c>
      <c r="DY151" s="33" t="s">
        <v>2187</v>
      </c>
      <c r="DZ151" s="33" t="s">
        <v>466</v>
      </c>
      <c r="EA151" s="33" t="s">
        <v>2030</v>
      </c>
      <c r="EB151" s="33" t="s">
        <v>2027</v>
      </c>
      <c r="EC151" s="36">
        <v>120</v>
      </c>
      <c r="ED151" s="29" t="s">
        <v>463</v>
      </c>
      <c r="EE151" s="29" t="s">
        <v>464</v>
      </c>
      <c r="EF151" s="37">
        <v>41548</v>
      </c>
      <c r="EG151" s="37">
        <v>41912</v>
      </c>
      <c r="EH151" s="29" t="s">
        <v>463</v>
      </c>
      <c r="EI151" s="55">
        <f t="shared" si="79"/>
        <v>0.17956344447109618</v>
      </c>
      <c r="EJ151" s="54">
        <f t="shared" si="80"/>
        <v>0</v>
      </c>
      <c r="EK151" s="55">
        <f t="shared" si="81"/>
        <v>0.38076277284720556</v>
      </c>
      <c r="EL151" s="54">
        <f t="shared" si="82"/>
        <v>2.3986567522187573E-5</v>
      </c>
    </row>
    <row r="152" spans="1:142" ht="43.2" x14ac:dyDescent="0.3">
      <c r="A152" s="29" t="s">
        <v>2024</v>
      </c>
      <c r="B152" s="29"/>
      <c r="C152" s="30">
        <v>1692</v>
      </c>
      <c r="D152" s="30">
        <v>0</v>
      </c>
      <c r="E152" s="30">
        <v>0</v>
      </c>
      <c r="F152" s="30">
        <v>5000</v>
      </c>
      <c r="H152" s="2">
        <f t="shared" si="58"/>
        <v>5000</v>
      </c>
      <c r="I152" s="1">
        <f t="shared" si="57"/>
        <v>2.9550827423167849</v>
      </c>
      <c r="J152" s="31">
        <v>70524</v>
      </c>
      <c r="K152" s="31">
        <v>13079</v>
      </c>
      <c r="L152" s="31">
        <v>83603</v>
      </c>
      <c r="M152" s="45">
        <f t="shared" si="59"/>
        <v>49.410756501182036</v>
      </c>
      <c r="N152" s="31">
        <v>12048</v>
      </c>
      <c r="O152" s="31">
        <v>1417</v>
      </c>
      <c r="P152" s="31">
        <v>643</v>
      </c>
      <c r="Q152" s="31">
        <v>14108</v>
      </c>
      <c r="R152" s="45">
        <f t="shared" si="60"/>
        <v>8.3380614657210401</v>
      </c>
      <c r="S152" s="31">
        <v>83</v>
      </c>
      <c r="T152" s="31">
        <v>97794</v>
      </c>
      <c r="U152" s="31">
        <v>0</v>
      </c>
      <c r="V152" s="31">
        <v>97794</v>
      </c>
      <c r="W152" s="45">
        <f t="shared" si="61"/>
        <v>57.797872340425535</v>
      </c>
      <c r="X152" s="4">
        <f t="shared" si="62"/>
        <v>0.85488884798658404</v>
      </c>
      <c r="Y152" s="4">
        <f t="shared" si="63"/>
        <v>0.14426242918788473</v>
      </c>
      <c r="Z152" s="4">
        <f t="shared" si="64"/>
        <v>8.4872282553121868E-4</v>
      </c>
      <c r="AA152" s="4">
        <f t="shared" si="65"/>
        <v>0</v>
      </c>
      <c r="AB152" s="31">
        <v>0</v>
      </c>
      <c r="AC152" s="31">
        <v>14108</v>
      </c>
      <c r="AD152" s="31">
        <v>97794</v>
      </c>
      <c r="AE152" s="31">
        <v>93916</v>
      </c>
      <c r="AF152" s="31">
        <v>1000</v>
      </c>
      <c r="AG152" s="31">
        <v>0</v>
      </c>
      <c r="AH152" s="31">
        <v>92916</v>
      </c>
      <c r="AI152" s="31">
        <v>93916</v>
      </c>
      <c r="AJ152" s="45">
        <f t="shared" si="66"/>
        <v>55.505910165484636</v>
      </c>
      <c r="AK152" s="31">
        <v>0</v>
      </c>
      <c r="AL152" s="31">
        <v>0</v>
      </c>
      <c r="AM152" s="31">
        <v>0</v>
      </c>
      <c r="AN152" s="31">
        <v>0</v>
      </c>
      <c r="AO152" s="31">
        <v>0</v>
      </c>
      <c r="AP152" s="31">
        <v>3878</v>
      </c>
      <c r="AQ152" s="31">
        <v>3878</v>
      </c>
      <c r="AR152" s="31">
        <v>97794</v>
      </c>
      <c r="AS152" s="46">
        <f t="shared" si="67"/>
        <v>57.797872340425535</v>
      </c>
      <c r="AT152" s="31">
        <v>0</v>
      </c>
      <c r="AU152" s="31">
        <v>0</v>
      </c>
      <c r="AV152" s="31">
        <v>0</v>
      </c>
      <c r="AW152" s="31">
        <v>0</v>
      </c>
      <c r="AX152" s="31">
        <v>0</v>
      </c>
      <c r="AY152" s="31">
        <v>0</v>
      </c>
      <c r="AZ152" s="31">
        <v>0</v>
      </c>
      <c r="BA152" s="31">
        <v>0</v>
      </c>
      <c r="BB152" s="31">
        <v>0</v>
      </c>
      <c r="BC152" s="33" t="s">
        <v>25</v>
      </c>
      <c r="BD152" s="47">
        <v>15405</v>
      </c>
      <c r="BE152" s="47">
        <v>16256</v>
      </c>
      <c r="BF152" s="45">
        <f t="shared" si="68"/>
        <v>9.6075650118203306</v>
      </c>
      <c r="BG152" s="30">
        <v>8</v>
      </c>
      <c r="BH152" s="30">
        <v>8</v>
      </c>
      <c r="BI152" s="30">
        <v>290</v>
      </c>
      <c r="BJ152" s="30">
        <v>310</v>
      </c>
      <c r="BK152" s="30">
        <v>389</v>
      </c>
      <c r="BL152" s="30">
        <v>0</v>
      </c>
      <c r="BM152" s="30">
        <v>6527</v>
      </c>
      <c r="BN152" s="30">
        <v>0</v>
      </c>
      <c r="BO152" s="30">
        <v>51</v>
      </c>
      <c r="BP152" s="30">
        <v>0</v>
      </c>
      <c r="BQ152" s="30">
        <v>51</v>
      </c>
      <c r="BR152" s="47">
        <v>15723</v>
      </c>
      <c r="BS152" s="47">
        <v>23470</v>
      </c>
      <c r="BT152" s="1">
        <f t="shared" si="69"/>
        <v>13.871158392434989</v>
      </c>
      <c r="BU152" s="30">
        <v>24</v>
      </c>
      <c r="BV152" s="30">
        <v>0</v>
      </c>
      <c r="BW152" s="47">
        <v>4561</v>
      </c>
      <c r="BX152" s="52">
        <f t="shared" si="70"/>
        <v>2.6956264775413712</v>
      </c>
      <c r="BY152" s="47">
        <v>16034</v>
      </c>
      <c r="BZ152" s="47">
        <v>164</v>
      </c>
      <c r="CA152" s="47">
        <v>8583</v>
      </c>
      <c r="CB152" s="47">
        <v>6363</v>
      </c>
      <c r="CC152" s="47">
        <v>31144</v>
      </c>
      <c r="CD152" s="55">
        <f t="shared" si="71"/>
        <v>18.40661938534279</v>
      </c>
      <c r="CE152" s="3">
        <f t="shared" si="72"/>
        <v>15572</v>
      </c>
      <c r="CF152" s="55">
        <f t="shared" si="73"/>
        <v>15.889795918367346</v>
      </c>
      <c r="CG152" s="55">
        <f t="shared" si="74"/>
        <v>1.1756001811867733</v>
      </c>
      <c r="CH152" s="55">
        <f t="shared" si="75"/>
        <v>1.0488708990200255</v>
      </c>
      <c r="CI152" s="30">
        <v>134</v>
      </c>
      <c r="CJ152" s="30">
        <v>11</v>
      </c>
      <c r="CK152" s="30">
        <v>0</v>
      </c>
      <c r="CL152" s="30">
        <v>145</v>
      </c>
      <c r="CM152" s="30">
        <v>1206</v>
      </c>
      <c r="CN152" s="30">
        <v>41</v>
      </c>
      <c r="CO152" s="30">
        <v>0</v>
      </c>
      <c r="CP152" s="30">
        <v>1247</v>
      </c>
      <c r="CQ152" s="1">
        <f t="shared" si="83"/>
        <v>0.73699763593380618</v>
      </c>
      <c r="CR152" s="47">
        <v>26492</v>
      </c>
      <c r="CS152" s="55">
        <f t="shared" si="76"/>
        <v>15.657210401891254</v>
      </c>
      <c r="CT152" s="59">
        <v>1355</v>
      </c>
      <c r="CU152" s="29" t="s">
        <v>25</v>
      </c>
      <c r="CV152" s="29" t="s">
        <v>25</v>
      </c>
      <c r="CW152" s="29" t="s">
        <v>25</v>
      </c>
      <c r="CX152" s="35">
        <v>0</v>
      </c>
      <c r="CY152" s="49">
        <v>0</v>
      </c>
      <c r="CZ152" s="35">
        <v>1</v>
      </c>
      <c r="DA152" s="35">
        <v>1</v>
      </c>
      <c r="DB152" s="35">
        <v>2</v>
      </c>
      <c r="DC152" s="49">
        <f t="shared" si="77"/>
        <v>846</v>
      </c>
      <c r="DD152" s="30">
        <v>32</v>
      </c>
      <c r="DE152" s="31">
        <v>55933</v>
      </c>
      <c r="DF152" s="35">
        <v>40</v>
      </c>
      <c r="DG152" s="29" t="s">
        <v>25</v>
      </c>
      <c r="DH152" s="29" t="s">
        <v>25</v>
      </c>
      <c r="DI152" s="29" t="s">
        <v>25</v>
      </c>
      <c r="DJ152" s="47">
        <v>0</v>
      </c>
      <c r="DK152" s="47">
        <v>0</v>
      </c>
      <c r="DL152" s="47">
        <v>2</v>
      </c>
      <c r="DM152" s="47">
        <v>63</v>
      </c>
      <c r="DN152" s="47">
        <v>1</v>
      </c>
      <c r="DO152" s="47">
        <v>74</v>
      </c>
      <c r="DP152" s="29" t="s">
        <v>2028</v>
      </c>
      <c r="DQ152" s="47">
        <v>0</v>
      </c>
      <c r="DR152" s="47">
        <v>1960</v>
      </c>
      <c r="DS152" s="30">
        <v>49</v>
      </c>
      <c r="DT152" s="30">
        <v>40</v>
      </c>
      <c r="DU152" s="30">
        <v>40</v>
      </c>
      <c r="DV152" s="30">
        <v>24</v>
      </c>
      <c r="DX152" s="2">
        <f t="shared" si="78"/>
        <v>1960</v>
      </c>
      <c r="DY152" s="33" t="s">
        <v>2178</v>
      </c>
      <c r="DZ152" s="33" t="s">
        <v>1544</v>
      </c>
      <c r="EA152" s="33" t="s">
        <v>2030</v>
      </c>
      <c r="EB152" s="33" t="s">
        <v>2027</v>
      </c>
      <c r="EC152" s="36">
        <v>501</v>
      </c>
      <c r="ED152" s="29" t="s">
        <v>1543</v>
      </c>
      <c r="EE152" s="29" t="s">
        <v>828</v>
      </c>
      <c r="EF152" s="37">
        <v>41518</v>
      </c>
      <c r="EG152" s="37">
        <v>41882</v>
      </c>
      <c r="EH152" s="29" t="s">
        <v>1543</v>
      </c>
      <c r="EI152" s="55">
        <f t="shared" si="79"/>
        <v>9.4763593380614655</v>
      </c>
      <c r="EJ152" s="54">
        <f t="shared" si="80"/>
        <v>9.6926713947990545E-2</v>
      </c>
      <c r="EK152" s="55">
        <f t="shared" si="81"/>
        <v>5.0726950354609928</v>
      </c>
      <c r="EL152" s="54">
        <f t="shared" si="82"/>
        <v>3.7606382978723403</v>
      </c>
    </row>
    <row r="153" spans="1:142" ht="28.8" x14ac:dyDescent="0.3">
      <c r="A153" s="29" t="s">
        <v>295</v>
      </c>
      <c r="B153" s="29"/>
      <c r="C153" s="30">
        <v>3890</v>
      </c>
      <c r="D153" s="30">
        <v>0</v>
      </c>
      <c r="E153" s="30">
        <v>0</v>
      </c>
      <c r="F153" s="30">
        <v>8000</v>
      </c>
      <c r="H153" s="2">
        <f t="shared" si="58"/>
        <v>8000</v>
      </c>
      <c r="I153" s="1">
        <f t="shared" si="57"/>
        <v>2.0565552699228791</v>
      </c>
      <c r="J153" s="31">
        <v>8814</v>
      </c>
      <c r="K153" s="31">
        <v>0</v>
      </c>
      <c r="L153" s="31">
        <v>8814</v>
      </c>
      <c r="M153" s="45">
        <f t="shared" si="59"/>
        <v>2.2658097686375323</v>
      </c>
      <c r="N153" s="31">
        <v>2563</v>
      </c>
      <c r="O153" s="31">
        <v>0</v>
      </c>
      <c r="P153" s="31">
        <v>768</v>
      </c>
      <c r="Q153" s="31">
        <v>3331</v>
      </c>
      <c r="R153" s="45">
        <f t="shared" si="60"/>
        <v>0.85629820051413885</v>
      </c>
      <c r="S153" s="31">
        <v>8637</v>
      </c>
      <c r="T153" s="31">
        <v>20782</v>
      </c>
      <c r="U153" s="31">
        <v>0</v>
      </c>
      <c r="V153" s="31">
        <v>20782</v>
      </c>
      <c r="W153" s="45">
        <f t="shared" si="61"/>
        <v>5.3424164524421593</v>
      </c>
      <c r="X153" s="4">
        <f t="shared" si="62"/>
        <v>0.42411702434799348</v>
      </c>
      <c r="Y153" s="4">
        <f t="shared" si="63"/>
        <v>0.16028293715715522</v>
      </c>
      <c r="Z153" s="4">
        <f t="shared" si="64"/>
        <v>0.41560003849485133</v>
      </c>
      <c r="AA153" s="4">
        <f t="shared" si="65"/>
        <v>0</v>
      </c>
      <c r="AB153" s="31">
        <v>2360</v>
      </c>
      <c r="AC153" s="31">
        <v>3331</v>
      </c>
      <c r="AD153" s="31">
        <v>20782</v>
      </c>
      <c r="AE153" s="31">
        <v>18000</v>
      </c>
      <c r="AF153" s="31">
        <v>18000</v>
      </c>
      <c r="AG153" s="31">
        <v>0</v>
      </c>
      <c r="AH153" s="31">
        <v>0</v>
      </c>
      <c r="AI153" s="31">
        <v>18000</v>
      </c>
      <c r="AJ153" s="45">
        <f t="shared" si="66"/>
        <v>4.6272493573264786</v>
      </c>
      <c r="AK153" s="31">
        <v>0</v>
      </c>
      <c r="AL153" s="31">
        <v>0</v>
      </c>
      <c r="AM153" s="31">
        <v>0</v>
      </c>
      <c r="AN153" s="31">
        <v>0</v>
      </c>
      <c r="AO153" s="31">
        <v>0</v>
      </c>
      <c r="AP153" s="31">
        <v>3191</v>
      </c>
      <c r="AQ153" s="31">
        <v>3191</v>
      </c>
      <c r="AR153" s="31">
        <v>21191</v>
      </c>
      <c r="AS153" s="46">
        <f t="shared" si="67"/>
        <v>5.4475578406169669</v>
      </c>
      <c r="AT153" s="31">
        <v>0</v>
      </c>
      <c r="AU153" s="31">
        <v>0</v>
      </c>
      <c r="AV153" s="31">
        <v>0</v>
      </c>
      <c r="AW153" s="31">
        <v>0</v>
      </c>
      <c r="AX153" s="31">
        <v>0</v>
      </c>
      <c r="AY153" s="31">
        <v>0</v>
      </c>
      <c r="AZ153" s="31">
        <v>0</v>
      </c>
      <c r="BA153" s="31">
        <v>0</v>
      </c>
      <c r="BB153" s="31">
        <v>0</v>
      </c>
      <c r="BC153" s="33" t="s">
        <v>25</v>
      </c>
      <c r="BD153" s="47">
        <v>16502</v>
      </c>
      <c r="BE153" s="47">
        <v>17243</v>
      </c>
      <c r="BF153" s="45">
        <f t="shared" si="68"/>
        <v>4.4326478149100259</v>
      </c>
      <c r="BG153" s="30">
        <v>550</v>
      </c>
      <c r="BH153" s="30">
        <v>550</v>
      </c>
      <c r="BI153" s="30">
        <v>0</v>
      </c>
      <c r="BJ153" s="30">
        <v>343</v>
      </c>
      <c r="BK153" s="30">
        <v>344</v>
      </c>
      <c r="BL153" s="30">
        <v>0</v>
      </c>
      <c r="BM153" s="30">
        <v>0</v>
      </c>
      <c r="BN153" s="30">
        <v>0</v>
      </c>
      <c r="BO153" s="30">
        <v>51</v>
      </c>
      <c r="BP153" s="30">
        <v>0</v>
      </c>
      <c r="BQ153" s="30">
        <v>51</v>
      </c>
      <c r="BR153" s="47">
        <v>17395</v>
      </c>
      <c r="BS153" s="47">
        <v>18137</v>
      </c>
      <c r="BT153" s="1">
        <f t="shared" si="69"/>
        <v>4.6624678663239072</v>
      </c>
      <c r="BU153" s="30">
        <v>0</v>
      </c>
      <c r="BV153" s="30">
        <v>0</v>
      </c>
      <c r="BW153" s="47">
        <v>598</v>
      </c>
      <c r="BX153" s="52">
        <f t="shared" si="70"/>
        <v>0.15372750642673522</v>
      </c>
      <c r="BY153" s="47">
        <v>753</v>
      </c>
      <c r="BZ153" s="47">
        <v>0</v>
      </c>
      <c r="CA153" s="47">
        <v>6936</v>
      </c>
      <c r="CB153" s="47">
        <v>0</v>
      </c>
      <c r="CC153" s="47">
        <v>7689</v>
      </c>
      <c r="CD153" s="55">
        <f t="shared" si="71"/>
        <v>1.9766066838046272</v>
      </c>
      <c r="CE153" s="3">
        <f t="shared" si="72"/>
        <v>12302.4</v>
      </c>
      <c r="CF153" s="55">
        <f t="shared" si="73"/>
        <v>6.0782608695652174</v>
      </c>
      <c r="CG153" s="55">
        <f t="shared" si="74"/>
        <v>1.3145836895195759</v>
      </c>
      <c r="CH153" s="55">
        <f t="shared" si="75"/>
        <v>0.42394001212990018</v>
      </c>
      <c r="CI153" s="30">
        <v>1</v>
      </c>
      <c r="CJ153" s="30">
        <v>0</v>
      </c>
      <c r="CK153" s="30">
        <v>0</v>
      </c>
      <c r="CL153" s="30">
        <v>1</v>
      </c>
      <c r="CM153" s="30">
        <v>10</v>
      </c>
      <c r="CN153" s="30">
        <v>0</v>
      </c>
      <c r="CO153" s="30">
        <v>0</v>
      </c>
      <c r="CP153" s="30">
        <v>10</v>
      </c>
      <c r="CQ153" s="1">
        <f t="shared" si="83"/>
        <v>2.5706940874035988E-3</v>
      </c>
      <c r="CR153" s="47">
        <v>5849</v>
      </c>
      <c r="CS153" s="55">
        <f t="shared" si="76"/>
        <v>1.503598971722365</v>
      </c>
      <c r="CT153" s="59">
        <v>2399</v>
      </c>
      <c r="CU153" s="29" t="s">
        <v>25</v>
      </c>
      <c r="CV153" s="29" t="s">
        <v>25</v>
      </c>
      <c r="CW153" s="29" t="s">
        <v>25</v>
      </c>
      <c r="CX153" s="35">
        <v>0</v>
      </c>
      <c r="CY153" s="49">
        <v>0</v>
      </c>
      <c r="CZ153" s="35">
        <v>0.625</v>
      </c>
      <c r="DA153" s="35">
        <v>0</v>
      </c>
      <c r="DB153" s="35">
        <v>0.625</v>
      </c>
      <c r="DC153" s="49">
        <f t="shared" si="77"/>
        <v>6224</v>
      </c>
      <c r="DD153" s="30">
        <v>1260</v>
      </c>
      <c r="DE153" s="31">
        <v>8400</v>
      </c>
      <c r="DF153" s="35">
        <v>25</v>
      </c>
      <c r="DG153" s="29" t="s">
        <v>25</v>
      </c>
      <c r="DH153" s="29" t="s">
        <v>26</v>
      </c>
      <c r="DI153" s="29" t="s">
        <v>26</v>
      </c>
      <c r="DJ153" s="47">
        <v>0</v>
      </c>
      <c r="DK153" s="47">
        <v>0</v>
      </c>
      <c r="DL153" s="47">
        <v>7</v>
      </c>
      <c r="DM153" s="47">
        <v>1835</v>
      </c>
      <c r="DN153" s="47">
        <v>12</v>
      </c>
      <c r="DO153" s="47">
        <v>12</v>
      </c>
      <c r="DP153" s="29" t="s">
        <v>2028</v>
      </c>
      <c r="DQ153" s="47">
        <v>0</v>
      </c>
      <c r="DR153" s="47">
        <v>1265</v>
      </c>
      <c r="DS153" s="30">
        <v>52</v>
      </c>
      <c r="DT153" s="30">
        <v>25</v>
      </c>
      <c r="DU153" s="30">
        <v>25</v>
      </c>
      <c r="DV153" s="30">
        <v>25</v>
      </c>
      <c r="DX153" s="2">
        <f t="shared" si="78"/>
        <v>1265</v>
      </c>
      <c r="DY153" s="33" t="s">
        <v>2179</v>
      </c>
      <c r="DZ153" s="33" t="s">
        <v>468</v>
      </c>
      <c r="EA153" s="33" t="s">
        <v>2032</v>
      </c>
      <c r="EB153" s="33" t="s">
        <v>2027</v>
      </c>
      <c r="EC153" s="36">
        <v>121</v>
      </c>
      <c r="ED153" s="29" t="s">
        <v>467</v>
      </c>
      <c r="EE153" s="29" t="s">
        <v>295</v>
      </c>
      <c r="EF153" s="37">
        <v>41640</v>
      </c>
      <c r="EG153" s="37">
        <v>42004</v>
      </c>
      <c r="EH153" s="29" t="s">
        <v>467</v>
      </c>
      <c r="EI153" s="55">
        <f t="shared" si="79"/>
        <v>0.19357326478149101</v>
      </c>
      <c r="EJ153" s="54">
        <f t="shared" si="80"/>
        <v>0</v>
      </c>
      <c r="EK153" s="55">
        <f t="shared" si="81"/>
        <v>1.7830334190231363</v>
      </c>
      <c r="EL153" s="54">
        <f t="shared" si="82"/>
        <v>0</v>
      </c>
    </row>
    <row r="154" spans="1:142" ht="43.2" x14ac:dyDescent="0.3">
      <c r="A154" s="29" t="s">
        <v>469</v>
      </c>
      <c r="B154" s="29"/>
      <c r="C154" s="30">
        <v>125604</v>
      </c>
      <c r="D154" s="30">
        <v>0</v>
      </c>
      <c r="E154" s="30">
        <v>0</v>
      </c>
      <c r="F154" s="30">
        <v>35852</v>
      </c>
      <c r="H154" s="2">
        <f t="shared" si="58"/>
        <v>35852</v>
      </c>
      <c r="I154" s="1">
        <f t="shared" si="57"/>
        <v>0.28543676952963282</v>
      </c>
      <c r="J154" s="31">
        <v>896260</v>
      </c>
      <c r="K154" s="31">
        <v>324632</v>
      </c>
      <c r="L154" s="31">
        <v>1220892</v>
      </c>
      <c r="M154" s="45">
        <f t="shared" si="59"/>
        <v>9.7201681475112256</v>
      </c>
      <c r="N154" s="31">
        <v>86010</v>
      </c>
      <c r="O154" s="31">
        <v>17051</v>
      </c>
      <c r="P154" s="31">
        <v>9444</v>
      </c>
      <c r="Q154" s="31">
        <v>112505</v>
      </c>
      <c r="R154" s="45">
        <f t="shared" si="60"/>
        <v>0.89571192000254773</v>
      </c>
      <c r="S154" s="31">
        <v>180952</v>
      </c>
      <c r="T154" s="31">
        <v>1514349</v>
      </c>
      <c r="U154" s="31">
        <v>248002</v>
      </c>
      <c r="V154" s="31">
        <v>1762351</v>
      </c>
      <c r="W154" s="45">
        <f t="shared" si="61"/>
        <v>14.031010158912137</v>
      </c>
      <c r="X154" s="4">
        <f t="shared" si="62"/>
        <v>0.69276324636806175</v>
      </c>
      <c r="Y154" s="4">
        <f t="shared" si="63"/>
        <v>6.3838020916378177E-2</v>
      </c>
      <c r="Z154" s="4">
        <f t="shared" si="64"/>
        <v>0.10267648158624473</v>
      </c>
      <c r="AA154" s="4">
        <f t="shared" si="65"/>
        <v>0.14072225112931533</v>
      </c>
      <c r="AB154" s="31">
        <v>0</v>
      </c>
      <c r="AC154" s="31">
        <v>112505</v>
      </c>
      <c r="AD154" s="31">
        <v>1762351</v>
      </c>
      <c r="AE154" s="31">
        <v>1737446</v>
      </c>
      <c r="AF154" s="31">
        <v>1537141</v>
      </c>
      <c r="AG154" s="31">
        <v>14481</v>
      </c>
      <c r="AH154" s="31">
        <v>0</v>
      </c>
      <c r="AI154" s="31">
        <v>1551622</v>
      </c>
      <c r="AJ154" s="45">
        <f t="shared" si="66"/>
        <v>12.353284927231616</v>
      </c>
      <c r="AK154" s="31">
        <v>0</v>
      </c>
      <c r="AL154" s="31">
        <v>0</v>
      </c>
      <c r="AM154" s="31">
        <v>0</v>
      </c>
      <c r="AN154" s="31">
        <v>0</v>
      </c>
      <c r="AO154" s="31">
        <v>0</v>
      </c>
      <c r="AP154" s="31">
        <v>41141</v>
      </c>
      <c r="AQ154" s="31">
        <v>41141</v>
      </c>
      <c r="AR154" s="31">
        <v>1592763</v>
      </c>
      <c r="AS154" s="46">
        <f t="shared" si="67"/>
        <v>12.680830228336678</v>
      </c>
      <c r="AT154" s="31">
        <v>0</v>
      </c>
      <c r="AU154" s="31">
        <v>0</v>
      </c>
      <c r="AV154" s="31">
        <v>0</v>
      </c>
      <c r="AW154" s="31">
        <v>0</v>
      </c>
      <c r="AX154" s="31">
        <v>0</v>
      </c>
      <c r="AY154" s="31">
        <v>0</v>
      </c>
      <c r="AZ154" s="31">
        <v>0</v>
      </c>
      <c r="BA154" s="31">
        <v>0</v>
      </c>
      <c r="BB154" s="31">
        <v>0</v>
      </c>
      <c r="BC154" s="33" t="s">
        <v>25</v>
      </c>
      <c r="BD154" s="47">
        <v>88763</v>
      </c>
      <c r="BE154" s="47">
        <v>99827</v>
      </c>
      <c r="BF154" s="45">
        <f t="shared" si="68"/>
        <v>0.79477564408776791</v>
      </c>
      <c r="BG154" s="30">
        <v>2820</v>
      </c>
      <c r="BH154" s="30">
        <v>2890</v>
      </c>
      <c r="BI154" s="30">
        <v>0</v>
      </c>
      <c r="BJ154" s="30">
        <v>4972</v>
      </c>
      <c r="BK154" s="30">
        <v>5524</v>
      </c>
      <c r="BL154" s="30">
        <v>0</v>
      </c>
      <c r="BM154" s="30">
        <v>103</v>
      </c>
      <c r="BN154" s="30">
        <v>5</v>
      </c>
      <c r="BO154" s="30">
        <v>51</v>
      </c>
      <c r="BP154" s="30">
        <v>1</v>
      </c>
      <c r="BQ154" s="30">
        <v>57</v>
      </c>
      <c r="BR154" s="47">
        <v>96555</v>
      </c>
      <c r="BS154" s="47">
        <v>108349</v>
      </c>
      <c r="BT154" s="1">
        <f t="shared" si="69"/>
        <v>0.86262380178975195</v>
      </c>
      <c r="BU154" s="30">
        <v>289</v>
      </c>
      <c r="BV154" s="30">
        <v>1</v>
      </c>
      <c r="BW154" s="47">
        <v>119483</v>
      </c>
      <c r="BX154" s="52">
        <f t="shared" si="70"/>
        <v>0.9512674755581032</v>
      </c>
      <c r="BY154" s="47">
        <v>61013</v>
      </c>
      <c r="BZ154" s="47">
        <v>0</v>
      </c>
      <c r="CA154" s="47">
        <v>99777</v>
      </c>
      <c r="CB154" s="47">
        <v>437</v>
      </c>
      <c r="CC154" s="47">
        <v>161227</v>
      </c>
      <c r="CD154" s="55">
        <f t="shared" si="71"/>
        <v>1.2836135791853762</v>
      </c>
      <c r="CE154" s="3">
        <f t="shared" si="72"/>
        <v>5374.2333333333336</v>
      </c>
      <c r="CF154" s="55">
        <f t="shared" si="73"/>
        <v>46.691862148856067</v>
      </c>
      <c r="CG154" s="55">
        <f t="shared" si="74"/>
        <v>0.50038950599466792</v>
      </c>
      <c r="CH154" s="55">
        <f t="shared" si="75"/>
        <v>1.4840007752724991</v>
      </c>
      <c r="CI154" s="30">
        <v>188</v>
      </c>
      <c r="CJ154" s="30">
        <v>30</v>
      </c>
      <c r="CK154" s="30">
        <v>295</v>
      </c>
      <c r="CL154" s="30">
        <v>513</v>
      </c>
      <c r="CM154" s="30">
        <v>13146</v>
      </c>
      <c r="CN154" s="30">
        <v>574</v>
      </c>
      <c r="CO154" s="30">
        <v>30324</v>
      </c>
      <c r="CP154" s="30">
        <v>44044</v>
      </c>
      <c r="CQ154" s="1">
        <f t="shared" si="83"/>
        <v>0.35065762236871439</v>
      </c>
      <c r="CR154" s="47">
        <v>322203</v>
      </c>
      <c r="CS154" s="55">
        <f t="shared" si="76"/>
        <v>2.565228814368969</v>
      </c>
      <c r="CT154" s="59">
        <v>131261</v>
      </c>
      <c r="CU154" s="29" t="s">
        <v>25</v>
      </c>
      <c r="CV154" s="29" t="s">
        <v>25</v>
      </c>
      <c r="CW154" s="29" t="s">
        <v>25</v>
      </c>
      <c r="CX154" s="35">
        <v>4</v>
      </c>
      <c r="CY154" s="49">
        <f>C154/CX154</f>
        <v>31401</v>
      </c>
      <c r="CZ154" s="35">
        <v>5</v>
      </c>
      <c r="DA154" s="35">
        <v>21</v>
      </c>
      <c r="DB154" s="35">
        <v>30</v>
      </c>
      <c r="DC154" s="49">
        <f t="shared" si="77"/>
        <v>4186.8</v>
      </c>
      <c r="DD154" s="30">
        <v>181</v>
      </c>
      <c r="DE154" s="31">
        <v>70118</v>
      </c>
      <c r="DF154" s="35">
        <v>40</v>
      </c>
      <c r="DG154" s="29" t="s">
        <v>25</v>
      </c>
      <c r="DH154" s="29" t="s">
        <v>25</v>
      </c>
      <c r="DI154" s="29" t="s">
        <v>25</v>
      </c>
      <c r="DJ154" s="47">
        <v>474</v>
      </c>
      <c r="DK154" s="47">
        <v>717</v>
      </c>
      <c r="DL154" s="47">
        <v>90</v>
      </c>
      <c r="DM154" s="47">
        <v>218909</v>
      </c>
      <c r="DN154" s="47">
        <v>74143</v>
      </c>
      <c r="DO154" s="47">
        <v>4585</v>
      </c>
      <c r="DP154" s="29" t="s">
        <v>25</v>
      </c>
      <c r="DQ154" s="47">
        <v>360119</v>
      </c>
      <c r="DR154" s="47">
        <v>3453</v>
      </c>
      <c r="DS154" s="30">
        <v>52</v>
      </c>
      <c r="DT154" s="30">
        <v>69</v>
      </c>
      <c r="DU154" s="30">
        <v>69</v>
      </c>
      <c r="DV154" s="30">
        <v>69</v>
      </c>
      <c r="DX154" s="2">
        <f t="shared" si="78"/>
        <v>3453</v>
      </c>
      <c r="DY154" s="33" t="s">
        <v>2180</v>
      </c>
      <c r="DZ154" s="33" t="s">
        <v>471</v>
      </c>
      <c r="EA154" s="33" t="s">
        <v>2030</v>
      </c>
      <c r="EB154" s="33" t="s">
        <v>2027</v>
      </c>
      <c r="EC154" s="36">
        <v>123</v>
      </c>
      <c r="ED154" s="29" t="s">
        <v>470</v>
      </c>
      <c r="EE154" s="29" t="s">
        <v>35</v>
      </c>
      <c r="EF154" s="37">
        <v>41548</v>
      </c>
      <c r="EG154" s="37">
        <v>41912</v>
      </c>
      <c r="EH154" s="29" t="s">
        <v>470</v>
      </c>
      <c r="EI154" s="55">
        <f t="shared" si="79"/>
        <v>0.48575682303111367</v>
      </c>
      <c r="EJ154" s="54">
        <f t="shared" si="80"/>
        <v>0</v>
      </c>
      <c r="EK154" s="55">
        <f t="shared" si="81"/>
        <v>0.79437756759338873</v>
      </c>
      <c r="EL154" s="54">
        <f t="shared" si="82"/>
        <v>3.4791885608738576E-3</v>
      </c>
    </row>
    <row r="155" spans="1:142" ht="28.8" x14ac:dyDescent="0.3">
      <c r="A155" s="29" t="s">
        <v>472</v>
      </c>
      <c r="B155" s="29"/>
      <c r="C155" s="30">
        <v>14591</v>
      </c>
      <c r="D155" s="30">
        <v>0</v>
      </c>
      <c r="E155" s="30">
        <v>0</v>
      </c>
      <c r="F155" s="30">
        <v>4480</v>
      </c>
      <c r="H155" s="2">
        <f t="shared" si="58"/>
        <v>4480</v>
      </c>
      <c r="I155" s="1">
        <f t="shared" si="57"/>
        <v>0.30703858542937429</v>
      </c>
      <c r="J155" s="31">
        <v>75933</v>
      </c>
      <c r="K155" s="31">
        <v>36687</v>
      </c>
      <c r="L155" s="31">
        <v>112620</v>
      </c>
      <c r="M155" s="45">
        <f t="shared" si="59"/>
        <v>7.7184565828250289</v>
      </c>
      <c r="N155" s="31">
        <v>29255</v>
      </c>
      <c r="O155" s="31">
        <v>2445</v>
      </c>
      <c r="P155" s="31">
        <v>7225</v>
      </c>
      <c r="Q155" s="31">
        <v>38925</v>
      </c>
      <c r="R155" s="45">
        <f t="shared" si="60"/>
        <v>2.6677403879103556</v>
      </c>
      <c r="S155" s="31">
        <v>21151</v>
      </c>
      <c r="T155" s="31">
        <v>172696</v>
      </c>
      <c r="U155" s="31">
        <v>0</v>
      </c>
      <c r="V155" s="31">
        <v>172696</v>
      </c>
      <c r="W155" s="45">
        <f t="shared" si="61"/>
        <v>11.835789185114111</v>
      </c>
      <c r="X155" s="4">
        <f t="shared" si="62"/>
        <v>0.65212859591420758</v>
      </c>
      <c r="Y155" s="4">
        <f t="shared" si="63"/>
        <v>0.22539607170982537</v>
      </c>
      <c r="Z155" s="4">
        <f t="shared" si="64"/>
        <v>0.12247533237596701</v>
      </c>
      <c r="AA155" s="4">
        <f t="shared" si="65"/>
        <v>0</v>
      </c>
      <c r="AB155" s="31">
        <v>8988</v>
      </c>
      <c r="AC155" s="31">
        <v>36925</v>
      </c>
      <c r="AD155" s="31">
        <v>166458</v>
      </c>
      <c r="AE155" s="31">
        <v>166458</v>
      </c>
      <c r="AF155" s="31">
        <v>0</v>
      </c>
      <c r="AG155" s="31">
        <v>172879</v>
      </c>
      <c r="AH155" s="31">
        <v>0</v>
      </c>
      <c r="AI155" s="31">
        <v>172879</v>
      </c>
      <c r="AJ155" s="45">
        <f t="shared" si="66"/>
        <v>11.848331163045714</v>
      </c>
      <c r="AK155" s="31">
        <v>238</v>
      </c>
      <c r="AL155" s="31">
        <v>0</v>
      </c>
      <c r="AM155" s="31">
        <v>0</v>
      </c>
      <c r="AN155" s="31">
        <v>0</v>
      </c>
      <c r="AO155" s="31">
        <v>6000</v>
      </c>
      <c r="AP155" s="31">
        <v>9231</v>
      </c>
      <c r="AQ155" s="31">
        <v>15231</v>
      </c>
      <c r="AR155" s="31">
        <v>188348</v>
      </c>
      <c r="AS155" s="46">
        <f t="shared" si="67"/>
        <v>12.908505242957988</v>
      </c>
      <c r="AT155" s="31">
        <v>0</v>
      </c>
      <c r="AU155" s="31">
        <v>4110</v>
      </c>
      <c r="AV155" s="31">
        <v>0</v>
      </c>
      <c r="AW155" s="31">
        <v>0</v>
      </c>
      <c r="AX155" s="31">
        <v>0</v>
      </c>
      <c r="AY155" s="31">
        <v>0</v>
      </c>
      <c r="AZ155" s="31">
        <v>4800</v>
      </c>
      <c r="BA155" s="31">
        <v>0</v>
      </c>
      <c r="BB155" s="31">
        <v>8910</v>
      </c>
      <c r="BC155" s="33" t="s">
        <v>25</v>
      </c>
      <c r="BD155" s="47">
        <v>22625</v>
      </c>
      <c r="BE155" s="47">
        <v>22769</v>
      </c>
      <c r="BF155" s="45">
        <f t="shared" si="68"/>
        <v>1.5604824892056748</v>
      </c>
      <c r="BG155" s="30">
        <v>2159</v>
      </c>
      <c r="BH155" s="30">
        <v>2159</v>
      </c>
      <c r="BI155" s="30">
        <v>425</v>
      </c>
      <c r="BJ155" s="30">
        <v>638</v>
      </c>
      <c r="BK155" s="30">
        <v>638</v>
      </c>
      <c r="BL155" s="30">
        <v>0</v>
      </c>
      <c r="BM155" s="30">
        <v>3428</v>
      </c>
      <c r="BN155" s="30">
        <v>1</v>
      </c>
      <c r="BO155" s="30">
        <v>51</v>
      </c>
      <c r="BP155" s="30">
        <v>0</v>
      </c>
      <c r="BQ155" s="30">
        <v>52</v>
      </c>
      <c r="BR155" s="47">
        <v>25422</v>
      </c>
      <c r="BS155" s="47">
        <v>29420</v>
      </c>
      <c r="BT155" s="1">
        <f t="shared" si="69"/>
        <v>2.0163114248509357</v>
      </c>
      <c r="BU155" s="30">
        <v>31</v>
      </c>
      <c r="BV155" s="30">
        <v>1</v>
      </c>
      <c r="BW155" s="47">
        <v>1040</v>
      </c>
      <c r="BX155" s="52">
        <f t="shared" si="70"/>
        <v>7.1276814474676167E-2</v>
      </c>
      <c r="BY155" s="47">
        <v>10503</v>
      </c>
      <c r="BZ155" s="47">
        <v>351</v>
      </c>
      <c r="CA155" s="47">
        <v>20572</v>
      </c>
      <c r="CB155" s="47">
        <v>1982</v>
      </c>
      <c r="CC155" s="47">
        <v>33408</v>
      </c>
      <c r="CD155" s="55">
        <f t="shared" si="71"/>
        <v>2.2896305942019053</v>
      </c>
      <c r="CE155" s="3">
        <f t="shared" si="72"/>
        <v>11520</v>
      </c>
      <c r="CF155" s="55">
        <f t="shared" si="73"/>
        <v>16.771084337349397</v>
      </c>
      <c r="CG155" s="55">
        <f t="shared" si="74"/>
        <v>1.2521739130434784</v>
      </c>
      <c r="CH155" s="55">
        <f t="shared" si="75"/>
        <v>1.056254248810333</v>
      </c>
      <c r="CI155" s="30">
        <v>52</v>
      </c>
      <c r="CJ155" s="30">
        <v>0</v>
      </c>
      <c r="CK155" s="30">
        <v>117</v>
      </c>
      <c r="CL155" s="30">
        <v>169</v>
      </c>
      <c r="CM155" s="30">
        <v>849</v>
      </c>
      <c r="CN155" s="30">
        <v>0</v>
      </c>
      <c r="CO155" s="30">
        <v>1081</v>
      </c>
      <c r="CP155" s="30">
        <v>1930</v>
      </c>
      <c r="CQ155" s="1">
        <f t="shared" si="83"/>
        <v>0.13227331916935098</v>
      </c>
      <c r="CR155" s="47">
        <v>26680</v>
      </c>
      <c r="CS155" s="55">
        <f t="shared" si="76"/>
        <v>1.8285244328695771</v>
      </c>
      <c r="CT155" s="59">
        <v>4342</v>
      </c>
      <c r="CU155" s="29" t="s">
        <v>25</v>
      </c>
      <c r="CV155" s="29" t="s">
        <v>25</v>
      </c>
      <c r="CW155" s="29" t="s">
        <v>25</v>
      </c>
      <c r="CX155" s="35">
        <v>0</v>
      </c>
      <c r="CY155" s="49">
        <v>0</v>
      </c>
      <c r="CZ155" s="35">
        <v>1</v>
      </c>
      <c r="DA155" s="35">
        <v>1.9</v>
      </c>
      <c r="DB155" s="35">
        <v>2.9</v>
      </c>
      <c r="DC155" s="49">
        <f t="shared" si="77"/>
        <v>5031.3793103448279</v>
      </c>
      <c r="DD155" s="30">
        <v>75</v>
      </c>
      <c r="DE155" s="31">
        <v>34602</v>
      </c>
      <c r="DF155" s="35">
        <v>40</v>
      </c>
      <c r="DG155" s="29" t="s">
        <v>25</v>
      </c>
      <c r="DH155" s="29" t="s">
        <v>25</v>
      </c>
      <c r="DI155" s="29" t="s">
        <v>25</v>
      </c>
      <c r="DJ155" s="47">
        <v>70</v>
      </c>
      <c r="DK155" s="47">
        <v>0</v>
      </c>
      <c r="DL155" s="47">
        <v>12</v>
      </c>
      <c r="DM155" s="47">
        <v>3930</v>
      </c>
      <c r="DN155" s="47">
        <v>20</v>
      </c>
      <c r="DO155" s="47">
        <v>93</v>
      </c>
      <c r="DP155" s="29" t="s">
        <v>25</v>
      </c>
      <c r="DQ155" s="47">
        <v>23701</v>
      </c>
      <c r="DR155" s="47">
        <v>1992</v>
      </c>
      <c r="DS155" s="30">
        <v>51</v>
      </c>
      <c r="DT155" s="30">
        <v>40</v>
      </c>
      <c r="DU155" s="30">
        <v>40</v>
      </c>
      <c r="DV155" s="30">
        <v>40</v>
      </c>
      <c r="DX155" s="2">
        <f t="shared" si="78"/>
        <v>1992</v>
      </c>
      <c r="DY155" s="33" t="s">
        <v>2180</v>
      </c>
      <c r="DZ155" s="33" t="s">
        <v>474</v>
      </c>
      <c r="EA155" s="33" t="s">
        <v>2031</v>
      </c>
      <c r="EB155" s="33" t="s">
        <v>2027</v>
      </c>
      <c r="EC155" s="36">
        <v>124</v>
      </c>
      <c r="ED155" s="29" t="s">
        <v>473</v>
      </c>
      <c r="EE155" s="29" t="s">
        <v>52</v>
      </c>
      <c r="EF155" s="37">
        <v>41548</v>
      </c>
      <c r="EG155" s="37">
        <v>41912</v>
      </c>
      <c r="EH155" s="29" t="s">
        <v>473</v>
      </c>
      <c r="EI155" s="55">
        <f t="shared" si="79"/>
        <v>0.71982729079569596</v>
      </c>
      <c r="EJ155" s="54">
        <f t="shared" si="80"/>
        <v>2.4055924885203209E-2</v>
      </c>
      <c r="EK155" s="55">
        <f t="shared" si="81"/>
        <v>1.4099102186279213</v>
      </c>
      <c r="EL155" s="54">
        <f t="shared" si="82"/>
        <v>0.13583715989308479</v>
      </c>
    </row>
    <row r="156" spans="1:142" ht="28.8" x14ac:dyDescent="0.3">
      <c r="A156" s="29" t="s">
        <v>478</v>
      </c>
      <c r="B156" s="29"/>
      <c r="C156" s="30">
        <v>3206</v>
      </c>
      <c r="D156" s="30">
        <v>0</v>
      </c>
      <c r="E156" s="30">
        <v>0</v>
      </c>
      <c r="F156" s="30">
        <v>1820</v>
      </c>
      <c r="H156" s="2">
        <f t="shared" si="58"/>
        <v>1820</v>
      </c>
      <c r="I156" s="1">
        <f t="shared" si="57"/>
        <v>0.56768558951965065</v>
      </c>
      <c r="J156" s="31">
        <v>36257</v>
      </c>
      <c r="K156" s="31">
        <v>14103</v>
      </c>
      <c r="L156" s="31">
        <v>50360</v>
      </c>
      <c r="M156" s="45">
        <f t="shared" si="59"/>
        <v>15.708047411104179</v>
      </c>
      <c r="N156" s="31">
        <v>7424</v>
      </c>
      <c r="O156" s="31">
        <v>1500</v>
      </c>
      <c r="P156" s="31">
        <v>1004</v>
      </c>
      <c r="Q156" s="31">
        <v>9928</v>
      </c>
      <c r="R156" s="45">
        <f t="shared" si="60"/>
        <v>3.0966936993137866</v>
      </c>
      <c r="S156" s="31">
        <v>4209</v>
      </c>
      <c r="T156" s="31">
        <v>64497</v>
      </c>
      <c r="U156" s="31">
        <v>0</v>
      </c>
      <c r="V156" s="31">
        <v>64497</v>
      </c>
      <c r="W156" s="45">
        <f t="shared" si="61"/>
        <v>20.117592014971926</v>
      </c>
      <c r="X156" s="4">
        <f t="shared" si="62"/>
        <v>0.78081151061289678</v>
      </c>
      <c r="Y156" s="4">
        <f t="shared" si="63"/>
        <v>0.15392964013830102</v>
      </c>
      <c r="Z156" s="4">
        <f t="shared" si="64"/>
        <v>6.5258849248802264E-2</v>
      </c>
      <c r="AA156" s="4">
        <f t="shared" si="65"/>
        <v>0</v>
      </c>
      <c r="AB156" s="31">
        <v>0</v>
      </c>
      <c r="AC156" s="31">
        <v>9928</v>
      </c>
      <c r="AD156" s="31">
        <v>64497</v>
      </c>
      <c r="AE156" s="31">
        <v>63268</v>
      </c>
      <c r="AF156" s="31">
        <v>1000</v>
      </c>
      <c r="AG156" s="31">
        <v>63268</v>
      </c>
      <c r="AH156" s="31">
        <v>0</v>
      </c>
      <c r="AI156" s="31">
        <v>64268</v>
      </c>
      <c r="AJ156" s="45">
        <f t="shared" si="66"/>
        <v>20.046163443543357</v>
      </c>
      <c r="AK156" s="31">
        <v>0</v>
      </c>
      <c r="AL156" s="31">
        <v>0</v>
      </c>
      <c r="AM156" s="31">
        <v>0</v>
      </c>
      <c r="AN156" s="31">
        <v>0</v>
      </c>
      <c r="AO156" s="31">
        <v>0</v>
      </c>
      <c r="AP156" s="31">
        <v>6149</v>
      </c>
      <c r="AQ156" s="31">
        <v>6149</v>
      </c>
      <c r="AR156" s="31">
        <v>70417</v>
      </c>
      <c r="AS156" s="46">
        <f t="shared" si="67"/>
        <v>21.964129756706175</v>
      </c>
      <c r="AT156" s="31">
        <v>0</v>
      </c>
      <c r="AU156" s="31">
        <v>0</v>
      </c>
      <c r="AV156" s="31">
        <v>0</v>
      </c>
      <c r="AW156" s="31">
        <v>0</v>
      </c>
      <c r="AX156" s="31">
        <v>0</v>
      </c>
      <c r="AY156" s="31">
        <v>0</v>
      </c>
      <c r="AZ156" s="31">
        <v>2200</v>
      </c>
      <c r="BA156" s="31">
        <v>0</v>
      </c>
      <c r="BB156" s="31">
        <v>2200</v>
      </c>
      <c r="BC156" s="33" t="s">
        <v>25</v>
      </c>
      <c r="BD156" s="47">
        <v>13335</v>
      </c>
      <c r="BE156" s="47">
        <v>13537</v>
      </c>
      <c r="BF156" s="45">
        <f t="shared" si="68"/>
        <v>4.2223955084217089</v>
      </c>
      <c r="BG156" s="30">
        <v>292</v>
      </c>
      <c r="BH156" s="30">
        <v>293</v>
      </c>
      <c r="BI156" s="30">
        <v>816</v>
      </c>
      <c r="BJ156" s="30">
        <v>1366</v>
      </c>
      <c r="BK156" s="30">
        <v>1380</v>
      </c>
      <c r="BL156" s="30">
        <v>4</v>
      </c>
      <c r="BM156" s="30">
        <v>6162</v>
      </c>
      <c r="BN156" s="30">
        <v>0</v>
      </c>
      <c r="BO156" s="30">
        <v>51</v>
      </c>
      <c r="BP156" s="30">
        <v>0</v>
      </c>
      <c r="BQ156" s="30">
        <v>51</v>
      </c>
      <c r="BR156" s="47">
        <v>14993</v>
      </c>
      <c r="BS156" s="47">
        <v>22192</v>
      </c>
      <c r="BT156" s="1">
        <f t="shared" si="69"/>
        <v>6.9220212102308176</v>
      </c>
      <c r="BU156" s="30">
        <v>5</v>
      </c>
      <c r="BV156" s="30">
        <v>0</v>
      </c>
      <c r="BW156" s="47">
        <v>152</v>
      </c>
      <c r="BX156" s="52">
        <f t="shared" si="70"/>
        <v>4.7411104179663134E-2</v>
      </c>
      <c r="BY156" s="47">
        <v>2011</v>
      </c>
      <c r="BZ156" s="47">
        <v>0</v>
      </c>
      <c r="CA156" s="47">
        <v>9468</v>
      </c>
      <c r="CB156" s="47">
        <v>171</v>
      </c>
      <c r="CC156" s="47">
        <v>11650</v>
      </c>
      <c r="CD156" s="55">
        <f t="shared" si="71"/>
        <v>3.6338116032439176</v>
      </c>
      <c r="CE156" s="3">
        <f t="shared" si="72"/>
        <v>10130.434782608696</v>
      </c>
      <c r="CF156" s="55">
        <f t="shared" si="73"/>
        <v>6.7536231884057969</v>
      </c>
      <c r="CG156" s="55">
        <f t="shared" si="74"/>
        <v>1.2390980642416507</v>
      </c>
      <c r="CH156" s="55">
        <f t="shared" si="75"/>
        <v>0.51725847152126891</v>
      </c>
      <c r="CI156" s="30">
        <v>27</v>
      </c>
      <c r="CJ156" s="30">
        <v>4</v>
      </c>
      <c r="CK156" s="30">
        <v>4</v>
      </c>
      <c r="CL156" s="30">
        <v>35</v>
      </c>
      <c r="CM156" s="30">
        <v>912</v>
      </c>
      <c r="CN156" s="30">
        <v>51</v>
      </c>
      <c r="CO156" s="30">
        <v>74</v>
      </c>
      <c r="CP156" s="30">
        <v>1037</v>
      </c>
      <c r="CQ156" s="1">
        <f t="shared" si="83"/>
        <v>0.32345601996257017</v>
      </c>
      <c r="CR156" s="47">
        <v>9402</v>
      </c>
      <c r="CS156" s="55">
        <f t="shared" si="76"/>
        <v>2.932626325639426</v>
      </c>
      <c r="CT156" s="59">
        <v>1353</v>
      </c>
      <c r="CU156" s="29" t="s">
        <v>25</v>
      </c>
      <c r="CV156" s="29" t="s">
        <v>25</v>
      </c>
      <c r="CW156" s="29" t="s">
        <v>25</v>
      </c>
      <c r="CX156" s="35">
        <v>0</v>
      </c>
      <c r="CY156" s="49">
        <v>0</v>
      </c>
      <c r="CZ156" s="35">
        <v>0.875</v>
      </c>
      <c r="DA156" s="35">
        <v>0.27500000000000002</v>
      </c>
      <c r="DB156" s="35">
        <v>1.1499999999999999</v>
      </c>
      <c r="DC156" s="49">
        <f t="shared" si="77"/>
        <v>2787.826086956522</v>
      </c>
      <c r="DD156" s="30">
        <v>300</v>
      </c>
      <c r="DE156" s="31">
        <v>30592</v>
      </c>
      <c r="DF156" s="35">
        <v>35</v>
      </c>
      <c r="DG156" s="29" t="s">
        <v>25</v>
      </c>
      <c r="DH156" s="29" t="s">
        <v>25</v>
      </c>
      <c r="DI156" s="29" t="s">
        <v>25</v>
      </c>
      <c r="DJ156" s="47">
        <v>5</v>
      </c>
      <c r="DK156" s="47">
        <v>0</v>
      </c>
      <c r="DL156" s="47">
        <v>8</v>
      </c>
      <c r="DM156" s="47">
        <v>1633</v>
      </c>
      <c r="DN156" s="47">
        <v>2</v>
      </c>
      <c r="DO156" s="47">
        <v>0</v>
      </c>
      <c r="DP156" s="29" t="s">
        <v>2028</v>
      </c>
      <c r="DQ156" s="47">
        <v>0</v>
      </c>
      <c r="DR156" s="47">
        <v>1725</v>
      </c>
      <c r="DS156" s="30">
        <v>52</v>
      </c>
      <c r="DT156" s="30">
        <v>35</v>
      </c>
      <c r="DU156" s="30">
        <v>35</v>
      </c>
      <c r="DV156" s="30">
        <v>35</v>
      </c>
      <c r="DX156" s="2">
        <f t="shared" si="78"/>
        <v>1725</v>
      </c>
      <c r="DY156" s="33" t="s">
        <v>2179</v>
      </c>
      <c r="DZ156" s="33" t="s">
        <v>481</v>
      </c>
      <c r="EA156" s="33" t="s">
        <v>2031</v>
      </c>
      <c r="EB156" s="33" t="s">
        <v>2027</v>
      </c>
      <c r="EC156" s="36">
        <v>126</v>
      </c>
      <c r="ED156" s="29" t="s">
        <v>479</v>
      </c>
      <c r="EE156" s="29" t="s">
        <v>480</v>
      </c>
      <c r="EF156" s="37">
        <v>41640</v>
      </c>
      <c r="EG156" s="37">
        <v>42004</v>
      </c>
      <c r="EH156" s="29" t="s">
        <v>479</v>
      </c>
      <c r="EI156" s="55">
        <f t="shared" si="79"/>
        <v>0.6272613849033063</v>
      </c>
      <c r="EJ156" s="54">
        <f t="shared" si="80"/>
        <v>0</v>
      </c>
      <c r="EK156" s="55">
        <f t="shared" si="81"/>
        <v>2.9532127261384904</v>
      </c>
      <c r="EL156" s="54">
        <f t="shared" si="82"/>
        <v>5.3337492202121022E-2</v>
      </c>
    </row>
    <row r="157" spans="1:142" ht="28.8" x14ac:dyDescent="0.3">
      <c r="A157" s="29" t="s">
        <v>482</v>
      </c>
      <c r="B157" s="29"/>
      <c r="C157" s="30">
        <v>2765</v>
      </c>
      <c r="D157" s="30">
        <v>0</v>
      </c>
      <c r="E157" s="30">
        <v>0</v>
      </c>
      <c r="F157" s="30">
        <v>4800</v>
      </c>
      <c r="H157" s="2">
        <f t="shared" si="58"/>
        <v>4800</v>
      </c>
      <c r="I157" s="1">
        <f t="shared" si="57"/>
        <v>1.7359855334538878</v>
      </c>
      <c r="J157" s="31">
        <v>55382</v>
      </c>
      <c r="K157" s="31">
        <v>18593</v>
      </c>
      <c r="L157" s="31">
        <v>73975</v>
      </c>
      <c r="M157" s="45">
        <f t="shared" si="59"/>
        <v>26.754068716094032</v>
      </c>
      <c r="N157" s="31">
        <v>4531</v>
      </c>
      <c r="O157" s="31">
        <v>0</v>
      </c>
      <c r="P157" s="31">
        <v>1309</v>
      </c>
      <c r="Q157" s="31">
        <v>5840</v>
      </c>
      <c r="R157" s="45">
        <f t="shared" si="60"/>
        <v>2.1121157323688968</v>
      </c>
      <c r="S157" s="31">
        <v>12780</v>
      </c>
      <c r="T157" s="31">
        <v>92595</v>
      </c>
      <c r="U157" s="31">
        <v>3276</v>
      </c>
      <c r="V157" s="31">
        <v>95871</v>
      </c>
      <c r="W157" s="45">
        <f t="shared" si="61"/>
        <v>34.673056057866184</v>
      </c>
      <c r="X157" s="4">
        <f t="shared" si="62"/>
        <v>0.77160976729146458</v>
      </c>
      <c r="Y157" s="4">
        <f t="shared" si="63"/>
        <v>6.0915188117366043E-2</v>
      </c>
      <c r="Z157" s="4">
        <f t="shared" si="64"/>
        <v>0.13330412742122227</v>
      </c>
      <c r="AA157" s="4">
        <f t="shared" si="65"/>
        <v>3.4170917169947114E-2</v>
      </c>
      <c r="AB157" s="31">
        <v>6323</v>
      </c>
      <c r="AC157" s="31">
        <v>5840</v>
      </c>
      <c r="AD157" s="31">
        <v>95871</v>
      </c>
      <c r="AE157" s="31">
        <v>95871</v>
      </c>
      <c r="AF157" s="31">
        <v>98899</v>
      </c>
      <c r="AG157" s="31">
        <v>0</v>
      </c>
      <c r="AH157" s="31">
        <v>0</v>
      </c>
      <c r="AI157" s="31">
        <v>98899</v>
      </c>
      <c r="AJ157" s="45">
        <f t="shared" si="66"/>
        <v>35.768173598553346</v>
      </c>
      <c r="AK157" s="31">
        <v>0</v>
      </c>
      <c r="AL157" s="31">
        <v>0</v>
      </c>
      <c r="AM157" s="31">
        <v>0</v>
      </c>
      <c r="AN157" s="31">
        <v>0</v>
      </c>
      <c r="AO157" s="31">
        <v>613</v>
      </c>
      <c r="AP157" s="31">
        <v>0</v>
      </c>
      <c r="AQ157" s="31">
        <v>613</v>
      </c>
      <c r="AR157" s="31">
        <v>99512</v>
      </c>
      <c r="AS157" s="46">
        <f t="shared" si="67"/>
        <v>35.989873417721519</v>
      </c>
      <c r="AT157" s="31">
        <v>6323</v>
      </c>
      <c r="AU157" s="31">
        <v>0</v>
      </c>
      <c r="AV157" s="31">
        <v>0</v>
      </c>
      <c r="AW157" s="31">
        <v>0</v>
      </c>
      <c r="AX157" s="31">
        <v>0</v>
      </c>
      <c r="AY157" s="31">
        <v>0</v>
      </c>
      <c r="AZ157" s="31">
        <v>613</v>
      </c>
      <c r="BA157" s="31">
        <v>0</v>
      </c>
      <c r="BB157" s="31">
        <v>6936</v>
      </c>
      <c r="BC157" s="33" t="s">
        <v>25</v>
      </c>
      <c r="BD157" s="47">
        <v>15707</v>
      </c>
      <c r="BE157" s="47">
        <v>15707</v>
      </c>
      <c r="BF157" s="45">
        <f t="shared" si="68"/>
        <v>5.6806509945750454</v>
      </c>
      <c r="BG157" s="30">
        <v>1078</v>
      </c>
      <c r="BH157" s="30">
        <v>1078</v>
      </c>
      <c r="BI157" s="30">
        <v>0</v>
      </c>
      <c r="BJ157" s="30">
        <v>3699</v>
      </c>
      <c r="BK157" s="30">
        <v>3699</v>
      </c>
      <c r="BL157" s="30">
        <v>0</v>
      </c>
      <c r="BM157" s="30">
        <v>0</v>
      </c>
      <c r="BN157" s="30">
        <v>0</v>
      </c>
      <c r="BO157" s="30">
        <v>51</v>
      </c>
      <c r="BP157" s="30">
        <v>0</v>
      </c>
      <c r="BQ157" s="30">
        <v>51</v>
      </c>
      <c r="BR157" s="47">
        <v>20484</v>
      </c>
      <c r="BS157" s="47">
        <v>20484</v>
      </c>
      <c r="BT157" s="1">
        <f t="shared" si="69"/>
        <v>7.4083182640144667</v>
      </c>
      <c r="BU157" s="30">
        <v>45</v>
      </c>
      <c r="BV157" s="30">
        <v>0</v>
      </c>
      <c r="BW157" s="47">
        <v>14858</v>
      </c>
      <c r="BX157" s="52">
        <f t="shared" si="70"/>
        <v>5.3735985533453885</v>
      </c>
      <c r="BY157" s="47">
        <v>3570</v>
      </c>
      <c r="BZ157" s="47">
        <v>0</v>
      </c>
      <c r="CA157" s="47">
        <v>38638</v>
      </c>
      <c r="CB157" s="47">
        <v>0</v>
      </c>
      <c r="CC157" s="47">
        <v>42208</v>
      </c>
      <c r="CD157" s="55">
        <f t="shared" si="71"/>
        <v>15.265099457504521</v>
      </c>
      <c r="CE157" s="3">
        <f t="shared" si="72"/>
        <v>21104</v>
      </c>
      <c r="CF157" s="55">
        <f t="shared" si="73"/>
        <v>20.292307692307691</v>
      </c>
      <c r="CG157" s="55">
        <f t="shared" si="74"/>
        <v>1.6698184119950943</v>
      </c>
      <c r="CH157" s="55">
        <f t="shared" si="75"/>
        <v>2.0605350517477055</v>
      </c>
      <c r="CI157" s="30">
        <v>39</v>
      </c>
      <c r="CJ157" s="30">
        <v>0</v>
      </c>
      <c r="CK157" s="30">
        <v>63</v>
      </c>
      <c r="CL157" s="30">
        <v>102</v>
      </c>
      <c r="CM157" s="30">
        <v>897</v>
      </c>
      <c r="CN157" s="30">
        <v>0</v>
      </c>
      <c r="CO157" s="30">
        <v>565</v>
      </c>
      <c r="CP157" s="30">
        <v>1462</v>
      </c>
      <c r="CQ157" s="1">
        <f t="shared" si="83"/>
        <v>0.52875226039782997</v>
      </c>
      <c r="CR157" s="47">
        <v>25277</v>
      </c>
      <c r="CS157" s="55">
        <f t="shared" si="76"/>
        <v>9.1417721518987349</v>
      </c>
      <c r="CT157" s="59">
        <v>2476</v>
      </c>
      <c r="CU157" s="29" t="s">
        <v>25</v>
      </c>
      <c r="CV157" s="29" t="s">
        <v>25</v>
      </c>
      <c r="CW157" s="29" t="s">
        <v>25</v>
      </c>
      <c r="CX157" s="35">
        <v>0</v>
      </c>
      <c r="CY157" s="49">
        <v>0</v>
      </c>
      <c r="CZ157" s="35">
        <v>2</v>
      </c>
      <c r="DA157" s="35">
        <v>0</v>
      </c>
      <c r="DB157" s="35">
        <v>2</v>
      </c>
      <c r="DC157" s="49">
        <f t="shared" si="77"/>
        <v>1382.5</v>
      </c>
      <c r="DD157" s="30">
        <v>848</v>
      </c>
      <c r="DE157" s="31">
        <v>29368</v>
      </c>
      <c r="DF157" s="35">
        <v>40</v>
      </c>
      <c r="DG157" s="29" t="s">
        <v>25</v>
      </c>
      <c r="DH157" s="29" t="s">
        <v>25</v>
      </c>
      <c r="DI157" s="29" t="s">
        <v>25</v>
      </c>
      <c r="DJ157" s="47">
        <v>24</v>
      </c>
      <c r="DK157" s="47">
        <v>0</v>
      </c>
      <c r="DL157" s="47">
        <v>16</v>
      </c>
      <c r="DM157" s="47">
        <v>4297</v>
      </c>
      <c r="DN157" s="47">
        <v>19</v>
      </c>
      <c r="DO157" s="47">
        <v>1525</v>
      </c>
      <c r="DP157" s="29" t="s">
        <v>25</v>
      </c>
      <c r="DQ157" s="47">
        <v>2352</v>
      </c>
      <c r="DR157" s="47">
        <v>2080</v>
      </c>
      <c r="DS157" s="30">
        <v>52</v>
      </c>
      <c r="DT157" s="30">
        <v>40</v>
      </c>
      <c r="DU157" s="30">
        <v>40</v>
      </c>
      <c r="DV157" s="30">
        <v>40</v>
      </c>
      <c r="DX157" s="2">
        <f t="shared" si="78"/>
        <v>2080</v>
      </c>
      <c r="DY157" s="33" t="s">
        <v>2181</v>
      </c>
      <c r="DZ157" s="33" t="s">
        <v>484</v>
      </c>
      <c r="EA157" s="33" t="s">
        <v>2030</v>
      </c>
      <c r="EB157" s="33" t="s">
        <v>2027</v>
      </c>
      <c r="EC157" s="36">
        <v>127</v>
      </c>
      <c r="ED157" s="29" t="s">
        <v>483</v>
      </c>
      <c r="EE157" s="29" t="s">
        <v>232</v>
      </c>
      <c r="EF157" s="37">
        <v>41548</v>
      </c>
      <c r="EG157" s="37">
        <v>41912</v>
      </c>
      <c r="EH157" s="29" t="s">
        <v>483</v>
      </c>
      <c r="EI157" s="55">
        <f t="shared" si="79"/>
        <v>1.2911392405063291</v>
      </c>
      <c r="EJ157" s="54">
        <f t="shared" si="80"/>
        <v>0</v>
      </c>
      <c r="EK157" s="55">
        <f t="shared" si="81"/>
        <v>13.973960216998192</v>
      </c>
      <c r="EL157" s="54">
        <f t="shared" si="82"/>
        <v>0</v>
      </c>
    </row>
    <row r="158" spans="1:142" ht="28.8" x14ac:dyDescent="0.3">
      <c r="A158" s="29" t="s">
        <v>1569</v>
      </c>
      <c r="B158" s="29"/>
      <c r="C158" s="30">
        <v>30830</v>
      </c>
      <c r="D158" s="30">
        <v>0</v>
      </c>
      <c r="E158" s="30">
        <v>0</v>
      </c>
      <c r="F158" s="30">
        <v>12738</v>
      </c>
      <c r="H158" s="2">
        <f t="shared" si="58"/>
        <v>12738</v>
      </c>
      <c r="I158" s="1">
        <f t="shared" si="57"/>
        <v>0.41316899124229645</v>
      </c>
      <c r="J158" s="31">
        <v>116269</v>
      </c>
      <c r="K158" s="31">
        <v>45069</v>
      </c>
      <c r="L158" s="31">
        <v>161338</v>
      </c>
      <c r="M158" s="45">
        <f t="shared" si="59"/>
        <v>5.2331495296788839</v>
      </c>
      <c r="N158" s="31">
        <v>8559</v>
      </c>
      <c r="O158" s="31">
        <v>0</v>
      </c>
      <c r="P158" s="31">
        <v>3110</v>
      </c>
      <c r="Q158" s="31">
        <v>11669</v>
      </c>
      <c r="R158" s="45">
        <f t="shared" si="60"/>
        <v>0.37849497242945185</v>
      </c>
      <c r="S158" s="31">
        <v>31789</v>
      </c>
      <c r="T158" s="31">
        <v>204796</v>
      </c>
      <c r="U158" s="31">
        <v>7348</v>
      </c>
      <c r="V158" s="31">
        <v>212144</v>
      </c>
      <c r="W158" s="45">
        <f t="shared" si="61"/>
        <v>6.8810898475510864</v>
      </c>
      <c r="X158" s="4">
        <f t="shared" si="62"/>
        <v>0.76051172788294741</v>
      </c>
      <c r="Y158" s="4">
        <f t="shared" si="63"/>
        <v>5.5005090881665282E-2</v>
      </c>
      <c r="Z158" s="4">
        <f t="shared" si="64"/>
        <v>0.14984633079417753</v>
      </c>
      <c r="AA158" s="4">
        <f t="shared" si="65"/>
        <v>3.4636850441209746E-2</v>
      </c>
      <c r="AB158" s="31">
        <v>0</v>
      </c>
      <c r="AC158" s="31">
        <v>11669</v>
      </c>
      <c r="AD158" s="31">
        <v>212144</v>
      </c>
      <c r="AE158" s="31">
        <v>200964</v>
      </c>
      <c r="AF158" s="31">
        <v>185116</v>
      </c>
      <c r="AG158" s="31">
        <v>8500</v>
      </c>
      <c r="AH158" s="31">
        <v>0</v>
      </c>
      <c r="AI158" s="31">
        <v>193616</v>
      </c>
      <c r="AJ158" s="45">
        <f t="shared" si="66"/>
        <v>6.2801167693804736</v>
      </c>
      <c r="AK158" s="31">
        <v>0</v>
      </c>
      <c r="AL158" s="31">
        <v>0</v>
      </c>
      <c r="AM158" s="31">
        <v>0</v>
      </c>
      <c r="AN158" s="31">
        <v>0</v>
      </c>
      <c r="AO158" s="31">
        <v>9844</v>
      </c>
      <c r="AP158" s="31">
        <v>1336</v>
      </c>
      <c r="AQ158" s="31">
        <v>11180</v>
      </c>
      <c r="AR158" s="31">
        <v>204796</v>
      </c>
      <c r="AS158" s="46">
        <f t="shared" si="67"/>
        <v>6.6427505676289327</v>
      </c>
      <c r="AT158" s="31">
        <v>0</v>
      </c>
      <c r="AU158" s="31">
        <v>0</v>
      </c>
      <c r="AV158" s="31">
        <v>0</v>
      </c>
      <c r="AW158" s="31">
        <v>0</v>
      </c>
      <c r="AX158" s="31">
        <v>0</v>
      </c>
      <c r="AY158" s="31">
        <v>0</v>
      </c>
      <c r="AZ158" s="31">
        <v>0</v>
      </c>
      <c r="BA158" s="31">
        <v>0</v>
      </c>
      <c r="BB158" s="31">
        <v>0</v>
      </c>
      <c r="BC158" s="33" t="s">
        <v>25</v>
      </c>
      <c r="BD158" s="47">
        <v>33778</v>
      </c>
      <c r="BE158" s="47">
        <v>33901</v>
      </c>
      <c r="BF158" s="45">
        <f t="shared" si="68"/>
        <v>1.0996107687317549</v>
      </c>
      <c r="BG158" s="30">
        <v>1364</v>
      </c>
      <c r="BH158" s="30">
        <v>1373</v>
      </c>
      <c r="BI158" s="30">
        <v>0</v>
      </c>
      <c r="BJ158" s="30">
        <v>2807</v>
      </c>
      <c r="BK158" s="30">
        <v>2822</v>
      </c>
      <c r="BL158" s="30">
        <v>0</v>
      </c>
      <c r="BM158" s="30">
        <v>0</v>
      </c>
      <c r="BN158" s="30">
        <v>0</v>
      </c>
      <c r="BO158" s="30">
        <v>51</v>
      </c>
      <c r="BP158" s="30">
        <v>0</v>
      </c>
      <c r="BQ158" s="30">
        <v>51</v>
      </c>
      <c r="BR158" s="47">
        <v>37949</v>
      </c>
      <c r="BS158" s="47">
        <v>38096</v>
      </c>
      <c r="BT158" s="1">
        <f t="shared" si="69"/>
        <v>1.2356795329224781</v>
      </c>
      <c r="BU158" s="30">
        <v>72</v>
      </c>
      <c r="BV158" s="30">
        <v>0</v>
      </c>
      <c r="BW158" s="47">
        <v>2277</v>
      </c>
      <c r="BX158" s="52">
        <f t="shared" si="70"/>
        <v>7.3856633149529685E-2</v>
      </c>
      <c r="BY158" s="47">
        <v>37662</v>
      </c>
      <c r="BZ158" s="47">
        <v>0</v>
      </c>
      <c r="CA158" s="47">
        <v>60242</v>
      </c>
      <c r="CB158" s="47">
        <v>0</v>
      </c>
      <c r="CC158" s="47">
        <v>97904</v>
      </c>
      <c r="CD158" s="55">
        <f t="shared" si="71"/>
        <v>3.1756081738566331</v>
      </c>
      <c r="CE158" s="3">
        <f t="shared" si="72"/>
        <v>21283.478260869568</v>
      </c>
      <c r="CF158" s="55">
        <f t="shared" si="73"/>
        <v>50.72746113989637</v>
      </c>
      <c r="CG158" s="55">
        <f t="shared" si="74"/>
        <v>1.7092477173135006</v>
      </c>
      <c r="CH158" s="55">
        <f t="shared" si="75"/>
        <v>2.5699286014279714</v>
      </c>
      <c r="CI158" s="30">
        <v>212</v>
      </c>
      <c r="CJ158" s="30">
        <v>18</v>
      </c>
      <c r="CK158" s="30">
        <v>186</v>
      </c>
      <c r="CL158" s="30">
        <v>416</v>
      </c>
      <c r="CM158" s="30">
        <v>4336</v>
      </c>
      <c r="CN158" s="30">
        <v>164</v>
      </c>
      <c r="CO158" s="30">
        <v>2019</v>
      </c>
      <c r="CP158" s="30">
        <v>6519</v>
      </c>
      <c r="CQ158" s="1">
        <f t="shared" si="83"/>
        <v>0.21144988647421342</v>
      </c>
      <c r="CR158" s="47">
        <v>57279</v>
      </c>
      <c r="CS158" s="55">
        <f t="shared" si="76"/>
        <v>1.8578981511514758</v>
      </c>
      <c r="CT158" s="59">
        <v>9113</v>
      </c>
      <c r="CU158" s="29" t="s">
        <v>25</v>
      </c>
      <c r="CV158" s="29" t="s">
        <v>25</v>
      </c>
      <c r="CW158" s="29" t="s">
        <v>25</v>
      </c>
      <c r="CX158" s="35">
        <v>0</v>
      </c>
      <c r="CY158" s="49">
        <v>0</v>
      </c>
      <c r="CZ158" s="35">
        <v>1</v>
      </c>
      <c r="DA158" s="35">
        <v>3.6</v>
      </c>
      <c r="DB158" s="35">
        <v>4.5999999999999996</v>
      </c>
      <c r="DC158" s="49">
        <f t="shared" si="77"/>
        <v>6702.1739130434789</v>
      </c>
      <c r="DD158" s="30">
        <v>4826</v>
      </c>
      <c r="DE158" s="31">
        <v>31239</v>
      </c>
      <c r="DF158" s="35">
        <v>40</v>
      </c>
      <c r="DG158" s="29" t="s">
        <v>25</v>
      </c>
      <c r="DH158" s="29" t="s">
        <v>26</v>
      </c>
      <c r="DI158" s="29" t="s">
        <v>26</v>
      </c>
      <c r="DJ158" s="47">
        <v>36</v>
      </c>
      <c r="DK158" s="47">
        <v>0</v>
      </c>
      <c r="DL158" s="47">
        <v>13</v>
      </c>
      <c r="DM158" s="47">
        <v>8751</v>
      </c>
      <c r="DN158" s="47">
        <v>1685</v>
      </c>
      <c r="DO158" s="47">
        <v>0</v>
      </c>
      <c r="DP158" s="29" t="s">
        <v>2028</v>
      </c>
      <c r="DQ158" s="47">
        <v>0</v>
      </c>
      <c r="DR158" s="47">
        <v>1930</v>
      </c>
      <c r="DS158" s="30">
        <v>52</v>
      </c>
      <c r="DT158" s="30">
        <v>40</v>
      </c>
      <c r="DU158" s="30">
        <v>40</v>
      </c>
      <c r="DV158" s="30">
        <v>40</v>
      </c>
      <c r="DX158" s="2">
        <f t="shared" si="78"/>
        <v>1930</v>
      </c>
      <c r="DY158" s="33" t="s">
        <v>2186</v>
      </c>
      <c r="DZ158" s="33" t="s">
        <v>1571</v>
      </c>
      <c r="EA158" s="33" t="s">
        <v>2030</v>
      </c>
      <c r="EB158" s="33" t="s">
        <v>2027</v>
      </c>
      <c r="EC158" s="36">
        <v>513</v>
      </c>
      <c r="ED158" s="29" t="s">
        <v>1570</v>
      </c>
      <c r="EE158" s="29" t="s">
        <v>129</v>
      </c>
      <c r="EF158" s="37">
        <v>41548</v>
      </c>
      <c r="EG158" s="37">
        <v>41912</v>
      </c>
      <c r="EH158" s="29" t="s">
        <v>1570</v>
      </c>
      <c r="EI158" s="55">
        <f t="shared" si="79"/>
        <v>1.2216023353876095</v>
      </c>
      <c r="EJ158" s="54">
        <f t="shared" si="80"/>
        <v>0</v>
      </c>
      <c r="EK158" s="55">
        <f t="shared" si="81"/>
        <v>1.9540058384690238</v>
      </c>
      <c r="EL158" s="54">
        <f t="shared" si="82"/>
        <v>0</v>
      </c>
    </row>
    <row r="159" spans="1:142" ht="28.8" x14ac:dyDescent="0.3">
      <c r="A159" s="29" t="s">
        <v>476</v>
      </c>
      <c r="B159" s="29"/>
      <c r="C159" s="30">
        <v>674433</v>
      </c>
      <c r="D159" s="30">
        <v>12</v>
      </c>
      <c r="E159" s="30">
        <v>1</v>
      </c>
      <c r="F159" s="30">
        <v>101000</v>
      </c>
      <c r="G159">
        <v>172520</v>
      </c>
      <c r="H159" s="2">
        <f t="shared" si="58"/>
        <v>273520</v>
      </c>
      <c r="I159" s="1">
        <f t="shared" si="57"/>
        <v>0.40555548141920694</v>
      </c>
      <c r="J159" s="31">
        <v>4955395</v>
      </c>
      <c r="K159" s="31">
        <v>1551112</v>
      </c>
      <c r="L159" s="31">
        <v>6506507</v>
      </c>
      <c r="M159" s="45">
        <f t="shared" si="59"/>
        <v>9.647373423305206</v>
      </c>
      <c r="N159" s="31">
        <v>884089</v>
      </c>
      <c r="O159" s="31">
        <v>218620</v>
      </c>
      <c r="P159" s="31">
        <v>518607</v>
      </c>
      <c r="Q159" s="31">
        <v>1621316</v>
      </c>
      <c r="R159" s="45">
        <f t="shared" si="60"/>
        <v>2.4039689635590191</v>
      </c>
      <c r="S159" s="31">
        <v>907325</v>
      </c>
      <c r="T159" s="31">
        <v>9035148</v>
      </c>
      <c r="U159" s="31">
        <v>839593</v>
      </c>
      <c r="V159" s="31">
        <v>9874741</v>
      </c>
      <c r="W159" s="45">
        <f t="shared" si="61"/>
        <v>14.641544823577732</v>
      </c>
      <c r="X159" s="4">
        <f t="shared" si="62"/>
        <v>0.65890406644589461</v>
      </c>
      <c r="Y159" s="4">
        <f t="shared" si="63"/>
        <v>0.16418820503747897</v>
      </c>
      <c r="Z159" s="4">
        <f t="shared" si="64"/>
        <v>9.1883422562677841E-2</v>
      </c>
      <c r="AA159" s="4">
        <f t="shared" si="65"/>
        <v>8.5024305953948567E-2</v>
      </c>
      <c r="AB159" s="31">
        <v>0</v>
      </c>
      <c r="AC159" s="31">
        <v>1621316</v>
      </c>
      <c r="AD159" s="31">
        <v>9622038</v>
      </c>
      <c r="AE159" s="31">
        <v>9622038</v>
      </c>
      <c r="AF159" s="31">
        <v>9622038</v>
      </c>
      <c r="AG159" s="31">
        <v>0</v>
      </c>
      <c r="AH159" s="31">
        <v>0</v>
      </c>
      <c r="AI159" s="31">
        <v>9622038</v>
      </c>
      <c r="AJ159" s="45">
        <f t="shared" si="66"/>
        <v>14.266855269537523</v>
      </c>
      <c r="AK159" s="31">
        <v>0</v>
      </c>
      <c r="AL159" s="31">
        <v>0</v>
      </c>
      <c r="AM159" s="31">
        <v>0</v>
      </c>
      <c r="AN159" s="31">
        <v>0</v>
      </c>
      <c r="AO159" s="31">
        <v>23792</v>
      </c>
      <c r="AP159" s="31">
        <v>228912</v>
      </c>
      <c r="AQ159" s="31">
        <v>252704</v>
      </c>
      <c r="AR159" s="31">
        <v>9874742</v>
      </c>
      <c r="AS159" s="46">
        <f t="shared" si="67"/>
        <v>14.641546306304704</v>
      </c>
      <c r="AT159" s="31">
        <v>40000</v>
      </c>
      <c r="AU159" s="31">
        <v>0</v>
      </c>
      <c r="AV159" s="31">
        <v>0</v>
      </c>
      <c r="AW159" s="31">
        <v>0</v>
      </c>
      <c r="AX159" s="31">
        <v>0</v>
      </c>
      <c r="AY159" s="31">
        <v>0</v>
      </c>
      <c r="AZ159" s="31">
        <v>0</v>
      </c>
      <c r="BA159" s="31">
        <v>0</v>
      </c>
      <c r="BB159" s="31">
        <v>40000</v>
      </c>
      <c r="BC159" s="33" t="s">
        <v>25</v>
      </c>
      <c r="BD159" s="47">
        <v>212199</v>
      </c>
      <c r="BE159" s="47">
        <v>605844</v>
      </c>
      <c r="BF159" s="45">
        <f t="shared" si="68"/>
        <v>0.89830123970802145</v>
      </c>
      <c r="BG159" s="30">
        <v>16389</v>
      </c>
      <c r="BH159" s="30">
        <v>25921</v>
      </c>
      <c r="BI159" s="30">
        <v>1659</v>
      </c>
      <c r="BJ159" s="30">
        <v>18502</v>
      </c>
      <c r="BK159" s="30">
        <v>43189</v>
      </c>
      <c r="BL159" s="30">
        <v>187</v>
      </c>
      <c r="BM159" s="30">
        <v>8465</v>
      </c>
      <c r="BN159" s="30">
        <v>4</v>
      </c>
      <c r="BO159" s="30">
        <v>51</v>
      </c>
      <c r="BP159" s="30">
        <v>0</v>
      </c>
      <c r="BQ159" s="30">
        <v>55</v>
      </c>
      <c r="BR159" s="47">
        <v>247090</v>
      </c>
      <c r="BS159" s="47">
        <v>685269</v>
      </c>
      <c r="BT159" s="1">
        <f t="shared" si="69"/>
        <v>1.0160668294700883</v>
      </c>
      <c r="BU159" s="30">
        <v>1490</v>
      </c>
      <c r="BV159" s="30">
        <v>147</v>
      </c>
      <c r="BW159" s="47">
        <v>398134</v>
      </c>
      <c r="BX159" s="52">
        <f t="shared" si="70"/>
        <v>0.59032402032522135</v>
      </c>
      <c r="BY159" s="47">
        <v>620813</v>
      </c>
      <c r="BZ159" s="47">
        <v>8416</v>
      </c>
      <c r="CA159" s="47">
        <v>1660847</v>
      </c>
      <c r="CB159" s="47">
        <v>63978</v>
      </c>
      <c r="CC159" s="47">
        <v>2354054</v>
      </c>
      <c r="CD159" s="55">
        <f t="shared" si="71"/>
        <v>3.4904193596695299</v>
      </c>
      <c r="CE159" s="3">
        <f t="shared" si="72"/>
        <v>15825.573109243698</v>
      </c>
      <c r="CF159" s="55">
        <f t="shared" si="73"/>
        <v>67.998902336867033</v>
      </c>
      <c r="CG159" s="55">
        <f t="shared" si="74"/>
        <v>1.2385175379846298</v>
      </c>
      <c r="CH159" s="55">
        <f t="shared" si="75"/>
        <v>3.3295829812818032</v>
      </c>
      <c r="CI159" s="30">
        <v>5463</v>
      </c>
      <c r="CJ159" s="30">
        <v>971</v>
      </c>
      <c r="CK159" s="30">
        <v>2703</v>
      </c>
      <c r="CL159" s="30">
        <v>9137</v>
      </c>
      <c r="CM159" s="30">
        <v>106598</v>
      </c>
      <c r="CN159" s="30">
        <v>14975</v>
      </c>
      <c r="CO159" s="30">
        <v>21023</v>
      </c>
      <c r="CP159" s="30">
        <v>142596</v>
      </c>
      <c r="CQ159" s="1">
        <f t="shared" si="83"/>
        <v>0.21143093531900128</v>
      </c>
      <c r="CR159" s="47">
        <v>1900703</v>
      </c>
      <c r="CS159" s="55">
        <f t="shared" si="76"/>
        <v>2.8182236041237601</v>
      </c>
      <c r="CT159" s="59">
        <v>230405</v>
      </c>
      <c r="CU159" s="29" t="s">
        <v>25</v>
      </c>
      <c r="CV159" s="29" t="s">
        <v>25</v>
      </c>
      <c r="CW159" s="29" t="s">
        <v>25</v>
      </c>
      <c r="CX159" s="35">
        <v>35.5</v>
      </c>
      <c r="CY159" s="49">
        <f>C159/CX159</f>
        <v>18998.112676056338</v>
      </c>
      <c r="CZ159" s="35">
        <v>0</v>
      </c>
      <c r="DA159" s="35">
        <v>113.25</v>
      </c>
      <c r="DB159" s="35">
        <v>148.75</v>
      </c>
      <c r="DC159" s="49">
        <f t="shared" si="77"/>
        <v>4534.0033613445376</v>
      </c>
      <c r="DD159" s="30">
        <v>11703</v>
      </c>
      <c r="DE159" s="31">
        <v>146970</v>
      </c>
      <c r="DF159" s="35">
        <v>40</v>
      </c>
      <c r="DG159" s="29" t="s">
        <v>25</v>
      </c>
      <c r="DH159" s="29" t="s">
        <v>25</v>
      </c>
      <c r="DI159" s="29" t="s">
        <v>25</v>
      </c>
      <c r="DJ159" s="47">
        <v>547</v>
      </c>
      <c r="DK159" s="47">
        <v>306</v>
      </c>
      <c r="DL159" s="47">
        <v>603</v>
      </c>
      <c r="DM159" s="47">
        <v>696177</v>
      </c>
      <c r="DN159" s="47">
        <v>179519</v>
      </c>
      <c r="DO159" s="47">
        <v>-1</v>
      </c>
      <c r="DP159" s="29" t="s">
        <v>25</v>
      </c>
      <c r="DQ159" s="47">
        <v>1474555</v>
      </c>
      <c r="DR159" s="47">
        <v>2870</v>
      </c>
      <c r="DS159" s="30">
        <v>52</v>
      </c>
      <c r="DT159" s="30">
        <v>75</v>
      </c>
      <c r="DU159" s="30">
        <v>57</v>
      </c>
      <c r="DV159" s="30">
        <v>57</v>
      </c>
      <c r="DW159">
        <f>VLOOKUP(EC159,branch!$I$4:$K$77,3,0)</f>
        <v>31749</v>
      </c>
      <c r="DX159" s="2">
        <f t="shared" si="78"/>
        <v>34619</v>
      </c>
      <c r="DY159" s="33" t="s">
        <v>2183</v>
      </c>
      <c r="DZ159" s="33" t="s">
        <v>477</v>
      </c>
      <c r="EA159" s="33" t="s">
        <v>2030</v>
      </c>
      <c r="EB159" s="33" t="s">
        <v>2027</v>
      </c>
      <c r="EC159" s="36">
        <v>125</v>
      </c>
      <c r="ED159" s="29" t="s">
        <v>475</v>
      </c>
      <c r="EE159" s="29" t="s">
        <v>476</v>
      </c>
      <c r="EF159" s="37">
        <v>41518</v>
      </c>
      <c r="EG159" s="37">
        <v>41882</v>
      </c>
      <c r="EH159" s="29" t="s">
        <v>475</v>
      </c>
      <c r="EI159" s="55">
        <f t="shared" si="79"/>
        <v>0.92049617975395626</v>
      </c>
      <c r="EJ159" s="54">
        <f t="shared" si="80"/>
        <v>1.247863019751406E-2</v>
      </c>
      <c r="EK159" s="55">
        <f t="shared" si="81"/>
        <v>2.4625826434946094</v>
      </c>
      <c r="EL159" s="54">
        <f t="shared" si="82"/>
        <v>9.4861906223449921E-2</v>
      </c>
    </row>
    <row r="160" spans="1:142" x14ac:dyDescent="0.3">
      <c r="A160" s="29" t="s">
        <v>485</v>
      </c>
      <c r="B160" s="29"/>
      <c r="C160" s="30">
        <v>10216</v>
      </c>
      <c r="D160" s="30">
        <v>0</v>
      </c>
      <c r="E160" s="30">
        <v>0</v>
      </c>
      <c r="F160" s="30">
        <v>5995</v>
      </c>
      <c r="H160" s="2">
        <f t="shared" si="58"/>
        <v>5995</v>
      </c>
      <c r="I160" s="1">
        <f t="shared" si="57"/>
        <v>0.58682458888018796</v>
      </c>
      <c r="J160" s="31">
        <v>95512</v>
      </c>
      <c r="K160" s="31">
        <v>30347</v>
      </c>
      <c r="L160" s="31">
        <v>125859</v>
      </c>
      <c r="M160" s="45">
        <f t="shared" si="59"/>
        <v>12.31979248238058</v>
      </c>
      <c r="N160" s="31">
        <v>13989</v>
      </c>
      <c r="O160" s="31">
        <v>2500</v>
      </c>
      <c r="P160" s="31">
        <v>5122</v>
      </c>
      <c r="Q160" s="31">
        <v>21611</v>
      </c>
      <c r="R160" s="45">
        <f t="shared" si="60"/>
        <v>2.1154072043852779</v>
      </c>
      <c r="S160" s="31">
        <v>81523</v>
      </c>
      <c r="T160" s="31">
        <v>228993</v>
      </c>
      <c r="U160" s="31">
        <v>17962</v>
      </c>
      <c r="V160" s="31">
        <v>246955</v>
      </c>
      <c r="W160" s="45">
        <f t="shared" si="61"/>
        <v>24.173355520751763</v>
      </c>
      <c r="X160" s="4">
        <f t="shared" si="62"/>
        <v>0.50964345731003624</v>
      </c>
      <c r="Y160" s="4">
        <f t="shared" si="63"/>
        <v>8.7509870219270716E-2</v>
      </c>
      <c r="Z160" s="4">
        <f t="shared" si="64"/>
        <v>0.33011277358223157</v>
      </c>
      <c r="AA160" s="4">
        <f t="shared" si="65"/>
        <v>7.2733898888461462E-2</v>
      </c>
      <c r="AB160" s="31">
        <v>0</v>
      </c>
      <c r="AC160" s="31">
        <v>21611</v>
      </c>
      <c r="AD160" s="31">
        <v>237233</v>
      </c>
      <c r="AE160" s="31">
        <v>237233</v>
      </c>
      <c r="AF160" s="31">
        <v>219720</v>
      </c>
      <c r="AG160" s="31">
        <v>17513</v>
      </c>
      <c r="AH160" s="31">
        <v>0</v>
      </c>
      <c r="AI160" s="31">
        <v>237233</v>
      </c>
      <c r="AJ160" s="45">
        <f t="shared" si="66"/>
        <v>23.221711041503525</v>
      </c>
      <c r="AK160" s="31">
        <v>0</v>
      </c>
      <c r="AL160" s="31">
        <v>0</v>
      </c>
      <c r="AM160" s="31">
        <v>0</v>
      </c>
      <c r="AN160" s="31">
        <v>0</v>
      </c>
      <c r="AO160" s="31">
        <v>0</v>
      </c>
      <c r="AP160" s="31">
        <v>50500</v>
      </c>
      <c r="AQ160" s="31">
        <v>50500</v>
      </c>
      <c r="AR160" s="31">
        <v>287733</v>
      </c>
      <c r="AS160" s="46">
        <f t="shared" si="67"/>
        <v>28.164937353171496</v>
      </c>
      <c r="AT160" s="31">
        <v>0</v>
      </c>
      <c r="AU160" s="31">
        <v>0</v>
      </c>
      <c r="AV160" s="31">
        <v>0</v>
      </c>
      <c r="AW160" s="31">
        <v>0</v>
      </c>
      <c r="AX160" s="31">
        <v>0</v>
      </c>
      <c r="AY160" s="31">
        <v>0</v>
      </c>
      <c r="AZ160" s="31">
        <v>0</v>
      </c>
      <c r="BA160" s="31">
        <v>0</v>
      </c>
      <c r="BB160" s="31">
        <v>0</v>
      </c>
      <c r="BC160" s="33" t="s">
        <v>25</v>
      </c>
      <c r="BD160" s="47">
        <v>21655</v>
      </c>
      <c r="BE160" s="47">
        <v>22666</v>
      </c>
      <c r="BF160" s="45">
        <f t="shared" si="68"/>
        <v>2.2186765857478465</v>
      </c>
      <c r="BG160" s="30">
        <v>356</v>
      </c>
      <c r="BH160" s="30">
        <v>453</v>
      </c>
      <c r="BI160" s="30">
        <v>0</v>
      </c>
      <c r="BJ160" s="30">
        <v>720</v>
      </c>
      <c r="BK160" s="30">
        <v>775</v>
      </c>
      <c r="BL160" s="30">
        <v>0</v>
      </c>
      <c r="BM160" s="30">
        <v>0</v>
      </c>
      <c r="BN160" s="30">
        <v>2</v>
      </c>
      <c r="BO160" s="30">
        <v>51</v>
      </c>
      <c r="BP160" s="30">
        <v>1</v>
      </c>
      <c r="BQ160" s="30">
        <v>54</v>
      </c>
      <c r="BR160" s="47">
        <v>22731</v>
      </c>
      <c r="BS160" s="47">
        <v>23896</v>
      </c>
      <c r="BT160" s="1">
        <f t="shared" si="69"/>
        <v>2.3390759592795614</v>
      </c>
      <c r="BU160" s="30">
        <v>25</v>
      </c>
      <c r="BV160" s="30">
        <v>1</v>
      </c>
      <c r="BW160" s="47">
        <v>5756</v>
      </c>
      <c r="BX160" s="52">
        <f t="shared" si="70"/>
        <v>0.56342991386061081</v>
      </c>
      <c r="BY160" s="47">
        <v>7127</v>
      </c>
      <c r="BZ160" s="47">
        <v>0</v>
      </c>
      <c r="CA160" s="47">
        <v>2599</v>
      </c>
      <c r="CB160" s="47">
        <v>0</v>
      </c>
      <c r="CC160" s="47">
        <v>9726</v>
      </c>
      <c r="CD160" s="55">
        <f t="shared" si="71"/>
        <v>0.95203602192639003</v>
      </c>
      <c r="CE160" s="3">
        <f t="shared" si="72"/>
        <v>2315.7142857142858</v>
      </c>
      <c r="CF160" s="55">
        <f t="shared" si="73"/>
        <v>4.1564102564102567</v>
      </c>
      <c r="CG160" s="55">
        <f t="shared" si="74"/>
        <v>0.46728163735946959</v>
      </c>
      <c r="CH160" s="55">
        <f t="shared" si="75"/>
        <v>0.40701372614663545</v>
      </c>
      <c r="CI160" s="30">
        <v>1164</v>
      </c>
      <c r="CJ160" s="30">
        <v>75</v>
      </c>
      <c r="CK160" s="30">
        <v>40</v>
      </c>
      <c r="CL160" s="30">
        <v>1279</v>
      </c>
      <c r="CM160" s="30">
        <v>5244</v>
      </c>
      <c r="CN160" s="30">
        <v>495</v>
      </c>
      <c r="CO160" s="30">
        <v>698</v>
      </c>
      <c r="CP160" s="30">
        <v>6437</v>
      </c>
      <c r="CQ160" s="1">
        <f t="shared" si="83"/>
        <v>0.63009005481597491</v>
      </c>
      <c r="CR160" s="47">
        <v>20814</v>
      </c>
      <c r="CS160" s="55">
        <f t="shared" si="76"/>
        <v>2.0373923257635083</v>
      </c>
      <c r="CT160" s="59">
        <v>8124</v>
      </c>
      <c r="CU160" s="29" t="s">
        <v>25</v>
      </c>
      <c r="CV160" s="29" t="s">
        <v>25</v>
      </c>
      <c r="CW160" s="29" t="s">
        <v>25</v>
      </c>
      <c r="CX160" s="35">
        <v>0</v>
      </c>
      <c r="CY160" s="49">
        <v>0</v>
      </c>
      <c r="CZ160" s="35">
        <v>1</v>
      </c>
      <c r="DA160" s="35">
        <v>3.2</v>
      </c>
      <c r="DB160" s="35">
        <v>4.2</v>
      </c>
      <c r="DC160" s="49">
        <f t="shared" si="77"/>
        <v>2432.3809523809523</v>
      </c>
      <c r="DD160" s="30">
        <v>346</v>
      </c>
      <c r="DE160" s="31">
        <v>33280</v>
      </c>
      <c r="DF160" s="35">
        <v>40</v>
      </c>
      <c r="DG160" s="29" t="s">
        <v>25</v>
      </c>
      <c r="DH160" s="29" t="s">
        <v>25</v>
      </c>
      <c r="DI160" s="29" t="s">
        <v>25</v>
      </c>
      <c r="DJ160" s="47">
        <v>322</v>
      </c>
      <c r="DK160" s="47">
        <v>44</v>
      </c>
      <c r="DL160" s="47">
        <v>33</v>
      </c>
      <c r="DM160" s="47">
        <v>17695</v>
      </c>
      <c r="DN160" s="47">
        <v>1149</v>
      </c>
      <c r="DO160" s="47">
        <v>1915</v>
      </c>
      <c r="DP160" s="29" t="s">
        <v>83</v>
      </c>
      <c r="DQ160" s="47">
        <v>0</v>
      </c>
      <c r="DR160" s="47">
        <v>2340</v>
      </c>
      <c r="DS160" s="30">
        <v>52</v>
      </c>
      <c r="DT160" s="30">
        <v>45</v>
      </c>
      <c r="DU160" s="30">
        <v>45</v>
      </c>
      <c r="DV160" s="30">
        <v>45</v>
      </c>
      <c r="DX160" s="2">
        <f t="shared" si="78"/>
        <v>2340</v>
      </c>
      <c r="DY160" s="33" t="s">
        <v>2180</v>
      </c>
      <c r="DZ160" s="33" t="s">
        <v>487</v>
      </c>
      <c r="EA160" s="33" t="s">
        <v>2030</v>
      </c>
      <c r="EB160" s="33" t="s">
        <v>2027</v>
      </c>
      <c r="EC160" s="36">
        <v>128</v>
      </c>
      <c r="ED160" s="29" t="s">
        <v>486</v>
      </c>
      <c r="EE160" s="29" t="s">
        <v>35</v>
      </c>
      <c r="EF160" s="37">
        <v>41548</v>
      </c>
      <c r="EG160" s="37">
        <v>41912</v>
      </c>
      <c r="EH160" s="29" t="s">
        <v>486</v>
      </c>
      <c r="EI160" s="55">
        <f t="shared" si="79"/>
        <v>0.69763116679718085</v>
      </c>
      <c r="EJ160" s="54">
        <f t="shared" si="80"/>
        <v>0</v>
      </c>
      <c r="EK160" s="55">
        <f t="shared" si="81"/>
        <v>0.25440485512920907</v>
      </c>
      <c r="EL160" s="54">
        <f t="shared" si="82"/>
        <v>0</v>
      </c>
    </row>
    <row r="161" spans="1:142" ht="28.8" x14ac:dyDescent="0.3">
      <c r="A161" s="29" t="s">
        <v>488</v>
      </c>
      <c r="B161" s="29"/>
      <c r="C161" s="30">
        <v>11065</v>
      </c>
      <c r="D161" s="30">
        <v>0</v>
      </c>
      <c r="E161" s="30">
        <v>0</v>
      </c>
      <c r="F161" s="30">
        <v>5000</v>
      </c>
      <c r="H161" s="2">
        <f t="shared" si="58"/>
        <v>5000</v>
      </c>
      <c r="I161" s="1">
        <f t="shared" si="57"/>
        <v>0.45187528242205149</v>
      </c>
      <c r="J161" s="31">
        <v>84578</v>
      </c>
      <c r="K161" s="31">
        <v>20047</v>
      </c>
      <c r="L161" s="31">
        <v>104625</v>
      </c>
      <c r="M161" s="45">
        <f t="shared" si="59"/>
        <v>9.4554902846814279</v>
      </c>
      <c r="N161" s="31">
        <v>22855</v>
      </c>
      <c r="O161" s="31">
        <v>5030</v>
      </c>
      <c r="P161" s="31">
        <v>1425</v>
      </c>
      <c r="Q161" s="31">
        <v>29310</v>
      </c>
      <c r="R161" s="45">
        <f t="shared" si="60"/>
        <v>2.6488929055580659</v>
      </c>
      <c r="S161" s="31">
        <v>18613</v>
      </c>
      <c r="T161" s="31">
        <v>152548</v>
      </c>
      <c r="U161" s="31">
        <v>11733</v>
      </c>
      <c r="V161" s="31">
        <v>164281</v>
      </c>
      <c r="W161" s="45">
        <f t="shared" si="61"/>
        <v>14.846904654315409</v>
      </c>
      <c r="X161" s="4">
        <f t="shared" si="62"/>
        <v>0.63686610137508293</v>
      </c>
      <c r="Y161" s="4">
        <f t="shared" si="63"/>
        <v>0.1784138153529623</v>
      </c>
      <c r="Z161" s="4">
        <f t="shared" si="64"/>
        <v>0.11329977295000639</v>
      </c>
      <c r="AA161" s="4">
        <f t="shared" si="65"/>
        <v>7.1420310321948371E-2</v>
      </c>
      <c r="AB161" s="31">
        <v>0</v>
      </c>
      <c r="AC161" s="31">
        <v>24810</v>
      </c>
      <c r="AD161" s="31">
        <v>148971</v>
      </c>
      <c r="AE161" s="31">
        <v>148971</v>
      </c>
      <c r="AF161" s="31">
        <v>0</v>
      </c>
      <c r="AG161" s="31">
        <v>138522</v>
      </c>
      <c r="AH161" s="31">
        <v>0</v>
      </c>
      <c r="AI161" s="31">
        <v>138522</v>
      </c>
      <c r="AJ161" s="45">
        <f t="shared" si="66"/>
        <v>12.518933574333484</v>
      </c>
      <c r="AK161" s="31">
        <v>0</v>
      </c>
      <c r="AL161" s="31">
        <v>0</v>
      </c>
      <c r="AM161" s="31">
        <v>0</v>
      </c>
      <c r="AN161" s="31">
        <v>0</v>
      </c>
      <c r="AO161" s="31">
        <v>4500</v>
      </c>
      <c r="AP161" s="31">
        <v>0</v>
      </c>
      <c r="AQ161" s="31">
        <v>4500</v>
      </c>
      <c r="AR161" s="31">
        <v>143022</v>
      </c>
      <c r="AS161" s="46">
        <f t="shared" si="67"/>
        <v>12.92562132851333</v>
      </c>
      <c r="AT161" s="31">
        <v>0</v>
      </c>
      <c r="AU161" s="31">
        <v>0</v>
      </c>
      <c r="AV161" s="31">
        <v>0</v>
      </c>
      <c r="AW161" s="31">
        <v>0</v>
      </c>
      <c r="AX161" s="31">
        <v>0</v>
      </c>
      <c r="AY161" s="31">
        <v>0</v>
      </c>
      <c r="AZ161" s="31">
        <v>0</v>
      </c>
      <c r="BA161" s="31">
        <v>0</v>
      </c>
      <c r="BB161" s="31">
        <v>0</v>
      </c>
      <c r="BC161" s="33" t="s">
        <v>25</v>
      </c>
      <c r="BD161" s="47">
        <v>19755</v>
      </c>
      <c r="BE161" s="47">
        <v>19936</v>
      </c>
      <c r="BF161" s="45">
        <f t="shared" si="68"/>
        <v>1.8017171260732039</v>
      </c>
      <c r="BG161" s="30">
        <v>775</v>
      </c>
      <c r="BH161" s="30">
        <v>786</v>
      </c>
      <c r="BI161" s="30">
        <v>1451</v>
      </c>
      <c r="BJ161" s="30">
        <v>2077</v>
      </c>
      <c r="BK161" s="30">
        <v>2085</v>
      </c>
      <c r="BL161" s="30">
        <v>43</v>
      </c>
      <c r="BM161" s="30">
        <v>9005</v>
      </c>
      <c r="BN161" s="30">
        <v>3</v>
      </c>
      <c r="BO161" s="30">
        <v>51</v>
      </c>
      <c r="BP161" s="30">
        <v>0</v>
      </c>
      <c r="BQ161" s="30">
        <v>54</v>
      </c>
      <c r="BR161" s="47">
        <v>22607</v>
      </c>
      <c r="BS161" s="47">
        <v>33309</v>
      </c>
      <c r="BT161" s="1">
        <f t="shared" si="69"/>
        <v>3.0103027564392226</v>
      </c>
      <c r="BU161" s="30">
        <v>25</v>
      </c>
      <c r="BV161" s="30">
        <v>7</v>
      </c>
      <c r="BW161" s="47">
        <v>1224</v>
      </c>
      <c r="BX161" s="52">
        <f t="shared" si="70"/>
        <v>0.11061906913691821</v>
      </c>
      <c r="BY161" s="47">
        <v>6772</v>
      </c>
      <c r="BZ161" s="47">
        <v>1097</v>
      </c>
      <c r="CA161" s="47">
        <v>28004</v>
      </c>
      <c r="CB161" s="47">
        <v>10499</v>
      </c>
      <c r="CC161" s="47">
        <v>46372</v>
      </c>
      <c r="CD161" s="55">
        <f t="shared" si="71"/>
        <v>4.1908721192950749</v>
      </c>
      <c r="CE161" s="3">
        <f t="shared" si="72"/>
        <v>13062.535211267606</v>
      </c>
      <c r="CF161" s="55">
        <f t="shared" si="73"/>
        <v>22.776031434184677</v>
      </c>
      <c r="CG161" s="55">
        <f t="shared" si="74"/>
        <v>2.1163799005065949</v>
      </c>
      <c r="CH161" s="55">
        <f t="shared" si="75"/>
        <v>1.0440421507700621</v>
      </c>
      <c r="CI161" s="30">
        <v>48</v>
      </c>
      <c r="CJ161" s="30">
        <v>4</v>
      </c>
      <c r="CK161" s="30">
        <v>2</v>
      </c>
      <c r="CL161" s="30">
        <v>54</v>
      </c>
      <c r="CM161" s="30">
        <v>940</v>
      </c>
      <c r="CN161" s="30">
        <v>88</v>
      </c>
      <c r="CO161" s="30">
        <v>320</v>
      </c>
      <c r="CP161" s="30">
        <v>1348</v>
      </c>
      <c r="CQ161" s="1">
        <f t="shared" si="83"/>
        <v>0.12182557614098509</v>
      </c>
      <c r="CR161" s="47">
        <v>21911</v>
      </c>
      <c r="CS161" s="55">
        <f t="shared" si="76"/>
        <v>1.9802078626299142</v>
      </c>
      <c r="CT161" s="59">
        <v>7624</v>
      </c>
      <c r="CU161" s="29" t="s">
        <v>25</v>
      </c>
      <c r="CV161" s="29" t="s">
        <v>25</v>
      </c>
      <c r="CW161" s="29" t="s">
        <v>25</v>
      </c>
      <c r="CX161" s="35">
        <v>0</v>
      </c>
      <c r="CY161" s="49">
        <v>0</v>
      </c>
      <c r="CZ161" s="35">
        <v>1</v>
      </c>
      <c r="DA161" s="35">
        <v>2.5499999999999998</v>
      </c>
      <c r="DB161" s="35">
        <v>3.55</v>
      </c>
      <c r="DC161" s="49">
        <f t="shared" si="77"/>
        <v>3116.9014084507044</v>
      </c>
      <c r="DD161" s="30">
        <v>537</v>
      </c>
      <c r="DE161" s="31">
        <v>27849</v>
      </c>
      <c r="DF161" s="35">
        <v>40</v>
      </c>
      <c r="DG161" s="29" t="s">
        <v>25</v>
      </c>
      <c r="DH161" s="29" t="s">
        <v>25</v>
      </c>
      <c r="DI161" s="29" t="s">
        <v>25</v>
      </c>
      <c r="DJ161" s="47">
        <v>0</v>
      </c>
      <c r="DK161" s="47">
        <v>0</v>
      </c>
      <c r="DL161" s="47">
        <v>12</v>
      </c>
      <c r="DM161" s="47">
        <v>6687</v>
      </c>
      <c r="DN161" s="47">
        <v>5</v>
      </c>
      <c r="DO161" s="47">
        <v>1918</v>
      </c>
      <c r="DP161" s="29" t="s">
        <v>2028</v>
      </c>
      <c r="DQ161" s="47">
        <v>0</v>
      </c>
      <c r="DR161" s="47">
        <v>2036</v>
      </c>
      <c r="DS161" s="30">
        <v>52</v>
      </c>
      <c r="DT161" s="30">
        <v>41</v>
      </c>
      <c r="DU161" s="30">
        <v>41</v>
      </c>
      <c r="DV161" s="30">
        <v>41</v>
      </c>
      <c r="DX161" s="2">
        <f t="shared" si="78"/>
        <v>2036</v>
      </c>
      <c r="DY161" s="33" t="s">
        <v>2182</v>
      </c>
      <c r="DZ161" s="33" t="s">
        <v>491</v>
      </c>
      <c r="EA161" s="33" t="s">
        <v>2031</v>
      </c>
      <c r="EB161" s="33" t="s">
        <v>2027</v>
      </c>
      <c r="EC161" s="36">
        <v>129</v>
      </c>
      <c r="ED161" s="29" t="s">
        <v>489</v>
      </c>
      <c r="EE161" s="29" t="s">
        <v>490</v>
      </c>
      <c r="EF161" s="37">
        <v>41548</v>
      </c>
      <c r="EG161" s="37">
        <v>41912</v>
      </c>
      <c r="EH161" s="29" t="s">
        <v>489</v>
      </c>
      <c r="EI161" s="55">
        <f t="shared" si="79"/>
        <v>0.61201988251242656</v>
      </c>
      <c r="EJ161" s="54">
        <f t="shared" si="80"/>
        <v>9.9141436963398097E-2</v>
      </c>
      <c r="EK161" s="55">
        <f t="shared" si="81"/>
        <v>2.530863081789426</v>
      </c>
      <c r="EL161" s="54">
        <f t="shared" si="82"/>
        <v>0.94884771802982382</v>
      </c>
    </row>
    <row r="162" spans="1:142" ht="28.8" x14ac:dyDescent="0.3">
      <c r="A162" s="29" t="s">
        <v>492</v>
      </c>
      <c r="B162" s="29"/>
      <c r="C162" s="30">
        <v>18711</v>
      </c>
      <c r="D162" s="30">
        <v>0</v>
      </c>
      <c r="E162" s="30">
        <v>0</v>
      </c>
      <c r="F162" s="30">
        <v>13000</v>
      </c>
      <c r="H162" s="2">
        <f t="shared" si="58"/>
        <v>13000</v>
      </c>
      <c r="I162" s="1">
        <f t="shared" si="57"/>
        <v>0.69477847255625036</v>
      </c>
      <c r="J162" s="31">
        <v>205330</v>
      </c>
      <c r="K162" s="31">
        <v>82373</v>
      </c>
      <c r="L162" s="31">
        <v>287703</v>
      </c>
      <c r="M162" s="45">
        <f t="shared" si="59"/>
        <v>15.376142376142376</v>
      </c>
      <c r="N162" s="31">
        <v>24441</v>
      </c>
      <c r="O162" s="31">
        <v>2500</v>
      </c>
      <c r="P162" s="31">
        <v>4149</v>
      </c>
      <c r="Q162" s="31">
        <v>31090</v>
      </c>
      <c r="R162" s="45">
        <f t="shared" si="60"/>
        <v>1.661589439367217</v>
      </c>
      <c r="S162" s="31">
        <v>95831</v>
      </c>
      <c r="T162" s="31">
        <v>414624</v>
      </c>
      <c r="U162" s="31">
        <v>0</v>
      </c>
      <c r="V162" s="31">
        <v>414624</v>
      </c>
      <c r="W162" s="45">
        <f t="shared" si="61"/>
        <v>22.159371492704825</v>
      </c>
      <c r="X162" s="4">
        <f t="shared" si="62"/>
        <v>0.69388892104653854</v>
      </c>
      <c r="Y162" s="4">
        <f t="shared" si="63"/>
        <v>7.4983599598672526E-2</v>
      </c>
      <c r="Z162" s="4">
        <f t="shared" si="64"/>
        <v>0.23112747935478892</v>
      </c>
      <c r="AA162" s="4">
        <f t="shared" si="65"/>
        <v>0</v>
      </c>
      <c r="AB162" s="31">
        <v>0</v>
      </c>
      <c r="AC162" s="31">
        <v>31090</v>
      </c>
      <c r="AD162" s="31">
        <v>414624</v>
      </c>
      <c r="AE162" s="31">
        <v>374862</v>
      </c>
      <c r="AF162" s="31">
        <v>374862</v>
      </c>
      <c r="AG162" s="31">
        <v>0</v>
      </c>
      <c r="AH162" s="31">
        <v>0</v>
      </c>
      <c r="AI162" s="31">
        <v>374862</v>
      </c>
      <c r="AJ162" s="45">
        <f t="shared" si="66"/>
        <v>20.034311367644701</v>
      </c>
      <c r="AK162" s="31">
        <v>0</v>
      </c>
      <c r="AL162" s="31">
        <v>0</v>
      </c>
      <c r="AM162" s="31">
        <v>0</v>
      </c>
      <c r="AN162" s="31">
        <v>0</v>
      </c>
      <c r="AO162" s="31">
        <v>0</v>
      </c>
      <c r="AP162" s="31">
        <v>41203</v>
      </c>
      <c r="AQ162" s="31">
        <v>41203</v>
      </c>
      <c r="AR162" s="31">
        <v>416065</v>
      </c>
      <c r="AS162" s="46">
        <f t="shared" si="67"/>
        <v>22.236385014162792</v>
      </c>
      <c r="AT162" s="31">
        <v>0</v>
      </c>
      <c r="AU162" s="31">
        <v>0</v>
      </c>
      <c r="AV162" s="31">
        <v>0</v>
      </c>
      <c r="AW162" s="31">
        <v>0</v>
      </c>
      <c r="AX162" s="31">
        <v>0</v>
      </c>
      <c r="AY162" s="31">
        <v>0</v>
      </c>
      <c r="AZ162" s="31">
        <v>0</v>
      </c>
      <c r="BA162" s="31">
        <v>0</v>
      </c>
      <c r="BB162" s="31">
        <v>0</v>
      </c>
      <c r="BC162" s="33" t="s">
        <v>25</v>
      </c>
      <c r="BD162" s="47">
        <v>29058</v>
      </c>
      <c r="BE162" s="47">
        <v>30952</v>
      </c>
      <c r="BF162" s="45">
        <f t="shared" si="68"/>
        <v>1.6542140986585432</v>
      </c>
      <c r="BG162" s="30">
        <v>812</v>
      </c>
      <c r="BH162" s="30">
        <v>832</v>
      </c>
      <c r="BI162" s="30">
        <v>1441</v>
      </c>
      <c r="BJ162" s="30">
        <v>993</v>
      </c>
      <c r="BK162" s="30">
        <v>1021</v>
      </c>
      <c r="BL162" s="30">
        <v>24</v>
      </c>
      <c r="BM162" s="30">
        <v>9034</v>
      </c>
      <c r="BN162" s="30">
        <v>0</v>
      </c>
      <c r="BO162" s="30">
        <v>51</v>
      </c>
      <c r="BP162" s="30">
        <v>0</v>
      </c>
      <c r="BQ162" s="30">
        <v>51</v>
      </c>
      <c r="BR162" s="47">
        <v>30863</v>
      </c>
      <c r="BS162" s="47">
        <v>43304</v>
      </c>
      <c r="BT162" s="1">
        <f t="shared" si="69"/>
        <v>2.3143605365827589</v>
      </c>
      <c r="BU162" s="30">
        <v>65</v>
      </c>
      <c r="BV162" s="30">
        <v>0</v>
      </c>
      <c r="BW162" s="47">
        <v>8596</v>
      </c>
      <c r="BX162" s="52">
        <f t="shared" si="70"/>
        <v>0.45940890385334832</v>
      </c>
      <c r="BY162" s="47">
        <v>32660</v>
      </c>
      <c r="BZ162" s="47">
        <v>127</v>
      </c>
      <c r="CA162" s="47">
        <v>40822</v>
      </c>
      <c r="CB162" s="47">
        <v>1990</v>
      </c>
      <c r="CC162" s="47">
        <v>75599</v>
      </c>
      <c r="CD162" s="55">
        <f t="shared" si="71"/>
        <v>4.0403505959061512</v>
      </c>
      <c r="CE162" s="3">
        <f t="shared" si="72"/>
        <v>13410.022172949002</v>
      </c>
      <c r="CF162" s="55">
        <f t="shared" si="73"/>
        <v>32.684392563769997</v>
      </c>
      <c r="CG162" s="55">
        <f t="shared" si="74"/>
        <v>0.94310129740518966</v>
      </c>
      <c r="CH162" s="55">
        <f t="shared" si="75"/>
        <v>1.6968871235913541</v>
      </c>
      <c r="CI162" s="30">
        <v>316</v>
      </c>
      <c r="CJ162" s="30">
        <v>12</v>
      </c>
      <c r="CK162" s="30">
        <v>62</v>
      </c>
      <c r="CL162" s="30">
        <v>390</v>
      </c>
      <c r="CM162" s="30">
        <v>9838</v>
      </c>
      <c r="CN162" s="30">
        <v>114</v>
      </c>
      <c r="CO162" s="30">
        <v>104</v>
      </c>
      <c r="CP162" s="30">
        <v>10056</v>
      </c>
      <c r="CQ162" s="1">
        <f t="shared" si="83"/>
        <v>0.53743787077120408</v>
      </c>
      <c r="CR162" s="47">
        <v>80160</v>
      </c>
      <c r="CS162" s="55">
        <f t="shared" si="76"/>
        <v>4.2841109507776176</v>
      </c>
      <c r="CT162" s="59">
        <v>10716</v>
      </c>
      <c r="CU162" s="29" t="s">
        <v>25</v>
      </c>
      <c r="CV162" s="29" t="s">
        <v>25</v>
      </c>
      <c r="CW162" s="29" t="s">
        <v>25</v>
      </c>
      <c r="CX162" s="35">
        <v>2</v>
      </c>
      <c r="CY162" s="49">
        <f>C162/CX162</f>
        <v>9355.5</v>
      </c>
      <c r="CZ162" s="35">
        <v>2</v>
      </c>
      <c r="DA162" s="35">
        <v>1.6375</v>
      </c>
      <c r="DB162" s="35">
        <v>5.6375000000000002</v>
      </c>
      <c r="DC162" s="49">
        <f t="shared" si="77"/>
        <v>3319.0243902439024</v>
      </c>
      <c r="DD162" s="30">
        <v>2206</v>
      </c>
      <c r="DE162" s="31">
        <v>64136</v>
      </c>
      <c r="DF162" s="35">
        <v>40</v>
      </c>
      <c r="DG162" s="29" t="s">
        <v>25</v>
      </c>
      <c r="DH162" s="29" t="s">
        <v>25</v>
      </c>
      <c r="DI162" s="29" t="s">
        <v>25</v>
      </c>
      <c r="DJ162" s="47">
        <v>1023</v>
      </c>
      <c r="DK162" s="47">
        <v>145</v>
      </c>
      <c r="DL162" s="47">
        <v>15</v>
      </c>
      <c r="DM162" s="47">
        <v>17055</v>
      </c>
      <c r="DN162" s="47">
        <v>689</v>
      </c>
      <c r="DO162" s="47">
        <v>1820</v>
      </c>
      <c r="DP162" s="29" t="s">
        <v>25</v>
      </c>
      <c r="DQ162" s="47">
        <v>15114</v>
      </c>
      <c r="DR162" s="47">
        <v>2313</v>
      </c>
      <c r="DS162" s="30">
        <v>52</v>
      </c>
      <c r="DT162" s="30">
        <v>46</v>
      </c>
      <c r="DU162" s="30">
        <v>46</v>
      </c>
      <c r="DV162" s="30">
        <v>46</v>
      </c>
      <c r="DX162" s="2">
        <f t="shared" si="78"/>
        <v>2313</v>
      </c>
      <c r="DY162" s="33" t="s">
        <v>2182</v>
      </c>
      <c r="DZ162" s="33" t="s">
        <v>495</v>
      </c>
      <c r="EA162" s="33" t="s">
        <v>2030</v>
      </c>
      <c r="EB162" s="33" t="s">
        <v>2027</v>
      </c>
      <c r="EC162" s="36">
        <v>130</v>
      </c>
      <c r="ED162" s="29" t="s">
        <v>493</v>
      </c>
      <c r="EE162" s="29" t="s">
        <v>494</v>
      </c>
      <c r="EF162" s="37">
        <v>41548</v>
      </c>
      <c r="EG162" s="37">
        <v>41912</v>
      </c>
      <c r="EH162" s="29" t="s">
        <v>493</v>
      </c>
      <c r="EI162" s="55">
        <f t="shared" si="79"/>
        <v>1.7454973010528565</v>
      </c>
      <c r="EJ162" s="54">
        <f t="shared" si="80"/>
        <v>6.7874512318956762E-3</v>
      </c>
      <c r="EK162" s="55">
        <f t="shared" si="81"/>
        <v>2.1817112928224041</v>
      </c>
      <c r="EL162" s="54">
        <f t="shared" si="82"/>
        <v>0.10635455079899524</v>
      </c>
    </row>
    <row r="163" spans="1:142" ht="28.8" x14ac:dyDescent="0.3">
      <c r="A163" s="29" t="s">
        <v>496</v>
      </c>
      <c r="B163" s="29"/>
      <c r="C163" s="30">
        <v>53224</v>
      </c>
      <c r="D163" s="30">
        <v>0</v>
      </c>
      <c r="E163" s="30">
        <v>0</v>
      </c>
      <c r="F163" s="30">
        <v>40000</v>
      </c>
      <c r="H163" s="2">
        <f t="shared" si="58"/>
        <v>40000</v>
      </c>
      <c r="I163" s="1">
        <f t="shared" si="57"/>
        <v>0.7515406583496167</v>
      </c>
      <c r="J163" s="31">
        <v>1057458</v>
      </c>
      <c r="K163" s="31">
        <v>307859</v>
      </c>
      <c r="L163" s="31">
        <v>1365317</v>
      </c>
      <c r="M163" s="45">
        <f t="shared" si="59"/>
        <v>25.65228092589809</v>
      </c>
      <c r="N163" s="31">
        <v>156844</v>
      </c>
      <c r="O163" s="31">
        <v>44285</v>
      </c>
      <c r="P163" s="31">
        <v>52949</v>
      </c>
      <c r="Q163" s="31">
        <v>254078</v>
      </c>
      <c r="R163" s="45">
        <f t="shared" si="60"/>
        <v>4.7737486848038477</v>
      </c>
      <c r="S163" s="31">
        <v>54306</v>
      </c>
      <c r="T163" s="31">
        <v>1673701</v>
      </c>
      <c r="U163" s="31">
        <v>0</v>
      </c>
      <c r="V163" s="31">
        <v>1673701</v>
      </c>
      <c r="W163" s="45">
        <f t="shared" si="61"/>
        <v>31.446358785510295</v>
      </c>
      <c r="X163" s="4">
        <f t="shared" si="62"/>
        <v>0.81574725712657159</v>
      </c>
      <c r="Y163" s="4">
        <f t="shared" si="63"/>
        <v>0.15180608722824449</v>
      </c>
      <c r="Z163" s="4">
        <f t="shared" si="64"/>
        <v>3.2446655645183939E-2</v>
      </c>
      <c r="AA163" s="4">
        <f t="shared" si="65"/>
        <v>0</v>
      </c>
      <c r="AB163" s="31">
        <v>25511</v>
      </c>
      <c r="AC163" s="31">
        <v>254078</v>
      </c>
      <c r="AD163" s="31">
        <v>1673701</v>
      </c>
      <c r="AE163" s="31">
        <v>1673701</v>
      </c>
      <c r="AF163" s="31">
        <v>1673701</v>
      </c>
      <c r="AG163" s="31">
        <v>0</v>
      </c>
      <c r="AH163" s="31">
        <v>0</v>
      </c>
      <c r="AI163" s="31">
        <v>1673701</v>
      </c>
      <c r="AJ163" s="45">
        <f t="shared" si="66"/>
        <v>31.446358785510295</v>
      </c>
      <c r="AK163" s="31">
        <v>0</v>
      </c>
      <c r="AL163" s="31">
        <v>0</v>
      </c>
      <c r="AM163" s="31">
        <v>0</v>
      </c>
      <c r="AN163" s="31">
        <v>0</v>
      </c>
      <c r="AO163" s="31">
        <v>2886</v>
      </c>
      <c r="AP163" s="31">
        <v>0</v>
      </c>
      <c r="AQ163" s="31">
        <v>2886</v>
      </c>
      <c r="AR163" s="31">
        <v>1676587</v>
      </c>
      <c r="AS163" s="46">
        <f t="shared" si="67"/>
        <v>31.50058244401022</v>
      </c>
      <c r="AT163" s="31">
        <v>25511</v>
      </c>
      <c r="AU163" s="31">
        <v>0</v>
      </c>
      <c r="AV163" s="31">
        <v>0</v>
      </c>
      <c r="AW163" s="31">
        <v>0</v>
      </c>
      <c r="AX163" s="31">
        <v>0</v>
      </c>
      <c r="AY163" s="31">
        <v>0</v>
      </c>
      <c r="AZ163" s="31">
        <v>0</v>
      </c>
      <c r="BA163" s="31">
        <v>0</v>
      </c>
      <c r="BB163" s="31">
        <v>25511</v>
      </c>
      <c r="BC163" s="33" t="s">
        <v>25</v>
      </c>
      <c r="BD163" s="47">
        <v>84267</v>
      </c>
      <c r="BE163" s="47">
        <v>89526</v>
      </c>
      <c r="BF163" s="45">
        <f t="shared" si="68"/>
        <v>1.6820607244851946</v>
      </c>
      <c r="BG163" s="30">
        <v>10806</v>
      </c>
      <c r="BH163" s="30">
        <v>11080</v>
      </c>
      <c r="BI163" s="30">
        <v>3281</v>
      </c>
      <c r="BJ163" s="30">
        <v>8150</v>
      </c>
      <c r="BK163" s="30">
        <v>8927</v>
      </c>
      <c r="BL163" s="30">
        <v>0</v>
      </c>
      <c r="BM163" s="30">
        <v>1783</v>
      </c>
      <c r="BN163" s="30">
        <v>7</v>
      </c>
      <c r="BO163" s="30">
        <v>51</v>
      </c>
      <c r="BP163" s="30">
        <v>0</v>
      </c>
      <c r="BQ163" s="30">
        <v>58</v>
      </c>
      <c r="BR163" s="47">
        <v>103223</v>
      </c>
      <c r="BS163" s="47">
        <v>114604</v>
      </c>
      <c r="BT163" s="1">
        <f t="shared" si="69"/>
        <v>2.1532391402374866</v>
      </c>
      <c r="BU163" s="30">
        <v>156</v>
      </c>
      <c r="BV163" s="30">
        <v>1</v>
      </c>
      <c r="BW163" s="47">
        <v>47123</v>
      </c>
      <c r="BX163" s="52">
        <f t="shared" si="70"/>
        <v>0.88537126108522468</v>
      </c>
      <c r="BY163" s="47">
        <v>248717</v>
      </c>
      <c r="BZ163" s="47">
        <v>15045</v>
      </c>
      <c r="CA163" s="47">
        <v>293901</v>
      </c>
      <c r="CB163" s="47">
        <v>13285</v>
      </c>
      <c r="CC163" s="47">
        <v>570948</v>
      </c>
      <c r="CD163" s="55">
        <f t="shared" si="71"/>
        <v>10.727265895084924</v>
      </c>
      <c r="CE163" s="3">
        <f t="shared" si="72"/>
        <v>24295.659574468085</v>
      </c>
      <c r="CF163" s="55">
        <f t="shared" si="73"/>
        <v>194.26607689690371</v>
      </c>
      <c r="CG163" s="55">
        <f t="shared" si="74"/>
        <v>2.5935795111270608</v>
      </c>
      <c r="CH163" s="55">
        <f t="shared" si="75"/>
        <v>4.7347213011762239</v>
      </c>
      <c r="CI163" s="30">
        <v>439</v>
      </c>
      <c r="CJ163" s="30">
        <v>53</v>
      </c>
      <c r="CK163" s="30">
        <v>284</v>
      </c>
      <c r="CL163" s="30">
        <v>776</v>
      </c>
      <c r="CM163" s="30">
        <v>17603</v>
      </c>
      <c r="CN163" s="30">
        <v>468</v>
      </c>
      <c r="CO163" s="30">
        <v>2769</v>
      </c>
      <c r="CP163" s="30">
        <v>20840</v>
      </c>
      <c r="CQ163" s="1">
        <f t="shared" si="83"/>
        <v>0.39155268300015028</v>
      </c>
      <c r="CR163" s="47">
        <v>220139</v>
      </c>
      <c r="CS163" s="55">
        <f t="shared" si="76"/>
        <v>4.1360852247106568</v>
      </c>
      <c r="CT163" s="59">
        <v>37190</v>
      </c>
      <c r="CU163" s="29" t="s">
        <v>25</v>
      </c>
      <c r="CV163" s="29" t="s">
        <v>25</v>
      </c>
      <c r="CW163" s="29" t="s">
        <v>25</v>
      </c>
      <c r="CX163" s="35">
        <v>5</v>
      </c>
      <c r="CY163" s="49">
        <f>C163/CX163</f>
        <v>10644.8</v>
      </c>
      <c r="CZ163" s="35">
        <v>0</v>
      </c>
      <c r="DA163" s="35">
        <v>18.5</v>
      </c>
      <c r="DB163" s="35">
        <v>23.5</v>
      </c>
      <c r="DC163" s="49">
        <f t="shared" si="77"/>
        <v>2264.8510638297871</v>
      </c>
      <c r="DD163" s="30">
        <v>963</v>
      </c>
      <c r="DE163" s="31">
        <v>88795</v>
      </c>
      <c r="DF163" s="35">
        <v>40</v>
      </c>
      <c r="DG163" s="29" t="s">
        <v>25</v>
      </c>
      <c r="DH163" s="29" t="s">
        <v>25</v>
      </c>
      <c r="DI163" s="29" t="s">
        <v>25</v>
      </c>
      <c r="DJ163" s="47">
        <v>560</v>
      </c>
      <c r="DK163" s="47">
        <v>704</v>
      </c>
      <c r="DL163" s="47">
        <v>51</v>
      </c>
      <c r="DM163" s="47">
        <v>75876</v>
      </c>
      <c r="DN163" s="47">
        <v>16231</v>
      </c>
      <c r="DO163" s="47">
        <v>146328</v>
      </c>
      <c r="DP163" s="29" t="s">
        <v>25</v>
      </c>
      <c r="DQ163" s="47">
        <v>92086</v>
      </c>
      <c r="DR163" s="47">
        <v>2939</v>
      </c>
      <c r="DS163" s="30">
        <v>52</v>
      </c>
      <c r="DT163" s="30">
        <v>55</v>
      </c>
      <c r="DU163" s="30">
        <v>55</v>
      </c>
      <c r="DV163" s="30">
        <v>55</v>
      </c>
      <c r="DX163" s="2">
        <f t="shared" si="78"/>
        <v>2939</v>
      </c>
      <c r="DY163" s="33" t="s">
        <v>2181</v>
      </c>
      <c r="DZ163" s="33" t="s">
        <v>499</v>
      </c>
      <c r="EA163" s="33" t="s">
        <v>2030</v>
      </c>
      <c r="EB163" s="33" t="s">
        <v>2027</v>
      </c>
      <c r="EC163" s="36">
        <v>131</v>
      </c>
      <c r="ED163" s="29" t="s">
        <v>497</v>
      </c>
      <c r="EE163" s="29" t="s">
        <v>91</v>
      </c>
      <c r="EF163" s="37">
        <v>41548</v>
      </c>
      <c r="EG163" s="37">
        <v>41912</v>
      </c>
      <c r="EH163" s="29" t="s">
        <v>497</v>
      </c>
      <c r="EI163" s="55">
        <f t="shared" si="79"/>
        <v>4.6730234480685402</v>
      </c>
      <c r="EJ163" s="54">
        <f t="shared" si="80"/>
        <v>0.28267323012174961</v>
      </c>
      <c r="EK163" s="55">
        <f t="shared" si="81"/>
        <v>5.521963775740268</v>
      </c>
      <c r="EL163" s="54">
        <f t="shared" si="82"/>
        <v>0.24960544115436645</v>
      </c>
    </row>
    <row r="164" spans="1:142" ht="28.8" x14ac:dyDescent="0.3">
      <c r="A164" s="29" t="s">
        <v>1514</v>
      </c>
      <c r="B164" s="29"/>
      <c r="C164" s="30">
        <v>6269</v>
      </c>
      <c r="D164" s="30">
        <v>0</v>
      </c>
      <c r="E164" s="30">
        <v>0</v>
      </c>
      <c r="F164" s="30">
        <v>4500</v>
      </c>
      <c r="H164" s="2">
        <f t="shared" si="58"/>
        <v>4500</v>
      </c>
      <c r="I164" s="1">
        <f t="shared" si="57"/>
        <v>0.71781783378529274</v>
      </c>
      <c r="J164" s="31">
        <v>77280</v>
      </c>
      <c r="K164" s="31">
        <v>13152</v>
      </c>
      <c r="L164" s="31">
        <v>90432</v>
      </c>
      <c r="M164" s="45">
        <f t="shared" si="59"/>
        <v>14.425267187749242</v>
      </c>
      <c r="N164" s="31">
        <v>1808</v>
      </c>
      <c r="O164" s="31">
        <v>0</v>
      </c>
      <c r="P164" s="31">
        <v>0</v>
      </c>
      <c r="Q164" s="31">
        <v>1808</v>
      </c>
      <c r="R164" s="45">
        <f t="shared" si="60"/>
        <v>0.28840325410751316</v>
      </c>
      <c r="S164" s="31">
        <v>15170</v>
      </c>
      <c r="T164" s="31">
        <v>107410</v>
      </c>
      <c r="U164" s="31">
        <v>0</v>
      </c>
      <c r="V164" s="31">
        <v>107410</v>
      </c>
      <c r="W164" s="45">
        <f t="shared" si="61"/>
        <v>17.133514117084065</v>
      </c>
      <c r="X164" s="4">
        <f t="shared" si="62"/>
        <v>0.84193278093287405</v>
      </c>
      <c r="Y164" s="4">
        <f t="shared" si="63"/>
        <v>1.683269714179313E-2</v>
      </c>
      <c r="Z164" s="4">
        <f t="shared" si="64"/>
        <v>0.14123452192533284</v>
      </c>
      <c r="AA164" s="4">
        <f t="shared" si="65"/>
        <v>0</v>
      </c>
      <c r="AB164" s="31">
        <v>0</v>
      </c>
      <c r="AC164" s="31">
        <v>1808</v>
      </c>
      <c r="AD164" s="31">
        <v>107410</v>
      </c>
      <c r="AE164" s="31">
        <v>107410</v>
      </c>
      <c r="AF164" s="31">
        <v>108602</v>
      </c>
      <c r="AG164" s="31">
        <v>0</v>
      </c>
      <c r="AH164" s="31">
        <v>0</v>
      </c>
      <c r="AI164" s="31">
        <v>108602</v>
      </c>
      <c r="AJ164" s="45">
        <f t="shared" si="66"/>
        <v>17.32365608550008</v>
      </c>
      <c r="AK164" s="31">
        <v>0</v>
      </c>
      <c r="AL164" s="31">
        <v>0</v>
      </c>
      <c r="AM164" s="31">
        <v>0</v>
      </c>
      <c r="AN164" s="31">
        <v>0</v>
      </c>
      <c r="AO164" s="31">
        <v>0</v>
      </c>
      <c r="AP164" s="31">
        <v>0</v>
      </c>
      <c r="AQ164" s="31">
        <v>0</v>
      </c>
      <c r="AR164" s="31">
        <v>108602</v>
      </c>
      <c r="AS164" s="46">
        <f t="shared" si="67"/>
        <v>17.32365608550008</v>
      </c>
      <c r="AT164" s="31">
        <v>0</v>
      </c>
      <c r="AU164" s="31">
        <v>0</v>
      </c>
      <c r="AV164" s="31">
        <v>0</v>
      </c>
      <c r="AW164" s="31">
        <v>0</v>
      </c>
      <c r="AX164" s="31">
        <v>0</v>
      </c>
      <c r="AY164" s="31">
        <v>0</v>
      </c>
      <c r="AZ164" s="31">
        <v>0</v>
      </c>
      <c r="BA164" s="31">
        <v>0</v>
      </c>
      <c r="BB164" s="31">
        <v>0</v>
      </c>
      <c r="BC164" s="33" t="s">
        <v>25</v>
      </c>
      <c r="BD164" s="47">
        <v>53832</v>
      </c>
      <c r="BE164" s="47">
        <v>53869</v>
      </c>
      <c r="BF164" s="45">
        <f t="shared" si="68"/>
        <v>8.5929175307066519</v>
      </c>
      <c r="BG164" s="30">
        <v>1512</v>
      </c>
      <c r="BH164" s="30">
        <v>1512</v>
      </c>
      <c r="BI164" s="30">
        <v>0</v>
      </c>
      <c r="BJ164" s="30">
        <v>2714</v>
      </c>
      <c r="BK164" s="30">
        <v>2775</v>
      </c>
      <c r="BL164" s="30">
        <v>0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47">
        <v>58058</v>
      </c>
      <c r="BS164" s="47">
        <v>58156</v>
      </c>
      <c r="BT164" s="1">
        <f t="shared" si="69"/>
        <v>9.2767586536927737</v>
      </c>
      <c r="BU164" s="30">
        <v>7</v>
      </c>
      <c r="BV164" s="30">
        <v>0</v>
      </c>
      <c r="BW164" s="47">
        <v>32125</v>
      </c>
      <c r="BX164" s="52">
        <f t="shared" si="70"/>
        <v>5.1244217578561173</v>
      </c>
      <c r="BY164" s="47">
        <v>5198</v>
      </c>
      <c r="BZ164" s="47">
        <v>0</v>
      </c>
      <c r="CA164" s="47">
        <v>6960</v>
      </c>
      <c r="CB164" s="47">
        <v>0</v>
      </c>
      <c r="CC164" s="47">
        <v>12158</v>
      </c>
      <c r="CD164" s="55">
        <f t="shared" si="71"/>
        <v>1.9393842718136864</v>
      </c>
      <c r="CE164" s="3">
        <f t="shared" si="72"/>
        <v>3303.804347826087</v>
      </c>
      <c r="CF164" s="55">
        <f t="shared" si="73"/>
        <v>6.9474285714285715</v>
      </c>
      <c r="CG164" s="55">
        <f t="shared" si="74"/>
        <v>0.51835429545939027</v>
      </c>
      <c r="CH164" s="55">
        <f t="shared" si="75"/>
        <v>0.20905839466263154</v>
      </c>
      <c r="CI164" s="30">
        <v>6</v>
      </c>
      <c r="CJ164" s="30">
        <v>3</v>
      </c>
      <c r="CK164" s="30">
        <v>3</v>
      </c>
      <c r="CL164" s="30">
        <v>12</v>
      </c>
      <c r="CM164" s="30">
        <v>775</v>
      </c>
      <c r="CN164" s="30">
        <v>196</v>
      </c>
      <c r="CO164" s="30">
        <v>195</v>
      </c>
      <c r="CP164" s="30">
        <v>1166</v>
      </c>
      <c r="CQ164" s="1">
        <f t="shared" si="83"/>
        <v>0.18599457648747808</v>
      </c>
      <c r="CR164" s="47">
        <v>23455</v>
      </c>
      <c r="CS164" s="55">
        <f t="shared" si="76"/>
        <v>3.7414260647631199</v>
      </c>
      <c r="CT164" s="59">
        <v>16807</v>
      </c>
      <c r="CU164" s="29" t="s">
        <v>25</v>
      </c>
      <c r="CV164" s="29" t="s">
        <v>25</v>
      </c>
      <c r="CW164" s="29" t="s">
        <v>25</v>
      </c>
      <c r="CX164" s="35">
        <v>0</v>
      </c>
      <c r="CY164" s="49">
        <v>0</v>
      </c>
      <c r="CZ164" s="35">
        <v>0.75</v>
      </c>
      <c r="DA164" s="35">
        <v>2.93</v>
      </c>
      <c r="DB164" s="35">
        <v>3.68</v>
      </c>
      <c r="DC164" s="49">
        <f t="shared" si="77"/>
        <v>1703.532608695652</v>
      </c>
      <c r="DD164" s="30">
        <v>672</v>
      </c>
      <c r="DE164" s="31">
        <v>16380</v>
      </c>
      <c r="DF164" s="35">
        <v>30</v>
      </c>
      <c r="DG164" s="29" t="s">
        <v>25</v>
      </c>
      <c r="DH164" s="29" t="s">
        <v>26</v>
      </c>
      <c r="DI164" s="29" t="s">
        <v>26</v>
      </c>
      <c r="DJ164" s="47">
        <v>7</v>
      </c>
      <c r="DK164" s="47">
        <v>0</v>
      </c>
      <c r="DL164" s="47">
        <v>11</v>
      </c>
      <c r="DM164" s="47">
        <v>10376</v>
      </c>
      <c r="DN164" s="47">
        <v>18</v>
      </c>
      <c r="DO164" s="47">
        <v>0</v>
      </c>
      <c r="DP164" s="29" t="s">
        <v>2028</v>
      </c>
      <c r="DQ164" s="47">
        <v>0</v>
      </c>
      <c r="DR164" s="47">
        <v>1750</v>
      </c>
      <c r="DS164" s="30">
        <v>50</v>
      </c>
      <c r="DT164" s="30">
        <v>34</v>
      </c>
      <c r="DU164" s="30">
        <v>34</v>
      </c>
      <c r="DV164" s="30">
        <v>37</v>
      </c>
      <c r="DX164" s="2">
        <f t="shared" si="78"/>
        <v>1750</v>
      </c>
      <c r="DY164" s="33" t="s">
        <v>2181</v>
      </c>
      <c r="DZ164" s="33" t="s">
        <v>1516</v>
      </c>
      <c r="EA164" s="33" t="s">
        <v>2030</v>
      </c>
      <c r="EB164" s="33" t="s">
        <v>2027</v>
      </c>
      <c r="EC164" s="36">
        <v>486</v>
      </c>
      <c r="ED164" s="29" t="s">
        <v>1515</v>
      </c>
      <c r="EE164" s="29" t="s">
        <v>91</v>
      </c>
      <c r="EF164" s="37">
        <v>41548</v>
      </c>
      <c r="EG164" s="37">
        <v>41912</v>
      </c>
      <c r="EH164" s="29" t="s">
        <v>1515</v>
      </c>
      <c r="EI164" s="55">
        <f t="shared" si="79"/>
        <v>0.82915935555910036</v>
      </c>
      <c r="EJ164" s="54">
        <f t="shared" si="80"/>
        <v>0</v>
      </c>
      <c r="EK164" s="55">
        <f t="shared" si="81"/>
        <v>1.1102249162545861</v>
      </c>
      <c r="EL164" s="54">
        <f t="shared" si="82"/>
        <v>0</v>
      </c>
    </row>
    <row r="165" spans="1:142" ht="28.8" x14ac:dyDescent="0.3">
      <c r="A165" s="29" t="s">
        <v>2</v>
      </c>
      <c r="B165" s="29"/>
      <c r="C165" s="30">
        <v>8800</v>
      </c>
      <c r="D165" s="30">
        <v>0</v>
      </c>
      <c r="E165" s="30">
        <v>0</v>
      </c>
      <c r="F165" s="30">
        <v>5310</v>
      </c>
      <c r="H165" s="2">
        <f t="shared" si="58"/>
        <v>5310</v>
      </c>
      <c r="I165" s="1">
        <f t="shared" si="57"/>
        <v>0.60340909090909089</v>
      </c>
      <c r="J165" s="31">
        <v>31926</v>
      </c>
      <c r="K165" s="31">
        <v>5724</v>
      </c>
      <c r="L165" s="31">
        <v>37650</v>
      </c>
      <c r="M165" s="45">
        <f t="shared" si="59"/>
        <v>4.2784090909090908</v>
      </c>
      <c r="N165" s="31">
        <v>4800</v>
      </c>
      <c r="O165" s="31">
        <v>105</v>
      </c>
      <c r="P165" s="31">
        <v>0</v>
      </c>
      <c r="Q165" s="31">
        <v>4905</v>
      </c>
      <c r="R165" s="45">
        <f t="shared" si="60"/>
        <v>0.55738636363636362</v>
      </c>
      <c r="S165" s="31">
        <v>26189</v>
      </c>
      <c r="T165" s="31">
        <v>68744</v>
      </c>
      <c r="U165" s="31">
        <v>0</v>
      </c>
      <c r="V165" s="31">
        <v>68744</v>
      </c>
      <c r="W165" s="45">
        <f t="shared" si="61"/>
        <v>7.8118181818181816</v>
      </c>
      <c r="X165" s="4">
        <f t="shared" si="62"/>
        <v>0.5476841615268242</v>
      </c>
      <c r="Y165" s="4">
        <f t="shared" si="63"/>
        <v>7.1351681601303382E-2</v>
      </c>
      <c r="Z165" s="4">
        <f t="shared" si="64"/>
        <v>0.38096415687187246</v>
      </c>
      <c r="AA165" s="4">
        <f t="shared" si="65"/>
        <v>0</v>
      </c>
      <c r="AB165" s="31">
        <v>0</v>
      </c>
      <c r="AC165" s="31">
        <v>4905</v>
      </c>
      <c r="AD165" s="31">
        <v>68744</v>
      </c>
      <c r="AE165" s="31">
        <v>56500</v>
      </c>
      <c r="AF165" s="31">
        <v>44000</v>
      </c>
      <c r="AG165" s="31">
        <v>12500</v>
      </c>
      <c r="AH165" s="31">
        <v>0</v>
      </c>
      <c r="AI165" s="31">
        <v>56500</v>
      </c>
      <c r="AJ165" s="45">
        <f t="shared" si="66"/>
        <v>6.4204545454545459</v>
      </c>
      <c r="AK165" s="31">
        <v>0</v>
      </c>
      <c r="AL165" s="31">
        <v>0</v>
      </c>
      <c r="AM165" s="31">
        <v>0</v>
      </c>
      <c r="AN165" s="31">
        <v>0</v>
      </c>
      <c r="AO165" s="31">
        <v>9738</v>
      </c>
      <c r="AP165" s="31">
        <v>12404</v>
      </c>
      <c r="AQ165" s="31">
        <v>22142</v>
      </c>
      <c r="AR165" s="31">
        <v>78642</v>
      </c>
      <c r="AS165" s="46">
        <f t="shared" si="67"/>
        <v>8.9365909090909099</v>
      </c>
      <c r="AT165" s="31">
        <v>0</v>
      </c>
      <c r="AU165" s="31">
        <v>0</v>
      </c>
      <c r="AV165" s="31">
        <v>0</v>
      </c>
      <c r="AW165" s="31">
        <v>0</v>
      </c>
      <c r="AX165" s="31">
        <v>0</v>
      </c>
      <c r="AY165" s="31">
        <v>0</v>
      </c>
      <c r="AZ165" s="31">
        <v>0</v>
      </c>
      <c r="BA165" s="31">
        <v>0</v>
      </c>
      <c r="BB165" s="31">
        <v>0</v>
      </c>
      <c r="BC165" s="33" t="s">
        <v>25</v>
      </c>
      <c r="BD165" s="47">
        <v>26374</v>
      </c>
      <c r="BE165" s="47">
        <v>26975</v>
      </c>
      <c r="BF165" s="45">
        <f t="shared" si="68"/>
        <v>3.0653409090909092</v>
      </c>
      <c r="BG165" s="30">
        <v>775</v>
      </c>
      <c r="BH165" s="30">
        <v>796</v>
      </c>
      <c r="BI165" s="30">
        <v>0</v>
      </c>
      <c r="BJ165" s="30">
        <v>707</v>
      </c>
      <c r="BK165" s="30">
        <v>708</v>
      </c>
      <c r="BL165" s="30">
        <v>0</v>
      </c>
      <c r="BM165" s="30">
        <v>0</v>
      </c>
      <c r="BN165" s="30">
        <v>0</v>
      </c>
      <c r="BO165" s="30">
        <v>51</v>
      </c>
      <c r="BP165" s="30">
        <v>0</v>
      </c>
      <c r="BQ165" s="30">
        <v>51</v>
      </c>
      <c r="BR165" s="47">
        <v>27856</v>
      </c>
      <c r="BS165" s="47">
        <v>28479</v>
      </c>
      <c r="BT165" s="1">
        <f t="shared" si="69"/>
        <v>3.2362500000000001</v>
      </c>
      <c r="BU165" s="30">
        <v>23</v>
      </c>
      <c r="BV165" s="30">
        <v>0</v>
      </c>
      <c r="BW165" s="47">
        <v>2452</v>
      </c>
      <c r="BX165" s="52">
        <f t="shared" si="70"/>
        <v>0.27863636363636363</v>
      </c>
      <c r="BY165" s="47">
        <v>1743</v>
      </c>
      <c r="BZ165" s="47">
        <v>0</v>
      </c>
      <c r="CA165" s="47">
        <v>5853</v>
      </c>
      <c r="CB165" s="47">
        <v>0</v>
      </c>
      <c r="CC165" s="47">
        <v>7596</v>
      </c>
      <c r="CD165" s="55">
        <f t="shared" si="71"/>
        <v>0.86318181818181816</v>
      </c>
      <c r="CE165" s="3">
        <f t="shared" si="72"/>
        <v>4747.5</v>
      </c>
      <c r="CF165" s="55">
        <f t="shared" si="73"/>
        <v>4.7954545454545459</v>
      </c>
      <c r="CG165" s="55">
        <f t="shared" si="74"/>
        <v>0.74514420247204238</v>
      </c>
      <c r="CH165" s="55">
        <f t="shared" si="75"/>
        <v>0.26672284841462129</v>
      </c>
      <c r="CI165" s="30">
        <v>36</v>
      </c>
      <c r="CJ165" s="30">
        <v>0</v>
      </c>
      <c r="CK165" s="30">
        <v>44</v>
      </c>
      <c r="CL165" s="30">
        <v>80</v>
      </c>
      <c r="CM165" s="30">
        <v>576</v>
      </c>
      <c r="CN165" s="30">
        <v>0</v>
      </c>
      <c r="CO165" s="30">
        <v>412</v>
      </c>
      <c r="CP165" s="30">
        <v>988</v>
      </c>
      <c r="CQ165" s="1">
        <f t="shared" si="83"/>
        <v>0.11227272727272727</v>
      </c>
      <c r="CR165" s="47">
        <v>10194</v>
      </c>
      <c r="CS165" s="55">
        <f t="shared" si="76"/>
        <v>1.1584090909090909</v>
      </c>
      <c r="CT165" s="59">
        <v>2500</v>
      </c>
      <c r="CU165" s="29" t="s">
        <v>25</v>
      </c>
      <c r="CV165" s="29" t="s">
        <v>25</v>
      </c>
      <c r="CW165" s="29" t="s">
        <v>25</v>
      </c>
      <c r="CX165" s="35">
        <v>0</v>
      </c>
      <c r="CY165" s="49">
        <v>0</v>
      </c>
      <c r="CZ165" s="35">
        <v>0.8</v>
      </c>
      <c r="DA165" s="35">
        <v>0.8</v>
      </c>
      <c r="DB165" s="35">
        <v>1.6</v>
      </c>
      <c r="DC165" s="49">
        <f t="shared" si="77"/>
        <v>5500</v>
      </c>
      <c r="DD165" s="30">
        <v>1074</v>
      </c>
      <c r="DE165" s="31">
        <v>21444</v>
      </c>
      <c r="DF165" s="35">
        <v>32</v>
      </c>
      <c r="DG165" s="29" t="s">
        <v>25</v>
      </c>
      <c r="DH165" s="29" t="s">
        <v>25</v>
      </c>
      <c r="DI165" s="29" t="s">
        <v>25</v>
      </c>
      <c r="DJ165" s="47">
        <v>10</v>
      </c>
      <c r="DK165" s="47">
        <v>0</v>
      </c>
      <c r="DL165" s="47">
        <v>9</v>
      </c>
      <c r="DM165" s="47">
        <v>2600</v>
      </c>
      <c r="DN165" s="47">
        <v>66</v>
      </c>
      <c r="DO165" s="47">
        <v>12</v>
      </c>
      <c r="DP165" s="29" t="s">
        <v>2028</v>
      </c>
      <c r="DQ165" s="47">
        <v>0</v>
      </c>
      <c r="DR165" s="47">
        <v>1584</v>
      </c>
      <c r="DS165" s="30">
        <v>51</v>
      </c>
      <c r="DT165" s="30">
        <v>32</v>
      </c>
      <c r="DU165" s="30">
        <v>32</v>
      </c>
      <c r="DV165" s="30">
        <v>32</v>
      </c>
      <c r="DX165" s="2">
        <f t="shared" si="78"/>
        <v>1584</v>
      </c>
      <c r="DY165" s="33" t="s">
        <v>2186</v>
      </c>
      <c r="DZ165" s="33" t="s">
        <v>502</v>
      </c>
      <c r="EA165" s="33" t="s">
        <v>2032</v>
      </c>
      <c r="EB165" s="33" t="s">
        <v>2027</v>
      </c>
      <c r="EC165" s="36">
        <v>133</v>
      </c>
      <c r="ED165" s="29" t="s">
        <v>500</v>
      </c>
      <c r="EE165" s="29" t="s">
        <v>501</v>
      </c>
      <c r="EF165" s="37">
        <v>41640</v>
      </c>
      <c r="EG165" s="37">
        <v>42004</v>
      </c>
      <c r="EH165" s="29" t="s">
        <v>500</v>
      </c>
      <c r="EI165" s="55">
        <f t="shared" si="79"/>
        <v>0.19806818181818181</v>
      </c>
      <c r="EJ165" s="54">
        <f t="shared" si="80"/>
        <v>0</v>
      </c>
      <c r="EK165" s="55">
        <f t="shared" si="81"/>
        <v>0.66511363636363641</v>
      </c>
      <c r="EL165" s="54">
        <f t="shared" si="82"/>
        <v>0</v>
      </c>
    </row>
    <row r="166" spans="1:142" ht="28.8" x14ac:dyDescent="0.3">
      <c r="A166" s="29" t="s">
        <v>503</v>
      </c>
      <c r="B166" s="29"/>
      <c r="C166" s="30">
        <v>7237</v>
      </c>
      <c r="D166" s="30">
        <v>0</v>
      </c>
      <c r="E166" s="30">
        <v>0</v>
      </c>
      <c r="F166" s="30">
        <v>14549</v>
      </c>
      <c r="H166" s="2">
        <f t="shared" si="58"/>
        <v>14549</v>
      </c>
      <c r="I166" s="1">
        <f t="shared" si="57"/>
        <v>2.0103634102528671</v>
      </c>
      <c r="J166" s="31">
        <v>29987</v>
      </c>
      <c r="K166" s="31">
        <v>7623</v>
      </c>
      <c r="L166" s="31">
        <v>37610</v>
      </c>
      <c r="M166" s="45">
        <f t="shared" si="59"/>
        <v>5.1969047948044773</v>
      </c>
      <c r="N166" s="31">
        <v>1718</v>
      </c>
      <c r="O166" s="31">
        <v>0</v>
      </c>
      <c r="P166" s="31">
        <v>491</v>
      </c>
      <c r="Q166" s="31">
        <v>2209</v>
      </c>
      <c r="R166" s="45">
        <f t="shared" si="60"/>
        <v>0.30523697664778221</v>
      </c>
      <c r="S166" s="31">
        <v>1500</v>
      </c>
      <c r="T166" s="31">
        <v>41319</v>
      </c>
      <c r="U166" s="31">
        <v>0</v>
      </c>
      <c r="V166" s="31">
        <v>41319</v>
      </c>
      <c r="W166" s="45">
        <f t="shared" si="61"/>
        <v>5.7094099765096038</v>
      </c>
      <c r="X166" s="4">
        <f t="shared" si="62"/>
        <v>0.91023500084706799</v>
      </c>
      <c r="Y166" s="4">
        <f t="shared" si="63"/>
        <v>5.3462087659430287E-2</v>
      </c>
      <c r="Z166" s="4">
        <f t="shared" si="64"/>
        <v>3.6302911493501781E-2</v>
      </c>
      <c r="AA166" s="4">
        <f t="shared" si="65"/>
        <v>0</v>
      </c>
      <c r="AB166" s="31">
        <v>0</v>
      </c>
      <c r="AC166" s="31">
        <v>2209</v>
      </c>
      <c r="AD166" s="31">
        <v>40458</v>
      </c>
      <c r="AE166" s="31">
        <v>40457</v>
      </c>
      <c r="AF166" s="31">
        <v>0</v>
      </c>
      <c r="AG166" s="31">
        <v>40457</v>
      </c>
      <c r="AH166" s="31">
        <v>0</v>
      </c>
      <c r="AI166" s="31">
        <v>40457</v>
      </c>
      <c r="AJ166" s="45">
        <f t="shared" si="66"/>
        <v>5.5902998480033164</v>
      </c>
      <c r="AK166" s="31">
        <v>0</v>
      </c>
      <c r="AL166" s="31">
        <v>0</v>
      </c>
      <c r="AM166" s="31">
        <v>0</v>
      </c>
      <c r="AN166" s="31">
        <v>0</v>
      </c>
      <c r="AO166" s="31">
        <v>8025</v>
      </c>
      <c r="AP166" s="31">
        <v>0</v>
      </c>
      <c r="AQ166" s="31">
        <v>8025</v>
      </c>
      <c r="AR166" s="31">
        <v>48482</v>
      </c>
      <c r="AS166" s="46">
        <f t="shared" si="67"/>
        <v>6.6991847450601076</v>
      </c>
      <c r="AT166" s="31">
        <v>0</v>
      </c>
      <c r="AU166" s="31">
        <v>0</v>
      </c>
      <c r="AV166" s="31">
        <v>0</v>
      </c>
      <c r="AW166" s="31">
        <v>0</v>
      </c>
      <c r="AX166" s="31">
        <v>0</v>
      </c>
      <c r="AY166" s="31">
        <v>0</v>
      </c>
      <c r="AZ166" s="31">
        <v>0</v>
      </c>
      <c r="BA166" s="31">
        <v>0</v>
      </c>
      <c r="BB166" s="31">
        <v>0</v>
      </c>
      <c r="BC166" s="33" t="s">
        <v>25</v>
      </c>
      <c r="BD166" s="47">
        <v>34255</v>
      </c>
      <c r="BE166" s="47">
        <v>35273</v>
      </c>
      <c r="BF166" s="45">
        <f t="shared" si="68"/>
        <v>4.8739809313251348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51</v>
      </c>
      <c r="BP166" s="30">
        <v>0</v>
      </c>
      <c r="BQ166" s="30">
        <v>51</v>
      </c>
      <c r="BR166" s="47">
        <v>34255</v>
      </c>
      <c r="BS166" s="47">
        <v>35273</v>
      </c>
      <c r="BT166" s="1">
        <f t="shared" si="69"/>
        <v>4.8739809313251348</v>
      </c>
      <c r="BU166" s="30">
        <v>58</v>
      </c>
      <c r="BV166" s="30">
        <v>0</v>
      </c>
      <c r="BW166" s="47">
        <v>12998</v>
      </c>
      <c r="BX166" s="52">
        <f t="shared" si="70"/>
        <v>1.7960480862235733</v>
      </c>
      <c r="BY166" s="47">
        <v>0</v>
      </c>
      <c r="BZ166" s="47">
        <v>0</v>
      </c>
      <c r="CA166" s="47">
        <v>15887</v>
      </c>
      <c r="CB166" s="47">
        <v>0</v>
      </c>
      <c r="CC166" s="47">
        <v>15887</v>
      </c>
      <c r="CD166" s="55">
        <f t="shared" si="71"/>
        <v>2.1952466491640181</v>
      </c>
      <c r="CE166" s="3">
        <f t="shared" si="72"/>
        <v>7943.5</v>
      </c>
      <c r="CF166" s="55">
        <f t="shared" si="73"/>
        <v>8.007560483870968</v>
      </c>
      <c r="CG166" s="55">
        <f t="shared" si="74"/>
        <v>0.81681233933161956</v>
      </c>
      <c r="CH166" s="55">
        <f t="shared" si="75"/>
        <v>0.45040115669208741</v>
      </c>
      <c r="CI166" s="30">
        <v>25</v>
      </c>
      <c r="CJ166" s="30">
        <v>15</v>
      </c>
      <c r="CK166" s="30">
        <v>0</v>
      </c>
      <c r="CL166" s="30">
        <v>40</v>
      </c>
      <c r="CM166" s="30">
        <v>600</v>
      </c>
      <c r="CN166" s="30">
        <v>450</v>
      </c>
      <c r="CO166" s="30">
        <v>0</v>
      </c>
      <c r="CP166" s="30">
        <v>1050</v>
      </c>
      <c r="CQ166" s="1">
        <f t="shared" si="83"/>
        <v>0.14508774354014095</v>
      </c>
      <c r="CR166" s="47">
        <v>19450</v>
      </c>
      <c r="CS166" s="55">
        <f t="shared" si="76"/>
        <v>2.6875777255768964</v>
      </c>
      <c r="CT166" s="59">
        <v>5269</v>
      </c>
      <c r="CU166" s="29" t="s">
        <v>26</v>
      </c>
      <c r="CV166" s="29" t="s">
        <v>25</v>
      </c>
      <c r="CW166" s="29" t="s">
        <v>25</v>
      </c>
      <c r="CX166" s="35">
        <v>0</v>
      </c>
      <c r="CY166" s="49">
        <v>0</v>
      </c>
      <c r="CZ166" s="35">
        <v>1</v>
      </c>
      <c r="DA166" s="35">
        <v>1</v>
      </c>
      <c r="DB166" s="35">
        <v>2</v>
      </c>
      <c r="DC166" s="49">
        <f t="shared" si="77"/>
        <v>3618.5</v>
      </c>
      <c r="DD166" s="30">
        <v>0</v>
      </c>
      <c r="DE166" s="31">
        <v>23140</v>
      </c>
      <c r="DF166" s="35">
        <v>40</v>
      </c>
      <c r="DG166" s="29" t="s">
        <v>25</v>
      </c>
      <c r="DH166" s="29" t="s">
        <v>26</v>
      </c>
      <c r="DI166" s="29" t="s">
        <v>26</v>
      </c>
      <c r="DJ166" s="47">
        <v>0</v>
      </c>
      <c r="DK166" s="47">
        <v>0</v>
      </c>
      <c r="DL166" s="47">
        <v>7</v>
      </c>
      <c r="DM166" s="47">
        <v>9999</v>
      </c>
      <c r="DN166" s="47">
        <v>2</v>
      </c>
      <c r="DO166" s="47">
        <v>60</v>
      </c>
      <c r="DP166" s="29" t="s">
        <v>25</v>
      </c>
      <c r="DQ166" s="47">
        <v>-6</v>
      </c>
      <c r="DR166" s="47">
        <v>1984</v>
      </c>
      <c r="DS166" s="30">
        <v>52</v>
      </c>
      <c r="DT166" s="30">
        <v>40</v>
      </c>
      <c r="DU166" s="30">
        <v>40</v>
      </c>
      <c r="DV166" s="30">
        <v>40</v>
      </c>
      <c r="DX166" s="2">
        <f t="shared" si="78"/>
        <v>1984</v>
      </c>
      <c r="DY166" s="33" t="s">
        <v>2180</v>
      </c>
      <c r="DZ166" s="33" t="s">
        <v>506</v>
      </c>
      <c r="EA166" s="33" t="s">
        <v>2031</v>
      </c>
      <c r="EB166" s="33" t="s">
        <v>2027</v>
      </c>
      <c r="EC166" s="36">
        <v>134</v>
      </c>
      <c r="ED166" s="29" t="s">
        <v>504</v>
      </c>
      <c r="EE166" s="29" t="s">
        <v>505</v>
      </c>
      <c r="EF166" s="37">
        <v>41548</v>
      </c>
      <c r="EG166" s="37">
        <v>41912</v>
      </c>
      <c r="EH166" s="29" t="s">
        <v>504</v>
      </c>
      <c r="EI166" s="55">
        <f t="shared" si="79"/>
        <v>0</v>
      </c>
      <c r="EJ166" s="54">
        <f t="shared" si="80"/>
        <v>0</v>
      </c>
      <c r="EK166" s="55">
        <f t="shared" si="81"/>
        <v>2.1952466491640181</v>
      </c>
      <c r="EL166" s="54">
        <f t="shared" si="82"/>
        <v>0</v>
      </c>
    </row>
    <row r="167" spans="1:142" ht="28.8" x14ac:dyDescent="0.3">
      <c r="A167" s="29" t="s">
        <v>1550</v>
      </c>
      <c r="B167" s="29"/>
      <c r="C167" s="30">
        <v>1165</v>
      </c>
      <c r="D167" s="30">
        <v>0</v>
      </c>
      <c r="E167" s="30">
        <v>0</v>
      </c>
      <c r="F167" s="30">
        <v>2250</v>
      </c>
      <c r="H167" s="2">
        <f t="shared" si="58"/>
        <v>2250</v>
      </c>
      <c r="I167" s="1">
        <f t="shared" si="57"/>
        <v>1.9313304721030042</v>
      </c>
      <c r="J167" s="31">
        <v>39601</v>
      </c>
      <c r="K167" s="31">
        <v>14386</v>
      </c>
      <c r="L167" s="31">
        <v>53987</v>
      </c>
      <c r="M167" s="45">
        <f t="shared" si="59"/>
        <v>46.340772532188844</v>
      </c>
      <c r="N167" s="31">
        <v>14062</v>
      </c>
      <c r="O167" s="31">
        <v>0</v>
      </c>
      <c r="P167" s="31">
        <v>2438</v>
      </c>
      <c r="Q167" s="31">
        <v>16500</v>
      </c>
      <c r="R167" s="45">
        <f t="shared" si="60"/>
        <v>14.163090128755364</v>
      </c>
      <c r="S167" s="31">
        <v>13339</v>
      </c>
      <c r="T167" s="31">
        <v>83826</v>
      </c>
      <c r="U167" s="31">
        <v>0</v>
      </c>
      <c r="V167" s="31">
        <v>83826</v>
      </c>
      <c r="W167" s="45">
        <f t="shared" si="61"/>
        <v>71.953648068669523</v>
      </c>
      <c r="X167" s="4">
        <f t="shared" si="62"/>
        <v>0.64403645646935315</v>
      </c>
      <c r="Y167" s="4">
        <f t="shared" si="63"/>
        <v>0.19683630377209935</v>
      </c>
      <c r="Z167" s="4">
        <f t="shared" si="64"/>
        <v>0.15912723975854748</v>
      </c>
      <c r="AA167" s="4">
        <f t="shared" si="65"/>
        <v>0</v>
      </c>
      <c r="AB167" s="31">
        <v>0</v>
      </c>
      <c r="AC167" s="31">
        <v>16325</v>
      </c>
      <c r="AD167" s="31">
        <v>83651</v>
      </c>
      <c r="AE167" s="31">
        <v>75217</v>
      </c>
      <c r="AF167" s="31">
        <v>0</v>
      </c>
      <c r="AG167" s="31">
        <v>75217</v>
      </c>
      <c r="AH167" s="31">
        <v>0</v>
      </c>
      <c r="AI167" s="31">
        <v>75217</v>
      </c>
      <c r="AJ167" s="45">
        <f t="shared" si="66"/>
        <v>64.563948497854071</v>
      </c>
      <c r="AK167" s="31">
        <v>0</v>
      </c>
      <c r="AL167" s="31">
        <v>0</v>
      </c>
      <c r="AM167" s="31">
        <v>0</v>
      </c>
      <c r="AN167" s="31">
        <v>0</v>
      </c>
      <c r="AO167" s="31">
        <v>0</v>
      </c>
      <c r="AP167" s="31">
        <v>3119</v>
      </c>
      <c r="AQ167" s="31">
        <v>3119</v>
      </c>
      <c r="AR167" s="31">
        <v>78336</v>
      </c>
      <c r="AS167" s="46">
        <f t="shared" si="67"/>
        <v>67.241201716738203</v>
      </c>
      <c r="AT167" s="31">
        <v>0</v>
      </c>
      <c r="AU167" s="31">
        <v>0</v>
      </c>
      <c r="AV167" s="31">
        <v>0</v>
      </c>
      <c r="AW167" s="31">
        <v>0</v>
      </c>
      <c r="AX167" s="31">
        <v>0</v>
      </c>
      <c r="AY167" s="31">
        <v>0</v>
      </c>
      <c r="AZ167" s="31">
        <v>0</v>
      </c>
      <c r="BA167" s="31">
        <v>315</v>
      </c>
      <c r="BB167" s="31">
        <v>315</v>
      </c>
      <c r="BC167" s="33" t="s">
        <v>25</v>
      </c>
      <c r="BD167" s="47">
        <v>12404</v>
      </c>
      <c r="BE167" s="47">
        <v>12636</v>
      </c>
      <c r="BF167" s="45">
        <f t="shared" si="68"/>
        <v>10.846351931330473</v>
      </c>
      <c r="BG167" s="30">
        <v>196</v>
      </c>
      <c r="BH167" s="30">
        <v>196</v>
      </c>
      <c r="BI167" s="30">
        <v>0</v>
      </c>
      <c r="BJ167" s="30">
        <v>1055</v>
      </c>
      <c r="BK167" s="30">
        <v>1055</v>
      </c>
      <c r="BL167" s="30">
        <v>0</v>
      </c>
      <c r="BM167" s="30">
        <v>0</v>
      </c>
      <c r="BN167" s="30">
        <v>0</v>
      </c>
      <c r="BO167" s="30">
        <v>51</v>
      </c>
      <c r="BP167" s="30">
        <v>0</v>
      </c>
      <c r="BQ167" s="30">
        <v>51</v>
      </c>
      <c r="BR167" s="47">
        <v>13655</v>
      </c>
      <c r="BS167" s="47">
        <v>13887</v>
      </c>
      <c r="BT167" s="1">
        <f t="shared" si="69"/>
        <v>11.920171673819743</v>
      </c>
      <c r="BU167" s="30">
        <v>33</v>
      </c>
      <c r="BV167" s="30">
        <v>0</v>
      </c>
      <c r="BW167" s="47">
        <v>3321</v>
      </c>
      <c r="BX167" s="52">
        <f t="shared" si="70"/>
        <v>2.8506437768240342</v>
      </c>
      <c r="BY167" s="47">
        <v>5681</v>
      </c>
      <c r="BZ167" s="47">
        <v>0</v>
      </c>
      <c r="CA167" s="47">
        <v>7705</v>
      </c>
      <c r="CB167" s="47">
        <v>0</v>
      </c>
      <c r="CC167" s="47">
        <v>13386</v>
      </c>
      <c r="CD167" s="55">
        <f t="shared" si="71"/>
        <v>11.490128755364807</v>
      </c>
      <c r="CE167" s="3">
        <f t="shared" si="72"/>
        <v>8924</v>
      </c>
      <c r="CF167" s="55">
        <f t="shared" si="73"/>
        <v>8.6528765352294759</v>
      </c>
      <c r="CG167" s="55">
        <f t="shared" si="74"/>
        <v>1.6869565217391305</v>
      </c>
      <c r="CH167" s="55">
        <f t="shared" si="75"/>
        <v>0.96392309354072159</v>
      </c>
      <c r="CI167" s="30">
        <v>44</v>
      </c>
      <c r="CJ167" s="30">
        <v>0</v>
      </c>
      <c r="CK167" s="30">
        <v>0</v>
      </c>
      <c r="CL167" s="30">
        <v>44</v>
      </c>
      <c r="CM167" s="30">
        <v>1430</v>
      </c>
      <c r="CN167" s="30">
        <v>0</v>
      </c>
      <c r="CO167" s="30">
        <v>0</v>
      </c>
      <c r="CP167" s="30">
        <v>1430</v>
      </c>
      <c r="CQ167" s="1">
        <f t="shared" si="83"/>
        <v>1.2274678111587982</v>
      </c>
      <c r="CR167" s="47">
        <v>7935</v>
      </c>
      <c r="CS167" s="55">
        <f t="shared" si="76"/>
        <v>6.8111587982832615</v>
      </c>
      <c r="CT167" s="59">
        <v>1023</v>
      </c>
      <c r="CU167" s="29" t="s">
        <v>25</v>
      </c>
      <c r="CV167" s="29" t="s">
        <v>25</v>
      </c>
      <c r="CW167" s="29" t="s">
        <v>25</v>
      </c>
      <c r="CX167" s="35">
        <v>0</v>
      </c>
      <c r="CY167" s="49">
        <v>0</v>
      </c>
      <c r="CZ167" s="35">
        <v>0.75</v>
      </c>
      <c r="DA167" s="35">
        <v>0.75</v>
      </c>
      <c r="DB167" s="35">
        <v>1.5</v>
      </c>
      <c r="DC167" s="49">
        <f t="shared" si="77"/>
        <v>776.66666666666663</v>
      </c>
      <c r="DD167" s="30">
        <v>6</v>
      </c>
      <c r="DE167" s="31">
        <v>24164</v>
      </c>
      <c r="DF167" s="35">
        <v>30</v>
      </c>
      <c r="DG167" s="29" t="s">
        <v>25</v>
      </c>
      <c r="DH167" s="29" t="s">
        <v>25</v>
      </c>
      <c r="DI167" s="29" t="s">
        <v>25</v>
      </c>
      <c r="DJ167" s="47">
        <v>89</v>
      </c>
      <c r="DK167" s="47">
        <v>39</v>
      </c>
      <c r="DL167" s="47">
        <v>7</v>
      </c>
      <c r="DM167" s="47">
        <v>1033</v>
      </c>
      <c r="DN167" s="47">
        <v>17</v>
      </c>
      <c r="DO167" s="47">
        <v>0</v>
      </c>
      <c r="DP167" s="29" t="s">
        <v>2028</v>
      </c>
      <c r="DQ167" s="47">
        <v>0</v>
      </c>
      <c r="DR167" s="47">
        <v>1547</v>
      </c>
      <c r="DS167" s="30">
        <v>50</v>
      </c>
      <c r="DT167" s="30">
        <v>30</v>
      </c>
      <c r="DU167" s="30">
        <v>30</v>
      </c>
      <c r="DV167" s="30">
        <v>32</v>
      </c>
      <c r="DX167" s="2">
        <f t="shared" si="78"/>
        <v>1547</v>
      </c>
      <c r="DY167" s="33" t="s">
        <v>2187</v>
      </c>
      <c r="DZ167" s="33" t="s">
        <v>1551</v>
      </c>
      <c r="EA167" s="33" t="s">
        <v>2030</v>
      </c>
      <c r="EB167" s="33" t="s">
        <v>2027</v>
      </c>
      <c r="EC167" s="36">
        <v>505</v>
      </c>
      <c r="ED167" s="29" t="s">
        <v>1549</v>
      </c>
      <c r="EE167" s="29" t="s">
        <v>748</v>
      </c>
      <c r="EF167" s="37">
        <v>41548</v>
      </c>
      <c r="EG167" s="37">
        <v>41912</v>
      </c>
      <c r="EH167" s="29" t="s">
        <v>1549</v>
      </c>
      <c r="EI167" s="55">
        <f t="shared" si="79"/>
        <v>4.8763948497854077</v>
      </c>
      <c r="EJ167" s="54">
        <f t="shared" si="80"/>
        <v>0</v>
      </c>
      <c r="EK167" s="55">
        <f t="shared" si="81"/>
        <v>6.6137339055793989</v>
      </c>
      <c r="EL167" s="54">
        <f t="shared" si="82"/>
        <v>0</v>
      </c>
    </row>
    <row r="168" spans="1:142" ht="43.2" x14ac:dyDescent="0.3">
      <c r="A168" s="29" t="s">
        <v>508</v>
      </c>
      <c r="B168" s="29"/>
      <c r="C168" s="30">
        <v>31664</v>
      </c>
      <c r="D168" s="30">
        <v>0</v>
      </c>
      <c r="E168" s="30">
        <v>0</v>
      </c>
      <c r="F168" s="30">
        <v>33000</v>
      </c>
      <c r="H168" s="2">
        <f t="shared" si="58"/>
        <v>33000</v>
      </c>
      <c r="I168" s="1">
        <f t="shared" si="57"/>
        <v>1.0421930267812027</v>
      </c>
      <c r="J168" s="31">
        <v>722554</v>
      </c>
      <c r="K168" s="31">
        <v>170608</v>
      </c>
      <c r="L168" s="31">
        <v>893162</v>
      </c>
      <c r="M168" s="45">
        <f t="shared" si="59"/>
        <v>28.207491157150077</v>
      </c>
      <c r="N168" s="31">
        <v>131824</v>
      </c>
      <c r="O168" s="31">
        <v>42792</v>
      </c>
      <c r="P168" s="31">
        <v>39823</v>
      </c>
      <c r="Q168" s="31">
        <v>214439</v>
      </c>
      <c r="R168" s="45">
        <f t="shared" si="60"/>
        <v>6.7723281960586155</v>
      </c>
      <c r="S168" s="31">
        <v>524295</v>
      </c>
      <c r="T168" s="31">
        <v>1631896</v>
      </c>
      <c r="U168" s="31">
        <v>0</v>
      </c>
      <c r="V168" s="31">
        <v>1631896</v>
      </c>
      <c r="W168" s="45">
        <f t="shared" si="61"/>
        <v>51.537897928246586</v>
      </c>
      <c r="X168" s="4">
        <f t="shared" si="62"/>
        <v>0.54731551520440025</v>
      </c>
      <c r="Y168" s="4">
        <f t="shared" si="63"/>
        <v>0.13140481991499459</v>
      </c>
      <c r="Z168" s="4">
        <f t="shared" si="64"/>
        <v>0.32127966488060511</v>
      </c>
      <c r="AA168" s="4">
        <f t="shared" si="65"/>
        <v>0</v>
      </c>
      <c r="AB168" s="31">
        <v>0</v>
      </c>
      <c r="AC168" s="31">
        <v>214439</v>
      </c>
      <c r="AD168" s="31">
        <v>1631896</v>
      </c>
      <c r="AE168" s="31">
        <v>1631896</v>
      </c>
      <c r="AF168" s="31">
        <v>1631896</v>
      </c>
      <c r="AG168" s="31">
        <v>0</v>
      </c>
      <c r="AH168" s="31">
        <v>0</v>
      </c>
      <c r="AI168" s="31">
        <v>1631896</v>
      </c>
      <c r="AJ168" s="45">
        <f t="shared" si="66"/>
        <v>51.537897928246586</v>
      </c>
      <c r="AK168" s="31">
        <v>0</v>
      </c>
      <c r="AL168" s="31">
        <v>0</v>
      </c>
      <c r="AM168" s="32"/>
      <c r="AN168" s="31">
        <v>0</v>
      </c>
      <c r="AO168" s="31">
        <v>0</v>
      </c>
      <c r="AP168" s="31">
        <v>11191</v>
      </c>
      <c r="AQ168" s="31">
        <v>11191</v>
      </c>
      <c r="AR168" s="31">
        <v>1643087</v>
      </c>
      <c r="AS168" s="46">
        <f t="shared" si="67"/>
        <v>51.891327690752902</v>
      </c>
      <c r="AT168" s="31">
        <v>0</v>
      </c>
      <c r="AU168" s="31">
        <v>0</v>
      </c>
      <c r="AV168" s="31">
        <v>0</v>
      </c>
      <c r="AW168" s="31">
        <v>0</v>
      </c>
      <c r="AX168" s="31">
        <v>0</v>
      </c>
      <c r="AY168" s="31">
        <v>0</v>
      </c>
      <c r="AZ168" s="31">
        <v>0</v>
      </c>
      <c r="BA168" s="31">
        <v>0</v>
      </c>
      <c r="BB168" s="31">
        <v>0</v>
      </c>
      <c r="BC168" s="33" t="s">
        <v>25</v>
      </c>
      <c r="BD168" s="47">
        <v>106716</v>
      </c>
      <c r="BE168" s="47">
        <v>116355</v>
      </c>
      <c r="BF168" s="45">
        <f t="shared" si="68"/>
        <v>3.6746778676099039</v>
      </c>
      <c r="BG168" s="30">
        <v>5363</v>
      </c>
      <c r="BH168" s="30">
        <v>5555</v>
      </c>
      <c r="BI168" s="30">
        <v>6648</v>
      </c>
      <c r="BJ168" s="30">
        <v>6164</v>
      </c>
      <c r="BK168" s="30">
        <v>6553</v>
      </c>
      <c r="BL168" s="30">
        <v>0</v>
      </c>
      <c r="BM168" s="30">
        <v>11810</v>
      </c>
      <c r="BN168" s="30">
        <v>12</v>
      </c>
      <c r="BO168" s="30">
        <v>51</v>
      </c>
      <c r="BP168" s="30">
        <v>1</v>
      </c>
      <c r="BQ168" s="30">
        <v>64</v>
      </c>
      <c r="BR168" s="47">
        <v>118243</v>
      </c>
      <c r="BS168" s="47">
        <v>146933</v>
      </c>
      <c r="BT168" s="1">
        <f t="shared" si="69"/>
        <v>4.6403802425467404</v>
      </c>
      <c r="BU168" s="30">
        <v>145</v>
      </c>
      <c r="BV168" s="30">
        <v>1</v>
      </c>
      <c r="BW168" s="47">
        <v>55367</v>
      </c>
      <c r="BX168" s="52">
        <f t="shared" si="70"/>
        <v>1.748578827690753</v>
      </c>
      <c r="BY168" s="47">
        <v>145929</v>
      </c>
      <c r="BZ168" s="47">
        <v>1601</v>
      </c>
      <c r="CA168" s="47">
        <v>158095</v>
      </c>
      <c r="CB168" s="47">
        <v>8285</v>
      </c>
      <c r="CC168" s="47">
        <v>313910</v>
      </c>
      <c r="CD168" s="55">
        <f t="shared" si="71"/>
        <v>9.9137822132390099</v>
      </c>
      <c r="CE168" s="3">
        <f t="shared" si="72"/>
        <v>18910.24096385542</v>
      </c>
      <c r="CF168" s="55">
        <f t="shared" si="73"/>
        <v>96.796176379895158</v>
      </c>
      <c r="CG168" s="55">
        <f t="shared" si="74"/>
        <v>1.5089795604437863</v>
      </c>
      <c r="CH168" s="55">
        <f t="shared" si="75"/>
        <v>2.0691335506659496</v>
      </c>
      <c r="CI168" s="30">
        <v>452</v>
      </c>
      <c r="CJ168" s="30">
        <v>24</v>
      </c>
      <c r="CK168" s="30">
        <v>474</v>
      </c>
      <c r="CL168" s="30">
        <v>950</v>
      </c>
      <c r="CM168" s="30">
        <v>16892</v>
      </c>
      <c r="CN168" s="30">
        <v>880</v>
      </c>
      <c r="CO168" s="30">
        <v>11299</v>
      </c>
      <c r="CP168" s="30">
        <v>29071</v>
      </c>
      <c r="CQ168" s="1">
        <f t="shared" si="83"/>
        <v>0.91810889338049517</v>
      </c>
      <c r="CR168" s="47">
        <v>208028</v>
      </c>
      <c r="CS168" s="55">
        <f t="shared" si="76"/>
        <v>6.5698585144012132</v>
      </c>
      <c r="CT168" s="59">
        <v>32649</v>
      </c>
      <c r="CU168" s="29" t="s">
        <v>25</v>
      </c>
      <c r="CV168" s="29" t="s">
        <v>25</v>
      </c>
      <c r="CW168" s="29" t="s">
        <v>25</v>
      </c>
      <c r="CX168" s="35">
        <v>8</v>
      </c>
      <c r="CY168" s="49">
        <f>C168/CX168</f>
        <v>3958</v>
      </c>
      <c r="CZ168" s="35">
        <v>2</v>
      </c>
      <c r="DA168" s="35">
        <v>6.6</v>
      </c>
      <c r="DB168" s="35">
        <v>16.600000000000001</v>
      </c>
      <c r="DC168" s="49">
        <f t="shared" si="77"/>
        <v>1907.469879518072</v>
      </c>
      <c r="DD168" s="30">
        <v>1660</v>
      </c>
      <c r="DE168" s="31">
        <v>84660</v>
      </c>
      <c r="DF168" s="35">
        <v>40</v>
      </c>
      <c r="DG168" s="29" t="s">
        <v>25</v>
      </c>
      <c r="DH168" s="29" t="s">
        <v>25</v>
      </c>
      <c r="DI168" s="29" t="s">
        <v>25</v>
      </c>
      <c r="DJ168" s="47">
        <v>201</v>
      </c>
      <c r="DK168" s="47">
        <v>897</v>
      </c>
      <c r="DL168" s="47">
        <v>39</v>
      </c>
      <c r="DM168" s="47">
        <v>51281</v>
      </c>
      <c r="DN168" s="47">
        <v>13018</v>
      </c>
      <c r="DO168" s="47">
        <v>99750</v>
      </c>
      <c r="DP168" s="29" t="s">
        <v>25</v>
      </c>
      <c r="DQ168" s="47">
        <v>140125</v>
      </c>
      <c r="DR168" s="47">
        <v>3243</v>
      </c>
      <c r="DS168" s="30">
        <v>52</v>
      </c>
      <c r="DT168" s="30">
        <v>64</v>
      </c>
      <c r="DU168" s="30">
        <v>64</v>
      </c>
      <c r="DV168" s="30">
        <v>64</v>
      </c>
      <c r="DX168" s="2">
        <f t="shared" si="78"/>
        <v>3243</v>
      </c>
      <c r="DY168" s="33" t="s">
        <v>2182</v>
      </c>
      <c r="DZ168" s="33" t="s">
        <v>509</v>
      </c>
      <c r="EA168" s="33" t="s">
        <v>2030</v>
      </c>
      <c r="EB168" s="33" t="s">
        <v>2027</v>
      </c>
      <c r="EC168" s="36">
        <v>135</v>
      </c>
      <c r="ED168" s="29" t="s">
        <v>507</v>
      </c>
      <c r="EE168" s="29" t="s">
        <v>269</v>
      </c>
      <c r="EF168" s="37">
        <v>41548</v>
      </c>
      <c r="EG168" s="37">
        <v>41912</v>
      </c>
      <c r="EH168" s="29" t="s">
        <v>507</v>
      </c>
      <c r="EI168" s="55">
        <f t="shared" si="79"/>
        <v>4.6086723092470949</v>
      </c>
      <c r="EJ168" s="54">
        <f t="shared" si="80"/>
        <v>5.0562152602324405E-2</v>
      </c>
      <c r="EK168" s="55">
        <f t="shared" si="81"/>
        <v>4.9928941384537646</v>
      </c>
      <c r="EL168" s="54">
        <f t="shared" si="82"/>
        <v>0.26165361293582617</v>
      </c>
    </row>
    <row r="169" spans="1:142" ht="28.8" x14ac:dyDescent="0.3">
      <c r="A169" s="29" t="s">
        <v>510</v>
      </c>
      <c r="B169" s="29"/>
      <c r="C169" s="30">
        <v>3838</v>
      </c>
      <c r="D169" s="30">
        <v>0</v>
      </c>
      <c r="E169" s="30">
        <v>0</v>
      </c>
      <c r="F169" s="30">
        <v>3800</v>
      </c>
      <c r="H169" s="2">
        <f t="shared" si="58"/>
        <v>3800</v>
      </c>
      <c r="I169" s="1">
        <f t="shared" si="57"/>
        <v>0.99009900990099009</v>
      </c>
      <c r="J169" s="31">
        <v>62383</v>
      </c>
      <c r="K169" s="31">
        <v>28530</v>
      </c>
      <c r="L169" s="31">
        <v>90913</v>
      </c>
      <c r="M169" s="45">
        <f t="shared" si="59"/>
        <v>23.687597707139133</v>
      </c>
      <c r="N169" s="31">
        <v>9030</v>
      </c>
      <c r="O169" s="31">
        <v>501</v>
      </c>
      <c r="P169" s="31">
        <v>5165</v>
      </c>
      <c r="Q169" s="31">
        <v>14696</v>
      </c>
      <c r="R169" s="45">
        <f t="shared" si="60"/>
        <v>3.8290776446065657</v>
      </c>
      <c r="S169" s="31">
        <v>42219</v>
      </c>
      <c r="T169" s="31">
        <v>147828</v>
      </c>
      <c r="U169" s="31">
        <v>0</v>
      </c>
      <c r="V169" s="31">
        <v>147828</v>
      </c>
      <c r="W169" s="45">
        <f t="shared" si="61"/>
        <v>38.516935904116728</v>
      </c>
      <c r="X169" s="4">
        <f t="shared" si="62"/>
        <v>0.61499174716562488</v>
      </c>
      <c r="Y169" s="4">
        <f t="shared" si="63"/>
        <v>9.9412831128067758E-2</v>
      </c>
      <c r="Z169" s="4">
        <f t="shared" si="64"/>
        <v>0.28559542170630731</v>
      </c>
      <c r="AA169" s="4">
        <f t="shared" si="65"/>
        <v>0</v>
      </c>
      <c r="AB169" s="31">
        <v>0</v>
      </c>
      <c r="AC169" s="31">
        <v>14696</v>
      </c>
      <c r="AD169" s="31">
        <v>147828</v>
      </c>
      <c r="AE169" s="31">
        <v>147828</v>
      </c>
      <c r="AF169" s="31">
        <v>132709</v>
      </c>
      <c r="AG169" s="31">
        <v>15119</v>
      </c>
      <c r="AH169" s="31">
        <v>0</v>
      </c>
      <c r="AI169" s="31">
        <v>147828</v>
      </c>
      <c r="AJ169" s="45">
        <f t="shared" si="66"/>
        <v>38.516935904116728</v>
      </c>
      <c r="AK169" s="31">
        <v>0</v>
      </c>
      <c r="AL169" s="31">
        <v>0</v>
      </c>
      <c r="AM169" s="31">
        <v>0</v>
      </c>
      <c r="AN169" s="31">
        <v>0</v>
      </c>
      <c r="AO169" s="31">
        <v>0</v>
      </c>
      <c r="AP169" s="31">
        <v>173</v>
      </c>
      <c r="AQ169" s="31">
        <v>173</v>
      </c>
      <c r="AR169" s="31">
        <v>148001</v>
      </c>
      <c r="AS169" s="46">
        <f t="shared" si="67"/>
        <v>38.562011464304327</v>
      </c>
      <c r="AT169" s="31">
        <v>0</v>
      </c>
      <c r="AU169" s="31">
        <v>0</v>
      </c>
      <c r="AV169" s="31">
        <v>0</v>
      </c>
      <c r="AW169" s="31">
        <v>0</v>
      </c>
      <c r="AX169" s="31">
        <v>0</v>
      </c>
      <c r="AY169" s="31">
        <v>0</v>
      </c>
      <c r="AZ169" s="31">
        <v>0</v>
      </c>
      <c r="BA169" s="31">
        <v>0</v>
      </c>
      <c r="BB169" s="31">
        <v>0</v>
      </c>
      <c r="BC169" s="33" t="s">
        <v>25</v>
      </c>
      <c r="BD169" s="47">
        <v>21153</v>
      </c>
      <c r="BE169" s="47">
        <v>21645</v>
      </c>
      <c r="BF169" s="45">
        <f t="shared" si="68"/>
        <v>5.6396560708702452</v>
      </c>
      <c r="BG169" s="30">
        <v>1394</v>
      </c>
      <c r="BH169" s="30">
        <v>1397</v>
      </c>
      <c r="BI169" s="30">
        <v>0</v>
      </c>
      <c r="BJ169" s="30">
        <v>2379</v>
      </c>
      <c r="BK169" s="30">
        <v>2381</v>
      </c>
      <c r="BL169" s="30">
        <v>0</v>
      </c>
      <c r="BM169" s="30">
        <v>0</v>
      </c>
      <c r="BN169" s="30">
        <v>2</v>
      </c>
      <c r="BO169" s="30">
        <v>51</v>
      </c>
      <c r="BP169" s="30">
        <v>0</v>
      </c>
      <c r="BQ169" s="30">
        <v>53</v>
      </c>
      <c r="BR169" s="47">
        <v>24926</v>
      </c>
      <c r="BS169" s="47">
        <v>25425</v>
      </c>
      <c r="BT169" s="1">
        <f t="shared" si="69"/>
        <v>6.6245440333507037</v>
      </c>
      <c r="BU169" s="30">
        <v>6</v>
      </c>
      <c r="BV169" s="30">
        <v>0</v>
      </c>
      <c r="BW169" s="47">
        <v>12752</v>
      </c>
      <c r="BX169" s="52">
        <f t="shared" si="70"/>
        <v>3.3225638353309015</v>
      </c>
      <c r="BY169" s="47">
        <v>3159</v>
      </c>
      <c r="BZ169" s="47">
        <v>0</v>
      </c>
      <c r="CA169" s="47">
        <v>24587</v>
      </c>
      <c r="CB169" s="47">
        <v>0</v>
      </c>
      <c r="CC169" s="47">
        <v>27746</v>
      </c>
      <c r="CD169" s="55">
        <f t="shared" si="71"/>
        <v>7.2292860865033868</v>
      </c>
      <c r="CE169" s="3">
        <f t="shared" si="72"/>
        <v>11098.4</v>
      </c>
      <c r="CF169" s="55">
        <f t="shared" si="73"/>
        <v>13.886886886886886</v>
      </c>
      <c r="CG169" s="55">
        <f t="shared" si="74"/>
        <v>1.3808101920971434</v>
      </c>
      <c r="CH169" s="55">
        <f t="shared" si="75"/>
        <v>1.0912881022615535</v>
      </c>
      <c r="CI169" s="30">
        <v>13</v>
      </c>
      <c r="CJ169" s="30">
        <v>0</v>
      </c>
      <c r="CK169" s="30">
        <v>2</v>
      </c>
      <c r="CL169" s="30">
        <v>15</v>
      </c>
      <c r="CM169" s="30">
        <v>378</v>
      </c>
      <c r="CN169" s="30">
        <v>0</v>
      </c>
      <c r="CO169" s="30">
        <v>47</v>
      </c>
      <c r="CP169" s="30">
        <v>425</v>
      </c>
      <c r="CQ169" s="1">
        <f t="shared" si="83"/>
        <v>0.11073475768629494</v>
      </c>
      <c r="CR169" s="47">
        <v>20094</v>
      </c>
      <c r="CS169" s="55">
        <f t="shared" si="76"/>
        <v>5.2355393434080248</v>
      </c>
      <c r="CT169" s="59">
        <v>4702</v>
      </c>
      <c r="CU169" s="29" t="s">
        <v>25</v>
      </c>
      <c r="CV169" s="29" t="s">
        <v>25</v>
      </c>
      <c r="CW169" s="29" t="s">
        <v>25</v>
      </c>
      <c r="CX169" s="35">
        <v>0</v>
      </c>
      <c r="CY169" s="49">
        <v>0</v>
      </c>
      <c r="CZ169" s="35">
        <v>1</v>
      </c>
      <c r="DA169" s="35">
        <v>1.5</v>
      </c>
      <c r="DB169" s="35">
        <v>2.5</v>
      </c>
      <c r="DC169" s="49">
        <f t="shared" si="77"/>
        <v>1535.2</v>
      </c>
      <c r="DD169" s="30">
        <v>322</v>
      </c>
      <c r="DE169" s="31">
        <v>31888</v>
      </c>
      <c r="DF169" s="35">
        <v>40</v>
      </c>
      <c r="DG169" s="29" t="s">
        <v>25</v>
      </c>
      <c r="DH169" s="29" t="s">
        <v>25</v>
      </c>
      <c r="DI169" s="29" t="s">
        <v>25</v>
      </c>
      <c r="DJ169" s="47">
        <v>85</v>
      </c>
      <c r="DK169" s="47">
        <v>27</v>
      </c>
      <c r="DL169" s="47">
        <v>9</v>
      </c>
      <c r="DM169" s="47">
        <v>4681</v>
      </c>
      <c r="DN169" s="47">
        <v>2023</v>
      </c>
      <c r="DO169" s="47">
        <v>609</v>
      </c>
      <c r="DP169" s="29" t="s">
        <v>2028</v>
      </c>
      <c r="DQ169" s="47">
        <v>0</v>
      </c>
      <c r="DR169" s="47">
        <v>1998</v>
      </c>
      <c r="DS169" s="30">
        <v>51</v>
      </c>
      <c r="DT169" s="30">
        <v>40</v>
      </c>
      <c r="DU169" s="30">
        <v>40</v>
      </c>
      <c r="DV169" s="30">
        <v>40</v>
      </c>
      <c r="DX169" s="2">
        <f t="shared" si="78"/>
        <v>1998</v>
      </c>
      <c r="DY169" s="33" t="s">
        <v>2182</v>
      </c>
      <c r="DZ169" s="33" t="s">
        <v>512</v>
      </c>
      <c r="EA169" s="33" t="s">
        <v>2030</v>
      </c>
      <c r="EB169" s="33" t="s">
        <v>2027</v>
      </c>
      <c r="EC169" s="36">
        <v>136</v>
      </c>
      <c r="ED169" s="29" t="s">
        <v>511</v>
      </c>
      <c r="EE169" s="29" t="s">
        <v>51</v>
      </c>
      <c r="EF169" s="37">
        <v>41548</v>
      </c>
      <c r="EG169" s="37">
        <v>41912</v>
      </c>
      <c r="EH169" s="29" t="s">
        <v>511</v>
      </c>
      <c r="EI169" s="55">
        <f t="shared" si="79"/>
        <v>0.82308494007295463</v>
      </c>
      <c r="EJ169" s="54">
        <f t="shared" si="80"/>
        <v>0</v>
      </c>
      <c r="EK169" s="55">
        <f t="shared" si="81"/>
        <v>6.4062011464304325</v>
      </c>
      <c r="EL169" s="54">
        <f t="shared" si="82"/>
        <v>0</v>
      </c>
    </row>
    <row r="170" spans="1:142" ht="28.8" x14ac:dyDescent="0.3">
      <c r="A170" s="29" t="s">
        <v>513</v>
      </c>
      <c r="B170" s="29"/>
      <c r="C170" s="30">
        <v>2488</v>
      </c>
      <c r="D170" s="30">
        <v>0</v>
      </c>
      <c r="E170" s="30">
        <v>0</v>
      </c>
      <c r="F170" s="30">
        <v>7140</v>
      </c>
      <c r="H170" s="2">
        <f t="shared" si="58"/>
        <v>7140</v>
      </c>
      <c r="I170" s="1">
        <f t="shared" si="57"/>
        <v>2.869774919614148</v>
      </c>
      <c r="J170" s="31">
        <v>76000</v>
      </c>
      <c r="K170" s="31">
        <v>14368</v>
      </c>
      <c r="L170" s="31">
        <v>90368</v>
      </c>
      <c r="M170" s="45">
        <f t="shared" si="59"/>
        <v>36.321543408360128</v>
      </c>
      <c r="N170" s="31">
        <v>11698</v>
      </c>
      <c r="O170" s="31">
        <v>2550</v>
      </c>
      <c r="P170" s="31">
        <v>1983</v>
      </c>
      <c r="Q170" s="31">
        <v>16231</v>
      </c>
      <c r="R170" s="45">
        <f t="shared" si="60"/>
        <v>6.5237138263665591</v>
      </c>
      <c r="S170" s="31">
        <v>47233</v>
      </c>
      <c r="T170" s="31">
        <v>153832</v>
      </c>
      <c r="U170" s="31">
        <v>0</v>
      </c>
      <c r="V170" s="31">
        <v>153832</v>
      </c>
      <c r="W170" s="45">
        <f t="shared" si="61"/>
        <v>61.829581993569128</v>
      </c>
      <c r="X170" s="4">
        <f t="shared" si="62"/>
        <v>0.58744604503614328</v>
      </c>
      <c r="Y170" s="4">
        <f t="shared" si="63"/>
        <v>0.10551120703104686</v>
      </c>
      <c r="Z170" s="4">
        <f t="shared" si="64"/>
        <v>0.30704274793280983</v>
      </c>
      <c r="AA170" s="4">
        <f t="shared" si="65"/>
        <v>0</v>
      </c>
      <c r="AB170" s="31">
        <v>0</v>
      </c>
      <c r="AC170" s="31">
        <v>16231</v>
      </c>
      <c r="AD170" s="31">
        <v>140833</v>
      </c>
      <c r="AE170" s="31">
        <v>140833</v>
      </c>
      <c r="AF170" s="31">
        <v>140833</v>
      </c>
      <c r="AG170" s="31">
        <v>0</v>
      </c>
      <c r="AH170" s="31">
        <v>0</v>
      </c>
      <c r="AI170" s="31">
        <v>140833</v>
      </c>
      <c r="AJ170" s="45">
        <f t="shared" si="66"/>
        <v>56.604903536977488</v>
      </c>
      <c r="AK170" s="31">
        <v>0</v>
      </c>
      <c r="AL170" s="31">
        <v>0</v>
      </c>
      <c r="AM170" s="31">
        <v>0</v>
      </c>
      <c r="AN170" s="31">
        <v>0</v>
      </c>
      <c r="AO170" s="31">
        <v>0</v>
      </c>
      <c r="AP170" s="31">
        <v>16148</v>
      </c>
      <c r="AQ170" s="31">
        <v>16148</v>
      </c>
      <c r="AR170" s="31">
        <v>156981</v>
      </c>
      <c r="AS170" s="46">
        <f t="shared" si="67"/>
        <v>63.095257234726688</v>
      </c>
      <c r="AT170" s="31">
        <v>0</v>
      </c>
      <c r="AU170" s="31">
        <v>0</v>
      </c>
      <c r="AV170" s="31">
        <v>0</v>
      </c>
      <c r="AW170" s="31">
        <v>0</v>
      </c>
      <c r="AX170" s="31">
        <v>0</v>
      </c>
      <c r="AY170" s="31">
        <v>0</v>
      </c>
      <c r="AZ170" s="31">
        <v>0</v>
      </c>
      <c r="BA170" s="31">
        <v>0</v>
      </c>
      <c r="BB170" s="31">
        <v>0</v>
      </c>
      <c r="BC170" s="33" t="s">
        <v>25</v>
      </c>
      <c r="BD170" s="47">
        <v>17740</v>
      </c>
      <c r="BE170" s="47">
        <v>17961</v>
      </c>
      <c r="BF170" s="45">
        <f t="shared" si="68"/>
        <v>7.219051446945338</v>
      </c>
      <c r="BG170" s="30">
        <v>299</v>
      </c>
      <c r="BH170" s="30">
        <v>1702</v>
      </c>
      <c r="BI170" s="30">
        <v>1551</v>
      </c>
      <c r="BJ170" s="30">
        <v>1551</v>
      </c>
      <c r="BK170" s="30">
        <v>1845</v>
      </c>
      <c r="BL170" s="30">
        <v>0</v>
      </c>
      <c r="BM170" s="30">
        <v>10110</v>
      </c>
      <c r="BN170" s="30">
        <v>1</v>
      </c>
      <c r="BO170" s="30">
        <v>51</v>
      </c>
      <c r="BP170" s="30">
        <v>0</v>
      </c>
      <c r="BQ170" s="30">
        <v>52</v>
      </c>
      <c r="BR170" s="47">
        <v>19590</v>
      </c>
      <c r="BS170" s="47">
        <v>33170</v>
      </c>
      <c r="BT170" s="1">
        <f t="shared" si="69"/>
        <v>13.331993569131832</v>
      </c>
      <c r="BU170" s="30">
        <v>32</v>
      </c>
      <c r="BV170" s="30">
        <v>0</v>
      </c>
      <c r="BW170" s="47">
        <v>2241</v>
      </c>
      <c r="BX170" s="52">
        <f t="shared" si="70"/>
        <v>0.90072347266881025</v>
      </c>
      <c r="BY170" s="47">
        <v>17365</v>
      </c>
      <c r="BZ170" s="47">
        <v>0</v>
      </c>
      <c r="CA170" s="47">
        <v>18785</v>
      </c>
      <c r="CB170" s="47">
        <v>586</v>
      </c>
      <c r="CC170" s="47">
        <v>36736</v>
      </c>
      <c r="CD170" s="55">
        <f t="shared" si="71"/>
        <v>14.765273311897106</v>
      </c>
      <c r="CE170" s="3">
        <f t="shared" si="72"/>
        <v>13733.084112149534</v>
      </c>
      <c r="CF170" s="55">
        <f t="shared" si="73"/>
        <v>18.432513798294028</v>
      </c>
      <c r="CG170" s="55">
        <f t="shared" si="74"/>
        <v>1.5654323092001534</v>
      </c>
      <c r="CH170" s="55">
        <f t="shared" si="75"/>
        <v>1.0898402170636117</v>
      </c>
      <c r="CI170" s="30">
        <v>110</v>
      </c>
      <c r="CJ170" s="30">
        <v>70</v>
      </c>
      <c r="CK170" s="30">
        <v>12</v>
      </c>
      <c r="CL170" s="30">
        <v>192</v>
      </c>
      <c r="CM170" s="30">
        <v>2648</v>
      </c>
      <c r="CN170" s="30">
        <v>837</v>
      </c>
      <c r="CO170" s="30">
        <v>190</v>
      </c>
      <c r="CP170" s="30">
        <v>3675</v>
      </c>
      <c r="CQ170" s="1">
        <f t="shared" si="83"/>
        <v>1.4770900321543408</v>
      </c>
      <c r="CR170" s="47">
        <v>23467</v>
      </c>
      <c r="CS170" s="55">
        <f t="shared" si="76"/>
        <v>9.4320739549839221</v>
      </c>
      <c r="CT170" s="59">
        <v>1926</v>
      </c>
      <c r="CU170" s="29" t="s">
        <v>25</v>
      </c>
      <c r="CV170" s="29" t="s">
        <v>25</v>
      </c>
      <c r="CW170" s="29" t="s">
        <v>25</v>
      </c>
      <c r="CX170" s="35">
        <v>0</v>
      </c>
      <c r="CY170" s="49">
        <v>0</v>
      </c>
      <c r="CZ170" s="35">
        <v>1</v>
      </c>
      <c r="DA170" s="35">
        <v>1.675</v>
      </c>
      <c r="DB170" s="35">
        <v>2.6749999999999998</v>
      </c>
      <c r="DC170" s="49">
        <f t="shared" si="77"/>
        <v>930.09345794392527</v>
      </c>
      <c r="DD170" s="30">
        <v>165</v>
      </c>
      <c r="DE170" s="31">
        <v>41420</v>
      </c>
      <c r="DF170" s="35">
        <v>40</v>
      </c>
      <c r="DG170" s="29" t="s">
        <v>25</v>
      </c>
      <c r="DH170" s="29" t="s">
        <v>25</v>
      </c>
      <c r="DI170" s="29" t="s">
        <v>25</v>
      </c>
      <c r="DJ170" s="47">
        <v>0</v>
      </c>
      <c r="DK170" s="47">
        <v>0</v>
      </c>
      <c r="DL170" s="47">
        <v>23</v>
      </c>
      <c r="DM170" s="47">
        <v>15220</v>
      </c>
      <c r="DN170" s="47">
        <v>87</v>
      </c>
      <c r="DO170" s="47">
        <v>0</v>
      </c>
      <c r="DP170" s="29" t="s">
        <v>2028</v>
      </c>
      <c r="DQ170" s="47">
        <v>0</v>
      </c>
      <c r="DR170" s="47">
        <v>1993</v>
      </c>
      <c r="DS170" s="30">
        <v>47</v>
      </c>
      <c r="DT170" s="30">
        <v>40</v>
      </c>
      <c r="DU170" s="30">
        <v>40</v>
      </c>
      <c r="DV170" s="30">
        <v>40</v>
      </c>
      <c r="DX170" s="2">
        <f t="shared" si="78"/>
        <v>1993</v>
      </c>
      <c r="DY170" s="33" t="s">
        <v>2182</v>
      </c>
      <c r="DZ170" s="33" t="s">
        <v>515</v>
      </c>
      <c r="EA170" s="33" t="s">
        <v>2030</v>
      </c>
      <c r="EB170" s="33" t="s">
        <v>2027</v>
      </c>
      <c r="EC170" s="36">
        <v>137</v>
      </c>
      <c r="ED170" s="29" t="s">
        <v>514</v>
      </c>
      <c r="EE170" s="29" t="s">
        <v>494</v>
      </c>
      <c r="EF170" s="37">
        <v>41548</v>
      </c>
      <c r="EG170" s="37">
        <v>41912</v>
      </c>
      <c r="EH170" s="29" t="s">
        <v>514</v>
      </c>
      <c r="EI170" s="55">
        <f t="shared" si="79"/>
        <v>6.979501607717042</v>
      </c>
      <c r="EJ170" s="54">
        <f t="shared" si="80"/>
        <v>0</v>
      </c>
      <c r="EK170" s="55">
        <f t="shared" si="81"/>
        <v>7.55024115755627</v>
      </c>
      <c r="EL170" s="54">
        <f t="shared" si="82"/>
        <v>0.23553054662379422</v>
      </c>
    </row>
    <row r="171" spans="1:142" ht="28.8" x14ac:dyDescent="0.3">
      <c r="A171" s="29" t="s">
        <v>516</v>
      </c>
      <c r="B171" s="29"/>
      <c r="C171" s="30">
        <v>1194</v>
      </c>
      <c r="D171" s="30">
        <v>0</v>
      </c>
      <c r="E171" s="30">
        <v>0</v>
      </c>
      <c r="F171" s="30">
        <v>2376</v>
      </c>
      <c r="H171" s="2">
        <f t="shared" si="58"/>
        <v>2376</v>
      </c>
      <c r="I171" s="1">
        <f t="shared" si="57"/>
        <v>1.9899497487437185</v>
      </c>
      <c r="J171" s="31">
        <v>3</v>
      </c>
      <c r="K171" s="31">
        <v>0</v>
      </c>
      <c r="L171" s="31">
        <v>3</v>
      </c>
      <c r="M171" s="45">
        <f t="shared" si="59"/>
        <v>2.5125628140703518E-3</v>
      </c>
      <c r="N171" s="31">
        <v>546</v>
      </c>
      <c r="O171" s="31">
        <v>0</v>
      </c>
      <c r="P171" s="31">
        <v>0</v>
      </c>
      <c r="Q171" s="31">
        <v>546</v>
      </c>
      <c r="R171" s="45">
        <f t="shared" si="60"/>
        <v>0.457286432160804</v>
      </c>
      <c r="S171" s="31">
        <v>21230</v>
      </c>
      <c r="T171" s="31">
        <v>21779</v>
      </c>
      <c r="U171" s="31">
        <v>0</v>
      </c>
      <c r="V171" s="31">
        <v>21779</v>
      </c>
      <c r="W171" s="45">
        <f t="shared" si="61"/>
        <v>18.240368509212729</v>
      </c>
      <c r="X171" s="4">
        <f t="shared" si="62"/>
        <v>1.377473713209973E-4</v>
      </c>
      <c r="Y171" s="4">
        <f t="shared" si="63"/>
        <v>2.5070021580421507E-2</v>
      </c>
      <c r="Z171" s="4">
        <f t="shared" si="64"/>
        <v>0.97479223104825752</v>
      </c>
      <c r="AA171" s="4">
        <f t="shared" si="65"/>
        <v>0</v>
      </c>
      <c r="AB171" s="31">
        <v>620</v>
      </c>
      <c r="AC171" s="31">
        <v>546</v>
      </c>
      <c r="AD171" s="31">
        <v>21779</v>
      </c>
      <c r="AE171" s="31">
        <v>10600</v>
      </c>
      <c r="AF171" s="31">
        <v>10920</v>
      </c>
      <c r="AG171" s="31">
        <v>0</v>
      </c>
      <c r="AH171" s="31">
        <v>0</v>
      </c>
      <c r="AI171" s="31">
        <v>10920</v>
      </c>
      <c r="AJ171" s="45">
        <f t="shared" si="66"/>
        <v>9.1457286432160796</v>
      </c>
      <c r="AK171" s="31">
        <v>0</v>
      </c>
      <c r="AL171" s="31">
        <v>0</v>
      </c>
      <c r="AM171" s="31">
        <v>0</v>
      </c>
      <c r="AN171" s="31">
        <v>0</v>
      </c>
      <c r="AO171" s="31">
        <v>0</v>
      </c>
      <c r="AP171" s="31">
        <v>9060</v>
      </c>
      <c r="AQ171" s="31">
        <v>9060</v>
      </c>
      <c r="AR171" s="31">
        <v>19980</v>
      </c>
      <c r="AS171" s="46">
        <f t="shared" si="67"/>
        <v>16.733668341708544</v>
      </c>
      <c r="AT171" s="31">
        <v>0</v>
      </c>
      <c r="AU171" s="31">
        <v>0</v>
      </c>
      <c r="AV171" s="31">
        <v>0</v>
      </c>
      <c r="AW171" s="31">
        <v>0</v>
      </c>
      <c r="AX171" s="31">
        <v>0</v>
      </c>
      <c r="AY171" s="31">
        <v>0</v>
      </c>
      <c r="AZ171" s="31">
        <v>11000</v>
      </c>
      <c r="BA171" s="31">
        <v>0</v>
      </c>
      <c r="BB171" s="31">
        <v>11000</v>
      </c>
      <c r="BC171" s="33" t="s">
        <v>25</v>
      </c>
      <c r="BD171" s="47">
        <v>13214</v>
      </c>
      <c r="BE171" s="47">
        <v>13690</v>
      </c>
      <c r="BF171" s="45">
        <f t="shared" si="68"/>
        <v>11.465661641541038</v>
      </c>
      <c r="BG171" s="30">
        <v>788</v>
      </c>
      <c r="BH171" s="30">
        <v>819</v>
      </c>
      <c r="BI171" s="30">
        <v>0</v>
      </c>
      <c r="BJ171" s="30">
        <v>211</v>
      </c>
      <c r="BK171" s="30">
        <v>448</v>
      </c>
      <c r="BL171" s="30">
        <v>0</v>
      </c>
      <c r="BM171" s="30">
        <v>0</v>
      </c>
      <c r="BN171" s="30">
        <v>5</v>
      </c>
      <c r="BO171" s="30">
        <v>51</v>
      </c>
      <c r="BP171" s="30">
        <v>0</v>
      </c>
      <c r="BQ171" s="30">
        <v>56</v>
      </c>
      <c r="BR171" s="47">
        <v>14213</v>
      </c>
      <c r="BS171" s="47">
        <v>14962</v>
      </c>
      <c r="BT171" s="1">
        <f t="shared" si="69"/>
        <v>12.530988274706868</v>
      </c>
      <c r="BU171" s="30">
        <v>0</v>
      </c>
      <c r="BV171" s="30">
        <v>0</v>
      </c>
      <c r="BW171" s="47">
        <v>1244</v>
      </c>
      <c r="BX171" s="52">
        <f t="shared" si="70"/>
        <v>1.0418760469011725</v>
      </c>
      <c r="BY171" s="47">
        <v>1512</v>
      </c>
      <c r="BZ171" s="47">
        <v>0</v>
      </c>
      <c r="CA171" s="47">
        <v>2024</v>
      </c>
      <c r="CB171" s="47">
        <v>0</v>
      </c>
      <c r="CC171" s="47">
        <v>3536</v>
      </c>
      <c r="CD171" s="55">
        <f t="shared" si="71"/>
        <v>2.9614740368509214</v>
      </c>
      <c r="CE171" s="3">
        <f t="shared" si="72"/>
        <v>5893.3333333333339</v>
      </c>
      <c r="CF171" s="55">
        <f t="shared" si="73"/>
        <v>2.296103896103896</v>
      </c>
      <c r="CG171" s="55">
        <f t="shared" si="74"/>
        <v>0.44455619813930097</v>
      </c>
      <c r="CH171" s="55">
        <f t="shared" si="75"/>
        <v>0.23633204117096646</v>
      </c>
      <c r="CI171" s="30">
        <v>10</v>
      </c>
      <c r="CJ171" s="30">
        <v>16</v>
      </c>
      <c r="CK171" s="30">
        <v>52</v>
      </c>
      <c r="CL171" s="30">
        <v>78</v>
      </c>
      <c r="CM171" s="30">
        <v>153</v>
      </c>
      <c r="CN171" s="30">
        <v>45</v>
      </c>
      <c r="CO171" s="30">
        <v>187</v>
      </c>
      <c r="CP171" s="30">
        <v>385</v>
      </c>
      <c r="CQ171" s="1">
        <f t="shared" si="83"/>
        <v>0.3224455611390285</v>
      </c>
      <c r="CR171" s="47">
        <v>7954</v>
      </c>
      <c r="CS171" s="55">
        <f t="shared" si="76"/>
        <v>6.6616415410385263</v>
      </c>
      <c r="CT171" s="59">
        <v>2135</v>
      </c>
      <c r="CU171" s="29" t="s">
        <v>25</v>
      </c>
      <c r="CV171" s="29" t="s">
        <v>25</v>
      </c>
      <c r="CW171" s="29" t="s">
        <v>25</v>
      </c>
      <c r="CX171" s="35">
        <v>0</v>
      </c>
      <c r="CY171" s="49">
        <v>0</v>
      </c>
      <c r="CZ171" s="35">
        <v>0</v>
      </c>
      <c r="DA171" s="35">
        <v>0.6</v>
      </c>
      <c r="DB171" s="35">
        <v>0.6</v>
      </c>
      <c r="DC171" s="49">
        <f t="shared" si="77"/>
        <v>1990</v>
      </c>
      <c r="DD171" s="30">
        <v>2440</v>
      </c>
      <c r="DE171" s="31">
        <v>3</v>
      </c>
      <c r="DF171" s="35">
        <v>24</v>
      </c>
      <c r="DG171" s="29" t="s">
        <v>26</v>
      </c>
      <c r="DH171" s="29" t="s">
        <v>26</v>
      </c>
      <c r="DI171" s="29" t="s">
        <v>26</v>
      </c>
      <c r="DJ171" s="47">
        <v>8</v>
      </c>
      <c r="DK171" s="47">
        <v>0</v>
      </c>
      <c r="DL171" s="47">
        <v>6</v>
      </c>
      <c r="DM171" s="47">
        <v>3628</v>
      </c>
      <c r="DN171" s="47">
        <v>58</v>
      </c>
      <c r="DO171" s="47">
        <v>178</v>
      </c>
      <c r="DP171" s="29" t="s">
        <v>25</v>
      </c>
      <c r="DQ171" s="47">
        <v>53</v>
      </c>
      <c r="DR171" s="47">
        <v>1540</v>
      </c>
      <c r="DS171" s="30">
        <v>49</v>
      </c>
      <c r="DT171" s="30">
        <v>36</v>
      </c>
      <c r="DU171" s="30">
        <v>36</v>
      </c>
      <c r="DV171" s="30">
        <v>36</v>
      </c>
      <c r="DX171" s="2">
        <f t="shared" si="78"/>
        <v>1540</v>
      </c>
      <c r="DY171" s="33" t="s">
        <v>2186</v>
      </c>
      <c r="DZ171" s="33" t="s">
        <v>518</v>
      </c>
      <c r="EA171" s="33" t="s">
        <v>2030</v>
      </c>
      <c r="EB171" s="33" t="s">
        <v>2026</v>
      </c>
      <c r="EC171" s="36">
        <v>138</v>
      </c>
      <c r="ED171" s="29" t="s">
        <v>517</v>
      </c>
      <c r="EE171" s="29" t="s">
        <v>280</v>
      </c>
      <c r="EF171" s="37">
        <v>41548</v>
      </c>
      <c r="EG171" s="37">
        <v>41912</v>
      </c>
      <c r="EH171" s="29" t="s">
        <v>517</v>
      </c>
      <c r="EI171" s="55">
        <f t="shared" si="79"/>
        <v>1.2663316582914572</v>
      </c>
      <c r="EJ171" s="54">
        <f t="shared" si="80"/>
        <v>0</v>
      </c>
      <c r="EK171" s="55">
        <f t="shared" si="81"/>
        <v>1.6951423785594639</v>
      </c>
      <c r="EL171" s="54">
        <f t="shared" si="82"/>
        <v>0</v>
      </c>
    </row>
    <row r="172" spans="1:142" ht="43.2" x14ac:dyDescent="0.3">
      <c r="A172" s="29" t="s">
        <v>519</v>
      </c>
      <c r="B172" s="29"/>
      <c r="C172" s="30">
        <v>45418</v>
      </c>
      <c r="D172" s="30">
        <v>0</v>
      </c>
      <c r="E172" s="30">
        <v>0</v>
      </c>
      <c r="F172" s="30">
        <v>5000</v>
      </c>
      <c r="G172">
        <v>2203</v>
      </c>
      <c r="H172" s="2">
        <f t="shared" si="58"/>
        <v>7203</v>
      </c>
      <c r="I172" s="1">
        <f t="shared" si="57"/>
        <v>0.15859350918138182</v>
      </c>
      <c r="J172" s="31">
        <v>177670</v>
      </c>
      <c r="K172" s="31">
        <v>61565</v>
      </c>
      <c r="L172" s="31">
        <v>239235</v>
      </c>
      <c r="M172" s="45">
        <f t="shared" si="59"/>
        <v>5.2674049936148659</v>
      </c>
      <c r="N172" s="31">
        <v>54275</v>
      </c>
      <c r="O172" s="31">
        <v>6000</v>
      </c>
      <c r="P172" s="31">
        <v>4822</v>
      </c>
      <c r="Q172" s="31">
        <v>65097</v>
      </c>
      <c r="R172" s="45">
        <f t="shared" si="60"/>
        <v>1.4332863622352372</v>
      </c>
      <c r="S172" s="31">
        <v>31546</v>
      </c>
      <c r="T172" s="31">
        <v>335878</v>
      </c>
      <c r="U172" s="31">
        <v>0</v>
      </c>
      <c r="V172" s="31">
        <v>335878</v>
      </c>
      <c r="W172" s="45">
        <f t="shared" si="61"/>
        <v>7.3952617904795455</v>
      </c>
      <c r="X172" s="4">
        <f t="shared" si="62"/>
        <v>0.71226754952691151</v>
      </c>
      <c r="Y172" s="4">
        <f t="shared" si="63"/>
        <v>0.19381144344077314</v>
      </c>
      <c r="Z172" s="4">
        <f t="shared" si="64"/>
        <v>9.3921007032315304E-2</v>
      </c>
      <c r="AA172" s="4">
        <f t="shared" si="65"/>
        <v>0</v>
      </c>
      <c r="AB172" s="31">
        <v>24465</v>
      </c>
      <c r="AC172" s="31">
        <v>65097</v>
      </c>
      <c r="AD172" s="31">
        <v>301536</v>
      </c>
      <c r="AE172" s="31">
        <v>301536</v>
      </c>
      <c r="AF172" s="31">
        <v>250</v>
      </c>
      <c r="AG172" s="31">
        <v>302917</v>
      </c>
      <c r="AH172" s="31">
        <v>0</v>
      </c>
      <c r="AI172" s="31">
        <v>303167</v>
      </c>
      <c r="AJ172" s="45">
        <f t="shared" si="66"/>
        <v>6.6750407327491299</v>
      </c>
      <c r="AK172" s="31">
        <v>0</v>
      </c>
      <c r="AL172" s="31">
        <v>0</v>
      </c>
      <c r="AM172" s="31">
        <v>0</v>
      </c>
      <c r="AN172" s="31">
        <v>0</v>
      </c>
      <c r="AO172" s="31">
        <v>0</v>
      </c>
      <c r="AP172" s="31">
        <v>23489</v>
      </c>
      <c r="AQ172" s="31">
        <v>23489</v>
      </c>
      <c r="AR172" s="31">
        <v>326656</v>
      </c>
      <c r="AS172" s="46">
        <f t="shared" si="67"/>
        <v>7.1922145404905544</v>
      </c>
      <c r="AT172" s="31">
        <v>0</v>
      </c>
      <c r="AU172" s="31">
        <v>24465</v>
      </c>
      <c r="AV172" s="31">
        <v>0</v>
      </c>
      <c r="AW172" s="31">
        <v>0</v>
      </c>
      <c r="AX172" s="31">
        <v>0</v>
      </c>
      <c r="AY172" s="31">
        <v>0</v>
      </c>
      <c r="AZ172" s="31">
        <v>0</v>
      </c>
      <c r="BA172" s="31">
        <v>0</v>
      </c>
      <c r="BB172" s="31">
        <v>24465</v>
      </c>
      <c r="BC172" s="33" t="s">
        <v>25</v>
      </c>
      <c r="BD172" s="47">
        <v>39596</v>
      </c>
      <c r="BE172" s="47">
        <v>42132</v>
      </c>
      <c r="BF172" s="45">
        <f t="shared" si="68"/>
        <v>0.92764983046369276</v>
      </c>
      <c r="BG172" s="30">
        <v>1887</v>
      </c>
      <c r="BH172" s="30">
        <v>1971</v>
      </c>
      <c r="BI172" s="30">
        <v>1068</v>
      </c>
      <c r="BJ172" s="30">
        <v>2000</v>
      </c>
      <c r="BK172" s="30">
        <v>2153</v>
      </c>
      <c r="BL172" s="30">
        <v>173</v>
      </c>
      <c r="BM172" s="30">
        <v>12919</v>
      </c>
      <c r="BN172" s="30">
        <v>1</v>
      </c>
      <c r="BO172" s="30">
        <v>51</v>
      </c>
      <c r="BP172" s="30">
        <v>1</v>
      </c>
      <c r="BQ172" s="30">
        <v>53</v>
      </c>
      <c r="BR172" s="47">
        <v>43483</v>
      </c>
      <c r="BS172" s="47">
        <v>60417</v>
      </c>
      <c r="BT172" s="1">
        <f t="shared" si="69"/>
        <v>1.3302435157866925</v>
      </c>
      <c r="BU172" s="30">
        <v>54</v>
      </c>
      <c r="BV172" s="30">
        <v>4</v>
      </c>
      <c r="BW172" s="47">
        <v>10807</v>
      </c>
      <c r="BX172" s="52">
        <f t="shared" si="70"/>
        <v>0.23794530802765423</v>
      </c>
      <c r="BY172" s="47">
        <v>38610</v>
      </c>
      <c r="BZ172" s="47">
        <v>0</v>
      </c>
      <c r="CA172" s="47">
        <v>86761</v>
      </c>
      <c r="CB172" s="47">
        <v>82723</v>
      </c>
      <c r="CC172" s="47">
        <v>208094</v>
      </c>
      <c r="CD172" s="55">
        <f t="shared" si="71"/>
        <v>4.5817517283896256</v>
      </c>
      <c r="CE172" s="3">
        <f t="shared" si="72"/>
        <v>32900.2371541502</v>
      </c>
      <c r="CF172" s="55">
        <f t="shared" si="73"/>
        <v>37.994157385429979</v>
      </c>
      <c r="CG172" s="55">
        <f t="shared" si="74"/>
        <v>2.0979967132789579</v>
      </c>
      <c r="CH172" s="55">
        <f t="shared" si="75"/>
        <v>2.0750947580978862</v>
      </c>
      <c r="CI172" s="30">
        <v>113</v>
      </c>
      <c r="CJ172" s="30">
        <v>22</v>
      </c>
      <c r="CK172" s="30">
        <v>156</v>
      </c>
      <c r="CL172" s="30">
        <v>291</v>
      </c>
      <c r="CM172" s="30">
        <v>3621</v>
      </c>
      <c r="CN172" s="30">
        <v>475</v>
      </c>
      <c r="CO172" s="30">
        <v>573</v>
      </c>
      <c r="CP172" s="30">
        <v>4669</v>
      </c>
      <c r="CQ172" s="1">
        <f t="shared" si="83"/>
        <v>0.10280065172398609</v>
      </c>
      <c r="CR172" s="47">
        <v>99187</v>
      </c>
      <c r="CS172" s="55">
        <f t="shared" si="76"/>
        <v>2.1838698313444009</v>
      </c>
      <c r="CT172" s="59">
        <v>19965</v>
      </c>
      <c r="CU172" s="29" t="s">
        <v>25</v>
      </c>
      <c r="CV172" s="29" t="s">
        <v>25</v>
      </c>
      <c r="CW172" s="29" t="s">
        <v>25</v>
      </c>
      <c r="CX172" s="35">
        <v>1.5</v>
      </c>
      <c r="CY172" s="49">
        <f>C172/CX172</f>
        <v>30278.666666666668</v>
      </c>
      <c r="CZ172" s="35">
        <v>2</v>
      </c>
      <c r="DA172" s="35">
        <v>2.8250000000000002</v>
      </c>
      <c r="DB172" s="35">
        <v>6.3250000000000002</v>
      </c>
      <c r="DC172" s="49">
        <f t="shared" si="77"/>
        <v>7180.711462450593</v>
      </c>
      <c r="DD172" s="30">
        <v>1027</v>
      </c>
      <c r="DE172" s="31">
        <v>48875</v>
      </c>
      <c r="DF172" s="35">
        <v>40</v>
      </c>
      <c r="DG172" s="29" t="s">
        <v>25</v>
      </c>
      <c r="DH172" s="29" t="s">
        <v>25</v>
      </c>
      <c r="DI172" s="29" t="s">
        <v>25</v>
      </c>
      <c r="DJ172" s="47">
        <v>1748</v>
      </c>
      <c r="DK172" s="47">
        <v>114</v>
      </c>
      <c r="DL172" s="47">
        <v>15</v>
      </c>
      <c r="DM172" s="47">
        <v>10689</v>
      </c>
      <c r="DN172" s="47">
        <v>53271</v>
      </c>
      <c r="DO172" s="47">
        <v>3000</v>
      </c>
      <c r="DP172" s="29" t="s">
        <v>25</v>
      </c>
      <c r="DQ172" s="47">
        <v>22903</v>
      </c>
      <c r="DR172" s="47">
        <v>2357</v>
      </c>
      <c r="DS172" s="30">
        <v>52</v>
      </c>
      <c r="DT172" s="30">
        <v>50</v>
      </c>
      <c r="DU172" s="30">
        <v>50</v>
      </c>
      <c r="DV172" s="30">
        <v>50</v>
      </c>
      <c r="DW172">
        <f>VLOOKUP(EC172,branch!$I$4:$K$77,3,0)</f>
        <v>3120</v>
      </c>
      <c r="DX172" s="2">
        <f t="shared" si="78"/>
        <v>5477</v>
      </c>
      <c r="DY172" s="33" t="s">
        <v>2187</v>
      </c>
      <c r="DZ172" s="33" t="s">
        <v>522</v>
      </c>
      <c r="EA172" s="33" t="s">
        <v>2031</v>
      </c>
      <c r="EB172" s="33" t="s">
        <v>2027</v>
      </c>
      <c r="EC172" s="36">
        <v>139</v>
      </c>
      <c r="ED172" s="29" t="s">
        <v>520</v>
      </c>
      <c r="EE172" s="29" t="s">
        <v>521</v>
      </c>
      <c r="EF172" s="37">
        <v>41548</v>
      </c>
      <c r="EG172" s="37">
        <v>41912</v>
      </c>
      <c r="EH172" s="29" t="s">
        <v>520</v>
      </c>
      <c r="EI172" s="55">
        <f t="shared" si="79"/>
        <v>0.85010348320049323</v>
      </c>
      <c r="EJ172" s="54">
        <f t="shared" si="80"/>
        <v>0</v>
      </c>
      <c r="EK172" s="55">
        <f t="shared" si="81"/>
        <v>1.9102778634021753</v>
      </c>
      <c r="EL172" s="54">
        <f t="shared" si="82"/>
        <v>1.8213703817869566</v>
      </c>
    </row>
    <row r="173" spans="1:142" ht="28.8" x14ac:dyDescent="0.3">
      <c r="A173" s="29" t="s">
        <v>1503</v>
      </c>
      <c r="B173" s="29"/>
      <c r="C173" s="30">
        <v>68609</v>
      </c>
      <c r="D173" s="30">
        <v>0</v>
      </c>
      <c r="E173" s="30">
        <v>0</v>
      </c>
      <c r="F173" s="30">
        <v>25000</v>
      </c>
      <c r="H173" s="2">
        <f t="shared" si="58"/>
        <v>25000</v>
      </c>
      <c r="I173" s="1">
        <f t="shared" si="57"/>
        <v>0.36438368144121036</v>
      </c>
      <c r="J173" s="31">
        <v>813329</v>
      </c>
      <c r="K173" s="31">
        <v>251040</v>
      </c>
      <c r="L173" s="31">
        <v>1064369</v>
      </c>
      <c r="M173" s="45">
        <f t="shared" si="59"/>
        <v>15.513547785275984</v>
      </c>
      <c r="N173" s="31">
        <v>148628</v>
      </c>
      <c r="O173" s="31">
        <v>53406</v>
      </c>
      <c r="P173" s="31">
        <v>20524</v>
      </c>
      <c r="Q173" s="31">
        <v>222558</v>
      </c>
      <c r="R173" s="45">
        <f t="shared" si="60"/>
        <v>3.2438601349677154</v>
      </c>
      <c r="S173" s="31">
        <v>90744</v>
      </c>
      <c r="T173" s="31">
        <v>1377671</v>
      </c>
      <c r="U173" s="31">
        <v>0</v>
      </c>
      <c r="V173" s="31">
        <v>1377671</v>
      </c>
      <c r="W173" s="45">
        <f t="shared" si="61"/>
        <v>20.080033231791749</v>
      </c>
      <c r="X173" s="4">
        <f t="shared" si="62"/>
        <v>0.77258576249336741</v>
      </c>
      <c r="Y173" s="4">
        <f t="shared" si="63"/>
        <v>0.1615465521158535</v>
      </c>
      <c r="Z173" s="4">
        <f t="shared" si="64"/>
        <v>6.5867685390779071E-2</v>
      </c>
      <c r="AA173" s="4">
        <f t="shared" si="65"/>
        <v>0</v>
      </c>
      <c r="AB173" s="31">
        <v>0</v>
      </c>
      <c r="AC173" s="31">
        <v>222558</v>
      </c>
      <c r="AD173" s="31">
        <v>1377671</v>
      </c>
      <c r="AE173" s="31">
        <v>1377671</v>
      </c>
      <c r="AF173" s="31">
        <v>1377671</v>
      </c>
      <c r="AG173" s="31">
        <v>0</v>
      </c>
      <c r="AH173" s="31">
        <v>0</v>
      </c>
      <c r="AI173" s="31">
        <v>1377671</v>
      </c>
      <c r="AJ173" s="45">
        <f t="shared" si="66"/>
        <v>20.080033231791749</v>
      </c>
      <c r="AK173" s="31">
        <v>0</v>
      </c>
      <c r="AL173" s="31">
        <v>0</v>
      </c>
      <c r="AM173" s="31">
        <v>0</v>
      </c>
      <c r="AN173" s="31">
        <v>0</v>
      </c>
      <c r="AO173" s="31">
        <v>0</v>
      </c>
      <c r="AP173" s="31">
        <v>14332</v>
      </c>
      <c r="AQ173" s="31">
        <v>14332</v>
      </c>
      <c r="AR173" s="31">
        <v>1392003</v>
      </c>
      <c r="AS173" s="46">
        <f t="shared" si="67"/>
        <v>20.288927108688366</v>
      </c>
      <c r="AT173" s="31">
        <v>0</v>
      </c>
      <c r="AU173" s="31">
        <v>0</v>
      </c>
      <c r="AV173" s="31">
        <v>0</v>
      </c>
      <c r="AW173" s="31">
        <v>0</v>
      </c>
      <c r="AX173" s="31">
        <v>0</v>
      </c>
      <c r="AY173" s="31">
        <v>0</v>
      </c>
      <c r="AZ173" s="31">
        <v>0</v>
      </c>
      <c r="BA173" s="31">
        <v>0</v>
      </c>
      <c r="BB173" s="31">
        <v>0</v>
      </c>
      <c r="BC173" s="33" t="s">
        <v>25</v>
      </c>
      <c r="BD173" s="47">
        <v>73369</v>
      </c>
      <c r="BE173" s="47">
        <v>92225</v>
      </c>
      <c r="BF173" s="45">
        <f t="shared" si="68"/>
        <v>1.3442114008366248</v>
      </c>
      <c r="BG173" s="30">
        <v>4798</v>
      </c>
      <c r="BH173" s="30">
        <v>5532</v>
      </c>
      <c r="BI173" s="30">
        <v>10659</v>
      </c>
      <c r="BJ173" s="30">
        <v>6412</v>
      </c>
      <c r="BK173" s="30">
        <v>7734</v>
      </c>
      <c r="BL173" s="30">
        <v>0</v>
      </c>
      <c r="BM173" s="30">
        <v>10761</v>
      </c>
      <c r="BN173" s="30">
        <v>12</v>
      </c>
      <c r="BO173" s="30">
        <v>51</v>
      </c>
      <c r="BP173" s="30">
        <v>1</v>
      </c>
      <c r="BQ173" s="30">
        <v>64</v>
      </c>
      <c r="BR173" s="47">
        <v>84579</v>
      </c>
      <c r="BS173" s="47">
        <v>126923</v>
      </c>
      <c r="BT173" s="1">
        <f t="shared" si="69"/>
        <v>1.8499467999825097</v>
      </c>
      <c r="BU173" s="30">
        <v>136</v>
      </c>
      <c r="BV173" s="30">
        <v>15</v>
      </c>
      <c r="BW173" s="47">
        <v>30951</v>
      </c>
      <c r="BX173" s="52">
        <f t="shared" si="70"/>
        <v>0.45112157297147604</v>
      </c>
      <c r="BY173" s="47">
        <v>255793</v>
      </c>
      <c r="BZ173" s="47">
        <v>0</v>
      </c>
      <c r="CA173" s="47">
        <v>153520</v>
      </c>
      <c r="CB173" s="47">
        <v>30798</v>
      </c>
      <c r="CC173" s="47">
        <v>440111</v>
      </c>
      <c r="CD173" s="55">
        <f t="shared" si="71"/>
        <v>6.4147706569109006</v>
      </c>
      <c r="CE173" s="3">
        <f t="shared" si="72"/>
        <v>22397.506361323158</v>
      </c>
      <c r="CF173" s="55">
        <f t="shared" si="73"/>
        <v>146.1191899070385</v>
      </c>
      <c r="CG173" s="55">
        <f t="shared" si="74"/>
        <v>2.3749602024682566</v>
      </c>
      <c r="CH173" s="55">
        <f t="shared" si="75"/>
        <v>3.2248922575104593</v>
      </c>
      <c r="CI173" s="30">
        <v>535</v>
      </c>
      <c r="CJ173" s="30">
        <v>25</v>
      </c>
      <c r="CK173" s="30">
        <v>69</v>
      </c>
      <c r="CL173" s="30">
        <v>629</v>
      </c>
      <c r="CM173" s="30">
        <v>15759</v>
      </c>
      <c r="CN173" s="30">
        <v>348</v>
      </c>
      <c r="CO173" s="30">
        <v>2030</v>
      </c>
      <c r="CP173" s="30">
        <v>18137</v>
      </c>
      <c r="CQ173" s="1">
        <f t="shared" si="83"/>
        <v>0.26435307321196927</v>
      </c>
      <c r="CR173" s="47">
        <v>185313</v>
      </c>
      <c r="CS173" s="55">
        <f t="shared" si="76"/>
        <v>2.7010013263566006</v>
      </c>
      <c r="CT173" s="59">
        <v>37348</v>
      </c>
      <c r="CU173" s="29" t="s">
        <v>25</v>
      </c>
      <c r="CV173" s="29" t="s">
        <v>25</v>
      </c>
      <c r="CW173" s="29" t="s">
        <v>25</v>
      </c>
      <c r="CX173" s="35">
        <v>9</v>
      </c>
      <c r="CY173" s="49">
        <f>C173/CX173</f>
        <v>7623.2222222222226</v>
      </c>
      <c r="CZ173" s="35">
        <v>0</v>
      </c>
      <c r="DA173" s="35">
        <v>10.65</v>
      </c>
      <c r="DB173" s="35">
        <v>19.649999999999999</v>
      </c>
      <c r="DC173" s="49">
        <f t="shared" si="77"/>
        <v>3491.5521628498732</v>
      </c>
      <c r="DD173" s="30">
        <v>1053</v>
      </c>
      <c r="DE173" s="31">
        <v>86008</v>
      </c>
      <c r="DF173" s="35">
        <v>40</v>
      </c>
      <c r="DG173" s="29" t="s">
        <v>25</v>
      </c>
      <c r="DH173" s="29" t="s">
        <v>25</v>
      </c>
      <c r="DI173" s="29" t="s">
        <v>25</v>
      </c>
      <c r="DJ173" s="47">
        <v>521</v>
      </c>
      <c r="DK173" s="47">
        <v>0</v>
      </c>
      <c r="DL173" s="47">
        <v>15</v>
      </c>
      <c r="DM173" s="47">
        <v>13960</v>
      </c>
      <c r="DN173" s="47">
        <v>5460</v>
      </c>
      <c r="DO173" s="47">
        <v>0</v>
      </c>
      <c r="DP173" s="29" t="s">
        <v>25</v>
      </c>
      <c r="DQ173" s="47">
        <v>132521</v>
      </c>
      <c r="DR173" s="47">
        <v>3012</v>
      </c>
      <c r="DS173" s="30">
        <v>52</v>
      </c>
      <c r="DT173" s="30">
        <v>60</v>
      </c>
      <c r="DU173" s="30">
        <v>60</v>
      </c>
      <c r="DV173" s="30">
        <v>60</v>
      </c>
      <c r="DX173" s="2">
        <f t="shared" si="78"/>
        <v>3012</v>
      </c>
      <c r="DY173" s="33" t="s">
        <v>2181</v>
      </c>
      <c r="DZ173" s="33" t="s">
        <v>1504</v>
      </c>
      <c r="EA173" s="33" t="s">
        <v>2030</v>
      </c>
      <c r="EB173" s="33" t="s">
        <v>2027</v>
      </c>
      <c r="EC173" s="36">
        <v>481</v>
      </c>
      <c r="ED173" s="29" t="s">
        <v>1502</v>
      </c>
      <c r="EE173" s="29" t="s">
        <v>424</v>
      </c>
      <c r="EF173" s="37">
        <v>41548</v>
      </c>
      <c r="EG173" s="37">
        <v>41912</v>
      </c>
      <c r="EH173" s="29" t="s">
        <v>1502</v>
      </c>
      <c r="EI173" s="55">
        <f t="shared" si="79"/>
        <v>3.7282718010756608</v>
      </c>
      <c r="EJ173" s="54">
        <f t="shared" si="80"/>
        <v>0</v>
      </c>
      <c r="EK173" s="55">
        <f t="shared" si="81"/>
        <v>2.2376073109941843</v>
      </c>
      <c r="EL173" s="54">
        <f t="shared" si="82"/>
        <v>0.44889154484105581</v>
      </c>
    </row>
    <row r="174" spans="1:142" ht="28.8" x14ac:dyDescent="0.3">
      <c r="A174" s="29" t="s">
        <v>523</v>
      </c>
      <c r="B174" s="29"/>
      <c r="C174" s="30">
        <v>6230</v>
      </c>
      <c r="D174" s="30">
        <v>1</v>
      </c>
      <c r="E174" s="30">
        <v>0</v>
      </c>
      <c r="F174" s="30">
        <v>5250</v>
      </c>
      <c r="G174">
        <v>2950</v>
      </c>
      <c r="H174" s="2">
        <f t="shared" si="58"/>
        <v>8200</v>
      </c>
      <c r="I174" s="1">
        <f t="shared" si="57"/>
        <v>1.3162118780096308</v>
      </c>
      <c r="J174" s="31">
        <v>38833</v>
      </c>
      <c r="K174" s="31">
        <v>9262</v>
      </c>
      <c r="L174" s="31">
        <v>48095</v>
      </c>
      <c r="M174" s="45">
        <f t="shared" si="59"/>
        <v>7.719903691813804</v>
      </c>
      <c r="N174" s="31">
        <v>7988</v>
      </c>
      <c r="O174" s="31">
        <v>0</v>
      </c>
      <c r="P174" s="31">
        <v>0</v>
      </c>
      <c r="Q174" s="31">
        <v>7988</v>
      </c>
      <c r="R174" s="45">
        <f t="shared" si="60"/>
        <v>1.2821829855537721</v>
      </c>
      <c r="S174" s="31">
        <v>14741</v>
      </c>
      <c r="T174" s="31">
        <v>70824</v>
      </c>
      <c r="U174" s="31">
        <v>0</v>
      </c>
      <c r="V174" s="31">
        <v>70824</v>
      </c>
      <c r="W174" s="45">
        <f t="shared" si="61"/>
        <v>11.368218298555377</v>
      </c>
      <c r="X174" s="4">
        <f t="shared" si="62"/>
        <v>0.67907771376934367</v>
      </c>
      <c r="Y174" s="4">
        <f t="shared" si="63"/>
        <v>0.11278662600248503</v>
      </c>
      <c r="Z174" s="4">
        <f t="shared" si="64"/>
        <v>0.20813566022817123</v>
      </c>
      <c r="AA174" s="4">
        <f t="shared" si="65"/>
        <v>0</v>
      </c>
      <c r="AB174" s="31">
        <v>0</v>
      </c>
      <c r="AC174" s="31">
        <v>5493</v>
      </c>
      <c r="AD174" s="31">
        <v>68329</v>
      </c>
      <c r="AE174" s="31">
        <v>68195</v>
      </c>
      <c r="AF174" s="31">
        <v>0</v>
      </c>
      <c r="AG174" s="31">
        <v>68195</v>
      </c>
      <c r="AH174" s="31">
        <v>0</v>
      </c>
      <c r="AI174" s="31">
        <v>68195</v>
      </c>
      <c r="AJ174" s="45">
        <f t="shared" si="66"/>
        <v>10.946227929373997</v>
      </c>
      <c r="AK174" s="31">
        <v>0</v>
      </c>
      <c r="AL174" s="31">
        <v>0</v>
      </c>
      <c r="AM174" s="31">
        <v>0</v>
      </c>
      <c r="AN174" s="31">
        <v>0</v>
      </c>
      <c r="AO174" s="31">
        <v>2495</v>
      </c>
      <c r="AP174" s="31">
        <v>134</v>
      </c>
      <c r="AQ174" s="31">
        <v>2629</v>
      </c>
      <c r="AR174" s="31">
        <v>70824</v>
      </c>
      <c r="AS174" s="46">
        <f t="shared" si="67"/>
        <v>11.368218298555377</v>
      </c>
      <c r="AT174" s="31">
        <v>0</v>
      </c>
      <c r="AU174" s="31">
        <v>0</v>
      </c>
      <c r="AV174" s="31">
        <v>0</v>
      </c>
      <c r="AW174" s="31">
        <v>0</v>
      </c>
      <c r="AX174" s="31">
        <v>0</v>
      </c>
      <c r="AY174" s="31">
        <v>0</v>
      </c>
      <c r="AZ174" s="31">
        <v>0</v>
      </c>
      <c r="BA174" s="31">
        <v>0</v>
      </c>
      <c r="BB174" s="31">
        <v>0</v>
      </c>
      <c r="BC174" s="33" t="s">
        <v>25</v>
      </c>
      <c r="BD174" s="47">
        <v>21149</v>
      </c>
      <c r="BE174" s="47">
        <v>21678</v>
      </c>
      <c r="BF174" s="45">
        <f t="shared" si="68"/>
        <v>3.4796147672552169</v>
      </c>
      <c r="BG174" s="30">
        <v>162</v>
      </c>
      <c r="BH174" s="30">
        <v>162</v>
      </c>
      <c r="BI174" s="30">
        <v>0</v>
      </c>
      <c r="BJ174" s="30">
        <v>506</v>
      </c>
      <c r="BK174" s="30">
        <v>506</v>
      </c>
      <c r="BL174" s="30">
        <v>0</v>
      </c>
      <c r="BM174" s="30">
        <v>0</v>
      </c>
      <c r="BN174" s="30">
        <v>0</v>
      </c>
      <c r="BO174" s="30">
        <v>0</v>
      </c>
      <c r="BP174" s="30">
        <v>0</v>
      </c>
      <c r="BQ174" s="30">
        <v>0</v>
      </c>
      <c r="BR174" s="47">
        <v>21817</v>
      </c>
      <c r="BS174" s="47">
        <v>22346</v>
      </c>
      <c r="BT174" s="1">
        <f t="shared" si="69"/>
        <v>3.5868378812199038</v>
      </c>
      <c r="BU174" s="30">
        <v>39</v>
      </c>
      <c r="BV174" s="30">
        <v>0</v>
      </c>
      <c r="BW174" s="47">
        <v>1400</v>
      </c>
      <c r="BX174" s="52">
        <f t="shared" si="70"/>
        <v>0.2247191011235955</v>
      </c>
      <c r="BY174" s="47">
        <v>1526</v>
      </c>
      <c r="BZ174" s="47">
        <v>0</v>
      </c>
      <c r="CA174" s="47">
        <v>6008</v>
      </c>
      <c r="CB174" s="47">
        <v>0</v>
      </c>
      <c r="CC174" s="47">
        <v>7534</v>
      </c>
      <c r="CD174" s="55">
        <f t="shared" si="71"/>
        <v>1.2093097913322632</v>
      </c>
      <c r="CE174" s="3">
        <f t="shared" si="72"/>
        <v>5022.666666666667</v>
      </c>
      <c r="CF174" s="55">
        <f t="shared" si="73"/>
        <v>2.4980106100795756</v>
      </c>
      <c r="CG174" s="55">
        <f t="shared" si="74"/>
        <v>2.1525714285714286</v>
      </c>
      <c r="CH174" s="55">
        <f t="shared" si="75"/>
        <v>0.33715206300903966</v>
      </c>
      <c r="CI174" s="30">
        <v>1</v>
      </c>
      <c r="CJ174" s="30">
        <v>1</v>
      </c>
      <c r="CK174" s="30">
        <v>0</v>
      </c>
      <c r="CL174" s="30">
        <v>2</v>
      </c>
      <c r="CM174" s="30">
        <v>8</v>
      </c>
      <c r="CN174" s="30">
        <v>2</v>
      </c>
      <c r="CO174" s="30">
        <v>0</v>
      </c>
      <c r="CP174" s="30">
        <v>10</v>
      </c>
      <c r="CQ174" s="1">
        <f t="shared" si="83"/>
        <v>1.6051364365971107E-3</v>
      </c>
      <c r="CR174" s="47">
        <v>3500</v>
      </c>
      <c r="CS174" s="55">
        <f t="shared" si="76"/>
        <v>0.5617977528089888</v>
      </c>
      <c r="CT174" s="59">
        <v>2264</v>
      </c>
      <c r="CU174" s="29" t="s">
        <v>25</v>
      </c>
      <c r="CV174" s="29" t="s">
        <v>25</v>
      </c>
      <c r="CW174" s="29" t="s">
        <v>25</v>
      </c>
      <c r="CX174" s="35">
        <v>0</v>
      </c>
      <c r="CY174" s="49">
        <v>0</v>
      </c>
      <c r="CZ174" s="35">
        <v>1</v>
      </c>
      <c r="DA174" s="35">
        <v>0.5</v>
      </c>
      <c r="DB174" s="35">
        <v>1.5</v>
      </c>
      <c r="DC174" s="49">
        <f t="shared" si="77"/>
        <v>4153.333333333333</v>
      </c>
      <c r="DD174" s="30">
        <v>263</v>
      </c>
      <c r="DE174" s="31">
        <v>27842</v>
      </c>
      <c r="DF174" s="35">
        <v>40</v>
      </c>
      <c r="DG174" s="29" t="s">
        <v>25</v>
      </c>
      <c r="DH174" s="29" t="s">
        <v>25</v>
      </c>
      <c r="DI174" s="29" t="s">
        <v>25</v>
      </c>
      <c r="DJ174" s="47">
        <v>44</v>
      </c>
      <c r="DK174" s="47">
        <v>0</v>
      </c>
      <c r="DL174" s="47">
        <v>6</v>
      </c>
      <c r="DM174" s="47">
        <v>2259</v>
      </c>
      <c r="DN174" s="47">
        <v>8</v>
      </c>
      <c r="DO174" s="47">
        <v>350</v>
      </c>
      <c r="DP174" s="29" t="s">
        <v>2028</v>
      </c>
      <c r="DQ174" s="47">
        <v>0</v>
      </c>
      <c r="DR174" s="47">
        <v>2028</v>
      </c>
      <c r="DS174" s="30">
        <v>52</v>
      </c>
      <c r="DT174" s="30">
        <v>42</v>
      </c>
      <c r="DU174" s="30">
        <v>40</v>
      </c>
      <c r="DV174" s="30">
        <v>40</v>
      </c>
      <c r="DW174">
        <f>VLOOKUP(EC174,branch!$I$4:$K$77,3,0)</f>
        <v>988</v>
      </c>
      <c r="DX174" s="2">
        <f t="shared" si="78"/>
        <v>3016</v>
      </c>
      <c r="DY174" s="33" t="s">
        <v>2178</v>
      </c>
      <c r="DZ174" s="33" t="s">
        <v>526</v>
      </c>
      <c r="EA174" s="33" t="s">
        <v>2031</v>
      </c>
      <c r="EB174" s="33" t="s">
        <v>2027</v>
      </c>
      <c r="EC174" s="36">
        <v>140</v>
      </c>
      <c r="ED174" s="29" t="s">
        <v>524</v>
      </c>
      <c r="EE174" s="29" t="s">
        <v>525</v>
      </c>
      <c r="EF174" s="37">
        <v>41548</v>
      </c>
      <c r="EG174" s="37">
        <v>41912</v>
      </c>
      <c r="EH174" s="29" t="s">
        <v>524</v>
      </c>
      <c r="EI174" s="55">
        <f t="shared" si="79"/>
        <v>0.24494382022471911</v>
      </c>
      <c r="EJ174" s="54">
        <f t="shared" si="80"/>
        <v>0</v>
      </c>
      <c r="EK174" s="55">
        <f t="shared" si="81"/>
        <v>0.96436597110754418</v>
      </c>
      <c r="EL174" s="54">
        <f t="shared" si="82"/>
        <v>0</v>
      </c>
    </row>
    <row r="175" spans="1:142" ht="28.8" x14ac:dyDescent="0.3">
      <c r="A175" s="29" t="s">
        <v>1512</v>
      </c>
      <c r="B175" s="29"/>
      <c r="C175" s="30">
        <v>12700</v>
      </c>
      <c r="D175" s="30">
        <v>0</v>
      </c>
      <c r="E175" s="30">
        <v>0</v>
      </c>
      <c r="F175" s="30">
        <v>7700</v>
      </c>
      <c r="H175" s="2">
        <f t="shared" si="58"/>
        <v>7700</v>
      </c>
      <c r="I175" s="1">
        <f t="shared" si="57"/>
        <v>0.60629921259842523</v>
      </c>
      <c r="J175" s="31">
        <v>137534</v>
      </c>
      <c r="K175" s="31">
        <v>10398</v>
      </c>
      <c r="L175" s="31">
        <v>147932</v>
      </c>
      <c r="M175" s="45">
        <f t="shared" si="59"/>
        <v>11.648188976377952</v>
      </c>
      <c r="N175" s="31">
        <v>15842</v>
      </c>
      <c r="O175" s="31">
        <v>0</v>
      </c>
      <c r="P175" s="31">
        <v>10128</v>
      </c>
      <c r="Q175" s="31">
        <v>25970</v>
      </c>
      <c r="R175" s="45">
        <f t="shared" si="60"/>
        <v>2.0448818897637797</v>
      </c>
      <c r="S175" s="31">
        <v>79370</v>
      </c>
      <c r="T175" s="31">
        <v>253272</v>
      </c>
      <c r="U175" s="31">
        <v>0</v>
      </c>
      <c r="V175" s="31">
        <v>253272</v>
      </c>
      <c r="W175" s="45">
        <f t="shared" si="61"/>
        <v>19.942677165354329</v>
      </c>
      <c r="X175" s="4">
        <f t="shared" si="62"/>
        <v>0.58408351495625255</v>
      </c>
      <c r="Y175" s="4">
        <f t="shared" si="63"/>
        <v>0.1025379828800657</v>
      </c>
      <c r="Z175" s="4">
        <f t="shared" si="64"/>
        <v>0.31337850216368174</v>
      </c>
      <c r="AA175" s="4">
        <f t="shared" si="65"/>
        <v>0</v>
      </c>
      <c r="AB175" s="31">
        <v>57866</v>
      </c>
      <c r="AC175" s="31">
        <v>25970</v>
      </c>
      <c r="AD175" s="31">
        <v>242874</v>
      </c>
      <c r="AE175" s="31">
        <v>242874</v>
      </c>
      <c r="AF175" s="31">
        <v>294210</v>
      </c>
      <c r="AG175" s="31">
        <v>0</v>
      </c>
      <c r="AH175" s="31">
        <v>0</v>
      </c>
      <c r="AI175" s="31">
        <v>294210</v>
      </c>
      <c r="AJ175" s="45">
        <f t="shared" si="66"/>
        <v>23.166141732283464</v>
      </c>
      <c r="AK175" s="31">
        <v>0</v>
      </c>
      <c r="AL175" s="31">
        <v>0</v>
      </c>
      <c r="AM175" s="31">
        <v>0</v>
      </c>
      <c r="AN175" s="31">
        <v>0</v>
      </c>
      <c r="AO175" s="31">
        <v>0</v>
      </c>
      <c r="AP175" s="31">
        <v>2235</v>
      </c>
      <c r="AQ175" s="31">
        <v>2235</v>
      </c>
      <c r="AR175" s="31">
        <v>296445</v>
      </c>
      <c r="AS175" s="46">
        <f t="shared" si="67"/>
        <v>23.342125984251968</v>
      </c>
      <c r="AT175" s="31">
        <v>0</v>
      </c>
      <c r="AU175" s="31">
        <v>0</v>
      </c>
      <c r="AV175" s="31">
        <v>0</v>
      </c>
      <c r="AW175" s="31">
        <v>0</v>
      </c>
      <c r="AX175" s="31">
        <v>0</v>
      </c>
      <c r="AY175" s="31">
        <v>0</v>
      </c>
      <c r="AZ175" s="31">
        <v>0</v>
      </c>
      <c r="BA175" s="31">
        <v>0</v>
      </c>
      <c r="BB175" s="31">
        <v>0</v>
      </c>
      <c r="BC175" s="33" t="s">
        <v>25</v>
      </c>
      <c r="BD175" s="47">
        <v>17016</v>
      </c>
      <c r="BE175" s="47">
        <v>17767</v>
      </c>
      <c r="BF175" s="45">
        <f t="shared" si="68"/>
        <v>1.398976377952756</v>
      </c>
      <c r="BG175" s="30">
        <v>507</v>
      </c>
      <c r="BH175" s="30">
        <v>585</v>
      </c>
      <c r="BI175" s="30">
        <v>0</v>
      </c>
      <c r="BJ175" s="30">
        <v>2876</v>
      </c>
      <c r="BK175" s="30">
        <v>3279</v>
      </c>
      <c r="BL175" s="30">
        <v>0</v>
      </c>
      <c r="BM175" s="30">
        <v>0</v>
      </c>
      <c r="BN175" s="30">
        <v>0</v>
      </c>
      <c r="BO175" s="30">
        <v>51</v>
      </c>
      <c r="BP175" s="30">
        <v>0</v>
      </c>
      <c r="BQ175" s="30">
        <v>51</v>
      </c>
      <c r="BR175" s="47">
        <v>20399</v>
      </c>
      <c r="BS175" s="47">
        <v>21631</v>
      </c>
      <c r="BT175" s="1">
        <f t="shared" si="69"/>
        <v>1.7032283464566929</v>
      </c>
      <c r="BU175" s="30">
        <v>33</v>
      </c>
      <c r="BV175" s="30">
        <v>0</v>
      </c>
      <c r="BW175" s="47">
        <v>3328</v>
      </c>
      <c r="BX175" s="52">
        <f t="shared" si="70"/>
        <v>0.26204724409448821</v>
      </c>
      <c r="BY175" s="47">
        <v>10556</v>
      </c>
      <c r="BZ175" s="47">
        <v>0</v>
      </c>
      <c r="CA175" s="47">
        <v>21693</v>
      </c>
      <c r="CB175" s="47">
        <v>0</v>
      </c>
      <c r="CC175" s="47">
        <v>32249</v>
      </c>
      <c r="CD175" s="55">
        <f t="shared" si="71"/>
        <v>2.539291338582677</v>
      </c>
      <c r="CE175" s="3">
        <f t="shared" si="72"/>
        <v>7532.6131386861316</v>
      </c>
      <c r="CF175" s="55">
        <f t="shared" si="73"/>
        <v>19.380408653846153</v>
      </c>
      <c r="CG175" s="55">
        <f t="shared" si="74"/>
        <v>1.037545846470626</v>
      </c>
      <c r="CH175" s="55">
        <f t="shared" si="75"/>
        <v>1.4908695853173686</v>
      </c>
      <c r="CI175" s="30">
        <v>40</v>
      </c>
      <c r="CJ175" s="30">
        <v>8</v>
      </c>
      <c r="CK175" s="30">
        <v>101</v>
      </c>
      <c r="CL175" s="30">
        <v>149</v>
      </c>
      <c r="CM175" s="30">
        <v>747</v>
      </c>
      <c r="CN175" s="30">
        <v>24</v>
      </c>
      <c r="CO175" s="30">
        <v>866</v>
      </c>
      <c r="CP175" s="30">
        <v>1637</v>
      </c>
      <c r="CQ175" s="1">
        <f t="shared" si="83"/>
        <v>0.12889763779527558</v>
      </c>
      <c r="CR175" s="47">
        <v>31082</v>
      </c>
      <c r="CS175" s="55">
        <f t="shared" si="76"/>
        <v>2.4474015748031497</v>
      </c>
      <c r="CT175" s="59">
        <v>6518</v>
      </c>
      <c r="CU175" s="29" t="s">
        <v>25</v>
      </c>
      <c r="CV175" s="29" t="s">
        <v>25</v>
      </c>
      <c r="CW175" s="29" t="s">
        <v>25</v>
      </c>
      <c r="CX175" s="35">
        <v>2</v>
      </c>
      <c r="CY175" s="49">
        <f>C175/CX175</f>
        <v>6350</v>
      </c>
      <c r="CZ175" s="35">
        <v>0</v>
      </c>
      <c r="DA175" s="35">
        <v>2.28125</v>
      </c>
      <c r="DB175" s="35">
        <v>4.28125</v>
      </c>
      <c r="DC175" s="49">
        <f t="shared" si="77"/>
        <v>2966.4233576642337</v>
      </c>
      <c r="DD175" s="30">
        <v>482</v>
      </c>
      <c r="DE175" s="31">
        <v>55000</v>
      </c>
      <c r="DF175" s="35">
        <v>40</v>
      </c>
      <c r="DG175" s="29" t="s">
        <v>25</v>
      </c>
      <c r="DH175" s="29" t="s">
        <v>26</v>
      </c>
      <c r="DI175" s="29" t="s">
        <v>26</v>
      </c>
      <c r="DJ175" s="47">
        <v>0</v>
      </c>
      <c r="DK175" s="47">
        <v>0</v>
      </c>
      <c r="DL175" s="47">
        <v>22</v>
      </c>
      <c r="DM175" s="47">
        <v>9111</v>
      </c>
      <c r="DN175" s="47">
        <v>2506</v>
      </c>
      <c r="DO175" s="47">
        <v>0</v>
      </c>
      <c r="DP175" s="29" t="s">
        <v>2028</v>
      </c>
      <c r="DQ175" s="47">
        <v>0</v>
      </c>
      <c r="DR175" s="47">
        <v>1664</v>
      </c>
      <c r="DS175" s="30">
        <v>52</v>
      </c>
      <c r="DT175" s="30">
        <v>32</v>
      </c>
      <c r="DU175" s="30">
        <v>32</v>
      </c>
      <c r="DV175" s="30">
        <v>32</v>
      </c>
      <c r="DX175" s="2">
        <f t="shared" si="78"/>
        <v>1664</v>
      </c>
      <c r="DY175" s="33" t="s">
        <v>2181</v>
      </c>
      <c r="DZ175" s="33" t="s">
        <v>1513</v>
      </c>
      <c r="EA175" s="33" t="s">
        <v>2033</v>
      </c>
      <c r="EB175" s="33" t="s">
        <v>2027</v>
      </c>
      <c r="EC175" s="36">
        <v>485</v>
      </c>
      <c r="ED175" s="29" t="s">
        <v>1511</v>
      </c>
      <c r="EE175" s="29" t="s">
        <v>91</v>
      </c>
      <c r="EF175" s="37">
        <v>41640</v>
      </c>
      <c r="EG175" s="37">
        <v>42004</v>
      </c>
      <c r="EH175" s="29" t="s">
        <v>1511</v>
      </c>
      <c r="EI175" s="55">
        <f t="shared" si="79"/>
        <v>0.83118110236220477</v>
      </c>
      <c r="EJ175" s="54">
        <f t="shared" si="80"/>
        <v>0</v>
      </c>
      <c r="EK175" s="55">
        <f t="shared" si="81"/>
        <v>1.7081102362204725</v>
      </c>
      <c r="EL175" s="54">
        <f t="shared" si="82"/>
        <v>0</v>
      </c>
    </row>
    <row r="176" spans="1:142" ht="28.8" x14ac:dyDescent="0.3">
      <c r="A176" s="29" t="s">
        <v>529</v>
      </c>
      <c r="B176" s="29"/>
      <c r="C176" s="30">
        <v>2253</v>
      </c>
      <c r="D176" s="30">
        <v>0</v>
      </c>
      <c r="E176" s="30">
        <v>0</v>
      </c>
      <c r="F176" s="30">
        <v>6000</v>
      </c>
      <c r="H176" s="2">
        <f t="shared" si="58"/>
        <v>6000</v>
      </c>
      <c r="I176" s="1">
        <f t="shared" si="57"/>
        <v>2.6631158455392812</v>
      </c>
      <c r="J176" s="31">
        <v>53984</v>
      </c>
      <c r="K176" s="31">
        <v>13745</v>
      </c>
      <c r="L176" s="31">
        <v>67729</v>
      </c>
      <c r="M176" s="45">
        <f t="shared" si="59"/>
        <v>30.061695517088328</v>
      </c>
      <c r="N176" s="31">
        <v>17969</v>
      </c>
      <c r="O176" s="31">
        <v>0</v>
      </c>
      <c r="P176" s="31">
        <v>7845</v>
      </c>
      <c r="Q176" s="31">
        <v>25814</v>
      </c>
      <c r="R176" s="45">
        <f t="shared" si="60"/>
        <v>11.457612072791832</v>
      </c>
      <c r="S176" s="31">
        <v>26112</v>
      </c>
      <c r="T176" s="31">
        <v>119655</v>
      </c>
      <c r="U176" s="31">
        <v>0</v>
      </c>
      <c r="V176" s="31">
        <v>119655</v>
      </c>
      <c r="W176" s="45">
        <f t="shared" si="61"/>
        <v>53.109187749667107</v>
      </c>
      <c r="X176" s="4">
        <f t="shared" si="62"/>
        <v>0.56603568593038323</v>
      </c>
      <c r="Y176" s="4">
        <f t="shared" si="63"/>
        <v>0.2157369102837324</v>
      </c>
      <c r="Z176" s="4">
        <f t="shared" si="64"/>
        <v>0.21822740378588443</v>
      </c>
      <c r="AA176" s="4">
        <f t="shared" si="65"/>
        <v>0</v>
      </c>
      <c r="AB176" s="31">
        <v>0</v>
      </c>
      <c r="AC176" s="31">
        <v>25814</v>
      </c>
      <c r="AD176" s="31">
        <v>119655</v>
      </c>
      <c r="AE176" s="31">
        <v>112877</v>
      </c>
      <c r="AF176" s="31">
        <v>0</v>
      </c>
      <c r="AG176" s="31">
        <v>112877</v>
      </c>
      <c r="AH176" s="31">
        <v>0</v>
      </c>
      <c r="AI176" s="31">
        <v>112877</v>
      </c>
      <c r="AJ176" s="45">
        <f t="shared" si="66"/>
        <v>50.100754549489572</v>
      </c>
      <c r="AK176" s="31">
        <v>0</v>
      </c>
      <c r="AL176" s="31">
        <v>0</v>
      </c>
      <c r="AM176" s="31">
        <v>0</v>
      </c>
      <c r="AN176" s="31">
        <v>0</v>
      </c>
      <c r="AO176" s="31">
        <v>0</v>
      </c>
      <c r="AP176" s="31">
        <v>6778</v>
      </c>
      <c r="AQ176" s="31">
        <v>6778</v>
      </c>
      <c r="AR176" s="31">
        <v>119655</v>
      </c>
      <c r="AS176" s="46">
        <f t="shared" si="67"/>
        <v>53.109187749667107</v>
      </c>
      <c r="AT176" s="31">
        <v>0</v>
      </c>
      <c r="AU176" s="31">
        <v>0</v>
      </c>
      <c r="AV176" s="31">
        <v>0</v>
      </c>
      <c r="AW176" s="31">
        <v>0</v>
      </c>
      <c r="AX176" s="31">
        <v>0</v>
      </c>
      <c r="AY176" s="31">
        <v>0</v>
      </c>
      <c r="AZ176" s="31">
        <v>0</v>
      </c>
      <c r="BA176" s="31">
        <v>0</v>
      </c>
      <c r="BB176" s="31">
        <v>0</v>
      </c>
      <c r="BC176" s="33" t="s">
        <v>25</v>
      </c>
      <c r="BD176" s="47">
        <v>31845</v>
      </c>
      <c r="BE176" s="47">
        <v>32599</v>
      </c>
      <c r="BF176" s="45">
        <f t="shared" si="68"/>
        <v>14.469152241455836</v>
      </c>
      <c r="BG176" s="30">
        <v>1498</v>
      </c>
      <c r="BH176" s="30">
        <v>1523</v>
      </c>
      <c r="BI176" s="30">
        <v>0</v>
      </c>
      <c r="BJ176" s="30">
        <v>2441</v>
      </c>
      <c r="BK176" s="30">
        <v>2672</v>
      </c>
      <c r="BL176" s="30">
        <v>0</v>
      </c>
      <c r="BM176" s="30">
        <v>0</v>
      </c>
      <c r="BN176" s="30">
        <v>0</v>
      </c>
      <c r="BO176" s="30">
        <v>51</v>
      </c>
      <c r="BP176" s="30">
        <v>0</v>
      </c>
      <c r="BQ176" s="30">
        <v>51</v>
      </c>
      <c r="BR176" s="47">
        <v>35784</v>
      </c>
      <c r="BS176" s="47">
        <v>36794</v>
      </c>
      <c r="BT176" s="1">
        <f t="shared" si="69"/>
        <v>16.331114070128717</v>
      </c>
      <c r="BU176" s="30">
        <v>31</v>
      </c>
      <c r="BV176" s="30">
        <v>0</v>
      </c>
      <c r="BW176" s="47">
        <v>2591</v>
      </c>
      <c r="BX176" s="52">
        <f t="shared" si="70"/>
        <v>1.1500221926320462</v>
      </c>
      <c r="BY176" s="47">
        <v>5206</v>
      </c>
      <c r="BZ176" s="47">
        <v>0</v>
      </c>
      <c r="CA176" s="47">
        <v>21791</v>
      </c>
      <c r="CB176" s="47">
        <v>0</v>
      </c>
      <c r="CC176" s="47">
        <v>26997</v>
      </c>
      <c r="CD176" s="55">
        <f t="shared" si="71"/>
        <v>11.982689747003995</v>
      </c>
      <c r="CE176" s="3">
        <f t="shared" si="72"/>
        <v>15426.857142857143</v>
      </c>
      <c r="CF176" s="55">
        <f t="shared" si="73"/>
        <v>13.773979591836735</v>
      </c>
      <c r="CG176" s="55">
        <f t="shared" si="74"/>
        <v>0.87981098256477108</v>
      </c>
      <c r="CH176" s="55">
        <f t="shared" si="75"/>
        <v>0.73373376093928355</v>
      </c>
      <c r="CI176" s="30">
        <v>266</v>
      </c>
      <c r="CJ176" s="30">
        <v>18</v>
      </c>
      <c r="CK176" s="30">
        <v>27</v>
      </c>
      <c r="CL176" s="30">
        <v>311</v>
      </c>
      <c r="CM176" s="30">
        <v>4440</v>
      </c>
      <c r="CN176" s="30">
        <v>72</v>
      </c>
      <c r="CO176" s="30">
        <v>1269</v>
      </c>
      <c r="CP176" s="30">
        <v>5781</v>
      </c>
      <c r="CQ176" s="1">
        <f t="shared" si="83"/>
        <v>2.5659121171770973</v>
      </c>
      <c r="CR176" s="47">
        <v>30685</v>
      </c>
      <c r="CS176" s="55">
        <f t="shared" si="76"/>
        <v>13.619618286728807</v>
      </c>
      <c r="CT176" s="59">
        <v>2952</v>
      </c>
      <c r="CU176" s="29" t="s">
        <v>25</v>
      </c>
      <c r="CV176" s="29" t="s">
        <v>25</v>
      </c>
      <c r="CW176" s="29" t="s">
        <v>25</v>
      </c>
      <c r="CX176" s="35">
        <v>0</v>
      </c>
      <c r="CY176" s="49">
        <v>0</v>
      </c>
      <c r="CZ176" s="35">
        <v>0.6</v>
      </c>
      <c r="DA176" s="35">
        <v>1.1499999999999999</v>
      </c>
      <c r="DB176" s="35">
        <v>1.75</v>
      </c>
      <c r="DC176" s="49">
        <f t="shared" si="77"/>
        <v>1287.4285714285713</v>
      </c>
      <c r="DD176" s="30">
        <v>859</v>
      </c>
      <c r="DE176" s="31">
        <v>40002</v>
      </c>
      <c r="DF176" s="35">
        <v>35</v>
      </c>
      <c r="DG176" s="29" t="s">
        <v>25</v>
      </c>
      <c r="DH176" s="29" t="s">
        <v>25</v>
      </c>
      <c r="DI176" s="29" t="s">
        <v>25</v>
      </c>
      <c r="DJ176" s="47">
        <v>498</v>
      </c>
      <c r="DK176" s="47">
        <v>382</v>
      </c>
      <c r="DL176" s="47">
        <v>6</v>
      </c>
      <c r="DM176" s="47">
        <v>3918</v>
      </c>
      <c r="DN176" s="47">
        <v>24</v>
      </c>
      <c r="DO176" s="47">
        <v>4861</v>
      </c>
      <c r="DP176" s="29" t="s">
        <v>2028</v>
      </c>
      <c r="DQ176" s="47">
        <v>0</v>
      </c>
      <c r="DR176" s="47">
        <v>1960</v>
      </c>
      <c r="DS176" s="30">
        <v>52</v>
      </c>
      <c r="DT176" s="30">
        <v>40</v>
      </c>
      <c r="DU176" s="30">
        <v>40</v>
      </c>
      <c r="DV176" s="30">
        <v>40</v>
      </c>
      <c r="DX176" s="2">
        <f t="shared" si="78"/>
        <v>1960</v>
      </c>
      <c r="DY176" s="33" t="s">
        <v>2183</v>
      </c>
      <c r="DZ176" s="33" t="s">
        <v>531</v>
      </c>
      <c r="EA176" s="33" t="s">
        <v>2031</v>
      </c>
      <c r="EB176" s="33" t="s">
        <v>2027</v>
      </c>
      <c r="EC176" s="36">
        <v>141</v>
      </c>
      <c r="ED176" s="29" t="s">
        <v>527</v>
      </c>
      <c r="EE176" s="29" t="s">
        <v>528</v>
      </c>
      <c r="EF176" s="37">
        <v>41640</v>
      </c>
      <c r="EG176" s="37">
        <v>42004</v>
      </c>
      <c r="EH176" s="29" t="s">
        <v>527</v>
      </c>
      <c r="EI176" s="55">
        <f t="shared" si="79"/>
        <v>2.3106968486462494</v>
      </c>
      <c r="EJ176" s="54">
        <f t="shared" si="80"/>
        <v>0</v>
      </c>
      <c r="EK176" s="55">
        <f t="shared" si="81"/>
        <v>9.671992898357745</v>
      </c>
      <c r="EL176" s="54">
        <f t="shared" si="82"/>
        <v>0</v>
      </c>
    </row>
    <row r="177" spans="1:142" ht="28.8" x14ac:dyDescent="0.3">
      <c r="A177" s="29" t="s">
        <v>1573</v>
      </c>
      <c r="B177" s="29"/>
      <c r="C177" s="30">
        <v>2726</v>
      </c>
      <c r="D177" s="30">
        <v>1</v>
      </c>
      <c r="E177" s="30">
        <v>0</v>
      </c>
      <c r="F177" s="30">
        <v>5000</v>
      </c>
      <c r="G177">
        <v>3000</v>
      </c>
      <c r="H177" s="2">
        <f t="shared" si="58"/>
        <v>8000</v>
      </c>
      <c r="I177" s="1">
        <f t="shared" si="57"/>
        <v>2.9347028613352899</v>
      </c>
      <c r="J177" s="31">
        <v>88324</v>
      </c>
      <c r="K177" s="31">
        <v>12757</v>
      </c>
      <c r="L177" s="31">
        <v>101081</v>
      </c>
      <c r="M177" s="45">
        <f t="shared" si="59"/>
        <v>37.080337490829052</v>
      </c>
      <c r="N177" s="31">
        <v>16653</v>
      </c>
      <c r="O177" s="31">
        <v>425</v>
      </c>
      <c r="P177" s="31">
        <v>56</v>
      </c>
      <c r="Q177" s="31">
        <v>17134</v>
      </c>
      <c r="R177" s="45">
        <f t="shared" si="60"/>
        <v>6.285399853264857</v>
      </c>
      <c r="S177" s="31">
        <v>6780</v>
      </c>
      <c r="T177" s="31">
        <v>124995</v>
      </c>
      <c r="U177" s="31">
        <v>0</v>
      </c>
      <c r="V177" s="31">
        <v>124995</v>
      </c>
      <c r="W177" s="45">
        <f t="shared" si="61"/>
        <v>45.852898019075568</v>
      </c>
      <c r="X177" s="4">
        <f t="shared" si="62"/>
        <v>0.8086803472138886</v>
      </c>
      <c r="Y177" s="4">
        <f t="shared" si="63"/>
        <v>0.13707748309932397</v>
      </c>
      <c r="Z177" s="4">
        <f t="shared" si="64"/>
        <v>5.4242169686787474E-2</v>
      </c>
      <c r="AA177" s="4">
        <f t="shared" si="65"/>
        <v>0</v>
      </c>
      <c r="AB177" s="31">
        <v>0</v>
      </c>
      <c r="AC177" s="31">
        <v>13181</v>
      </c>
      <c r="AD177" s="31">
        <v>119786</v>
      </c>
      <c r="AE177" s="31">
        <v>119786</v>
      </c>
      <c r="AF177" s="31">
        <v>0</v>
      </c>
      <c r="AG177" s="31">
        <v>0</v>
      </c>
      <c r="AH177" s="31">
        <v>119786</v>
      </c>
      <c r="AI177" s="31">
        <v>119786</v>
      </c>
      <c r="AJ177" s="45">
        <f t="shared" si="66"/>
        <v>43.942039618488629</v>
      </c>
      <c r="AK177" s="31">
        <v>0</v>
      </c>
      <c r="AL177" s="31">
        <v>0</v>
      </c>
      <c r="AM177" s="31">
        <v>5209</v>
      </c>
      <c r="AN177" s="31">
        <v>5209</v>
      </c>
      <c r="AO177" s="31">
        <v>0</v>
      </c>
      <c r="AP177" s="31">
        <v>0</v>
      </c>
      <c r="AQ177" s="31">
        <v>0</v>
      </c>
      <c r="AR177" s="31">
        <v>124995</v>
      </c>
      <c r="AS177" s="46">
        <f t="shared" si="67"/>
        <v>45.852898019075568</v>
      </c>
      <c r="AT177" s="31">
        <v>0</v>
      </c>
      <c r="AU177" s="31">
        <v>0</v>
      </c>
      <c r="AV177" s="31">
        <v>0</v>
      </c>
      <c r="AW177" s="31">
        <v>0</v>
      </c>
      <c r="AX177" s="31">
        <v>0</v>
      </c>
      <c r="AY177" s="31">
        <v>0</v>
      </c>
      <c r="AZ177" s="31">
        <v>0</v>
      </c>
      <c r="BA177" s="31">
        <v>0</v>
      </c>
      <c r="BB177" s="31">
        <v>0</v>
      </c>
      <c r="BC177" s="33" t="s">
        <v>25</v>
      </c>
      <c r="BD177" s="47">
        <v>24015</v>
      </c>
      <c r="BE177" s="47">
        <v>24515</v>
      </c>
      <c r="BF177" s="45">
        <f t="shared" si="68"/>
        <v>8.9930300807043295</v>
      </c>
      <c r="BG177" s="30">
        <v>0</v>
      </c>
      <c r="BH177" s="30">
        <v>0</v>
      </c>
      <c r="BI177" s="30">
        <v>0</v>
      </c>
      <c r="BJ177" s="30">
        <v>73</v>
      </c>
      <c r="BK177" s="30">
        <v>84</v>
      </c>
      <c r="BL177" s="30">
        <v>0</v>
      </c>
      <c r="BM177" s="30">
        <v>0</v>
      </c>
      <c r="BN177" s="30">
        <v>0</v>
      </c>
      <c r="BO177" s="30">
        <v>51</v>
      </c>
      <c r="BP177" s="30">
        <v>3</v>
      </c>
      <c r="BQ177" s="30">
        <v>54</v>
      </c>
      <c r="BR177" s="47">
        <v>24088</v>
      </c>
      <c r="BS177" s="47">
        <v>24599</v>
      </c>
      <c r="BT177" s="1">
        <f t="shared" si="69"/>
        <v>9.0238444607483501</v>
      </c>
      <c r="BU177" s="30">
        <v>32</v>
      </c>
      <c r="BV177" s="30">
        <v>0</v>
      </c>
      <c r="BW177" s="47">
        <v>45000</v>
      </c>
      <c r="BX177" s="52">
        <f t="shared" si="70"/>
        <v>16.507703595011005</v>
      </c>
      <c r="BY177" s="47">
        <v>15567</v>
      </c>
      <c r="BZ177" s="47">
        <v>0</v>
      </c>
      <c r="CA177" s="47">
        <v>19108</v>
      </c>
      <c r="CB177" s="47">
        <v>0</v>
      </c>
      <c r="CC177" s="47">
        <v>34675</v>
      </c>
      <c r="CD177" s="55">
        <f t="shared" si="71"/>
        <v>12.720102714600147</v>
      </c>
      <c r="CE177" s="3">
        <f t="shared" si="72"/>
        <v>17337.5</v>
      </c>
      <c r="CF177" s="55">
        <f t="shared" si="73"/>
        <v>7.6816570669029689</v>
      </c>
      <c r="CG177" s="55">
        <f t="shared" si="74"/>
        <v>0.86254073281759158</v>
      </c>
      <c r="CH177" s="55">
        <f t="shared" si="75"/>
        <v>1.409610146753933</v>
      </c>
      <c r="CI177" s="30">
        <v>16</v>
      </c>
      <c r="CJ177" s="30">
        <v>13</v>
      </c>
      <c r="CK177" s="30">
        <v>1</v>
      </c>
      <c r="CL177" s="30">
        <v>30</v>
      </c>
      <c r="CM177" s="30">
        <v>610</v>
      </c>
      <c r="CN177" s="30">
        <v>346</v>
      </c>
      <c r="CO177" s="30">
        <v>18</v>
      </c>
      <c r="CP177" s="30">
        <v>974</v>
      </c>
      <c r="CQ177" s="1">
        <f t="shared" si="83"/>
        <v>0.35730007336757152</v>
      </c>
      <c r="CR177" s="47">
        <v>40201</v>
      </c>
      <c r="CS177" s="55">
        <f t="shared" si="76"/>
        <v>14.747248716067498</v>
      </c>
      <c r="CT177" s="59">
        <v>507</v>
      </c>
      <c r="CU177" s="29" t="s">
        <v>25</v>
      </c>
      <c r="CV177" s="29" t="s">
        <v>25</v>
      </c>
      <c r="CW177" s="29" t="s">
        <v>25</v>
      </c>
      <c r="CX177" s="35">
        <v>1</v>
      </c>
      <c r="CY177" s="49">
        <f>C177/CX177</f>
        <v>2726</v>
      </c>
      <c r="CZ177" s="35">
        <v>1</v>
      </c>
      <c r="DA177" s="35">
        <v>0</v>
      </c>
      <c r="DB177" s="35">
        <v>2</v>
      </c>
      <c r="DC177" s="49">
        <f t="shared" si="77"/>
        <v>1363</v>
      </c>
      <c r="DD177" s="30">
        <v>25</v>
      </c>
      <c r="DE177" s="31">
        <v>52600</v>
      </c>
      <c r="DF177" s="35">
        <v>40</v>
      </c>
      <c r="DG177" s="29" t="s">
        <v>25</v>
      </c>
      <c r="DH177" s="29" t="s">
        <v>25</v>
      </c>
      <c r="DI177" s="29" t="s">
        <v>25</v>
      </c>
      <c r="DJ177" s="47">
        <v>0</v>
      </c>
      <c r="DK177" s="47">
        <v>0</v>
      </c>
      <c r="DL177" s="47">
        <v>28</v>
      </c>
      <c r="DM177" s="47">
        <v>10225</v>
      </c>
      <c r="DN177" s="47">
        <v>475</v>
      </c>
      <c r="DO177" s="47">
        <v>10</v>
      </c>
      <c r="DP177" s="29" t="s">
        <v>2028</v>
      </c>
      <c r="DQ177" s="47">
        <v>0</v>
      </c>
      <c r="DR177" s="47">
        <v>1584</v>
      </c>
      <c r="DS177" s="30">
        <v>48</v>
      </c>
      <c r="DT177" s="30">
        <v>42</v>
      </c>
      <c r="DU177" s="30">
        <v>42</v>
      </c>
      <c r="DV177" s="30">
        <v>20</v>
      </c>
      <c r="DW177">
        <f>VLOOKUP(EC177,branch!$I$4:$K$77,3,0)</f>
        <v>2930</v>
      </c>
      <c r="DX177" s="2">
        <f t="shared" si="78"/>
        <v>4514</v>
      </c>
      <c r="DY177" s="33" t="s">
        <v>2183</v>
      </c>
      <c r="DZ177" s="33" t="s">
        <v>1574</v>
      </c>
      <c r="EA177" s="33" t="s">
        <v>2031</v>
      </c>
      <c r="EB177" s="33" t="s">
        <v>2027</v>
      </c>
      <c r="EC177" s="36">
        <v>517</v>
      </c>
      <c r="ED177" s="29" t="s">
        <v>1572</v>
      </c>
      <c r="EE177" s="29" t="s">
        <v>416</v>
      </c>
      <c r="EF177" s="37">
        <v>41518</v>
      </c>
      <c r="EG177" s="37">
        <v>41882</v>
      </c>
      <c r="EH177" s="29" t="s">
        <v>1572</v>
      </c>
      <c r="EI177" s="55">
        <f t="shared" si="79"/>
        <v>5.7105649303008068</v>
      </c>
      <c r="EJ177" s="54">
        <f t="shared" si="80"/>
        <v>0</v>
      </c>
      <c r="EK177" s="55">
        <f t="shared" si="81"/>
        <v>7.00953778429934</v>
      </c>
      <c r="EL177" s="54">
        <f t="shared" si="82"/>
        <v>0</v>
      </c>
    </row>
    <row r="178" spans="1:142" ht="28.8" x14ac:dyDescent="0.3">
      <c r="A178" s="29" t="s">
        <v>534</v>
      </c>
      <c r="B178" s="29"/>
      <c r="C178" s="30">
        <v>12290</v>
      </c>
      <c r="D178" s="30">
        <v>0</v>
      </c>
      <c r="E178" s="30">
        <v>0</v>
      </c>
      <c r="F178" s="30">
        <v>10712</v>
      </c>
      <c r="H178" s="2">
        <f t="shared" si="58"/>
        <v>10712</v>
      </c>
      <c r="I178" s="1">
        <f t="shared" si="57"/>
        <v>0.87160292921074045</v>
      </c>
      <c r="J178" s="31">
        <v>218447</v>
      </c>
      <c r="K178" s="31">
        <v>98140</v>
      </c>
      <c r="L178" s="31">
        <v>316587</v>
      </c>
      <c r="M178" s="45">
        <f t="shared" si="59"/>
        <v>25.759723352318957</v>
      </c>
      <c r="N178" s="31">
        <v>24090</v>
      </c>
      <c r="O178" s="31">
        <v>2999</v>
      </c>
      <c r="P178" s="31">
        <v>530</v>
      </c>
      <c r="Q178" s="31">
        <v>27619</v>
      </c>
      <c r="R178" s="45">
        <f t="shared" si="60"/>
        <v>2.247274206672091</v>
      </c>
      <c r="S178" s="31">
        <v>25273</v>
      </c>
      <c r="T178" s="31">
        <v>369479</v>
      </c>
      <c r="U178" s="31">
        <v>0</v>
      </c>
      <c r="V178" s="31">
        <v>369479</v>
      </c>
      <c r="W178" s="45">
        <f t="shared" si="61"/>
        <v>30.063384865744506</v>
      </c>
      <c r="X178" s="4">
        <f t="shared" si="62"/>
        <v>0.85684707385264114</v>
      </c>
      <c r="Y178" s="4">
        <f t="shared" si="63"/>
        <v>7.4751203721997728E-2</v>
      </c>
      <c r="Z178" s="4">
        <f t="shared" si="64"/>
        <v>6.8401722425361119E-2</v>
      </c>
      <c r="AA178" s="4">
        <f t="shared" si="65"/>
        <v>0</v>
      </c>
      <c r="AB178" s="31">
        <v>0</v>
      </c>
      <c r="AC178" s="31">
        <v>27619</v>
      </c>
      <c r="AD178" s="31">
        <v>369479</v>
      </c>
      <c r="AE178" s="31">
        <v>362479</v>
      </c>
      <c r="AF178" s="31">
        <v>7000</v>
      </c>
      <c r="AG178" s="31">
        <v>355479</v>
      </c>
      <c r="AH178" s="31">
        <v>0</v>
      </c>
      <c r="AI178" s="31">
        <v>362479</v>
      </c>
      <c r="AJ178" s="45">
        <f t="shared" si="66"/>
        <v>29.493816110659072</v>
      </c>
      <c r="AK178" s="31">
        <v>0</v>
      </c>
      <c r="AL178" s="31">
        <v>0</v>
      </c>
      <c r="AM178" s="31">
        <v>0</v>
      </c>
      <c r="AN178" s="31">
        <v>0</v>
      </c>
      <c r="AO178" s="31">
        <v>0</v>
      </c>
      <c r="AP178" s="31">
        <v>18593</v>
      </c>
      <c r="AQ178" s="31">
        <v>18593</v>
      </c>
      <c r="AR178" s="31">
        <v>381072</v>
      </c>
      <c r="AS178" s="46">
        <f t="shared" si="67"/>
        <v>31.006672091131001</v>
      </c>
      <c r="AT178" s="31">
        <v>0</v>
      </c>
      <c r="AU178" s="31">
        <v>0</v>
      </c>
      <c r="AV178" s="31">
        <v>0</v>
      </c>
      <c r="AW178" s="31">
        <v>0</v>
      </c>
      <c r="AX178" s="31">
        <v>0</v>
      </c>
      <c r="AY178" s="31">
        <v>0</v>
      </c>
      <c r="AZ178" s="31">
        <v>0</v>
      </c>
      <c r="BA178" s="31">
        <v>0</v>
      </c>
      <c r="BB178" s="31">
        <v>0</v>
      </c>
      <c r="BC178" s="33" t="s">
        <v>25</v>
      </c>
      <c r="BD178" s="47">
        <v>52112</v>
      </c>
      <c r="BE178" s="47">
        <v>54862</v>
      </c>
      <c r="BF178" s="45">
        <f t="shared" si="68"/>
        <v>4.4639544344995929</v>
      </c>
      <c r="BG178" s="30">
        <v>1561</v>
      </c>
      <c r="BH178" s="30">
        <v>1754</v>
      </c>
      <c r="BI178" s="30">
        <v>0</v>
      </c>
      <c r="BJ178" s="30">
        <v>1543</v>
      </c>
      <c r="BK178" s="30">
        <v>1638</v>
      </c>
      <c r="BL178" s="30">
        <v>0</v>
      </c>
      <c r="BM178" s="30">
        <v>0</v>
      </c>
      <c r="BN178" s="30">
        <v>2</v>
      </c>
      <c r="BO178" s="30">
        <v>51</v>
      </c>
      <c r="BP178" s="30">
        <v>0</v>
      </c>
      <c r="BQ178" s="30">
        <v>53</v>
      </c>
      <c r="BR178" s="47">
        <v>55216</v>
      </c>
      <c r="BS178" s="47">
        <v>58256</v>
      </c>
      <c r="BT178" s="1">
        <f t="shared" si="69"/>
        <v>4.7401139137510171</v>
      </c>
      <c r="BU178" s="30">
        <v>73</v>
      </c>
      <c r="BV178" s="30">
        <v>2</v>
      </c>
      <c r="BW178" s="47">
        <v>17963</v>
      </c>
      <c r="BX178" s="52">
        <f t="shared" si="70"/>
        <v>1.4615947925142392</v>
      </c>
      <c r="BY178" s="47">
        <v>21295</v>
      </c>
      <c r="BZ178" s="47">
        <v>0</v>
      </c>
      <c r="CA178" s="47">
        <v>24013</v>
      </c>
      <c r="CB178" s="47">
        <v>0</v>
      </c>
      <c r="CC178" s="47">
        <v>45308</v>
      </c>
      <c r="CD178" s="55">
        <f t="shared" si="71"/>
        <v>3.6865744507729863</v>
      </c>
      <c r="CE178" s="3">
        <f t="shared" si="72"/>
        <v>6864.848484848485</v>
      </c>
      <c r="CF178" s="55">
        <f t="shared" si="73"/>
        <v>17.188163884673749</v>
      </c>
      <c r="CG178" s="55">
        <f t="shared" si="74"/>
        <v>0.88065619654797078</v>
      </c>
      <c r="CH178" s="55">
        <f t="shared" si="75"/>
        <v>0.77773963196923923</v>
      </c>
      <c r="CI178" s="30">
        <v>39</v>
      </c>
      <c r="CJ178" s="30">
        <v>18</v>
      </c>
      <c r="CK178" s="30">
        <v>40</v>
      </c>
      <c r="CL178" s="30">
        <v>97</v>
      </c>
      <c r="CM178" s="30">
        <v>1255</v>
      </c>
      <c r="CN178" s="30">
        <v>637</v>
      </c>
      <c r="CO178" s="30">
        <v>1105</v>
      </c>
      <c r="CP178" s="30">
        <v>2997</v>
      </c>
      <c r="CQ178" s="1">
        <f t="shared" si="83"/>
        <v>0.24385679414157851</v>
      </c>
      <c r="CR178" s="47">
        <v>51448</v>
      </c>
      <c r="CS178" s="55">
        <f t="shared" si="76"/>
        <v>4.1861676159479249</v>
      </c>
      <c r="CT178" s="59">
        <v>8304</v>
      </c>
      <c r="CU178" s="29" t="s">
        <v>25</v>
      </c>
      <c r="CV178" s="29" t="s">
        <v>25</v>
      </c>
      <c r="CW178" s="29" t="s">
        <v>25</v>
      </c>
      <c r="CX178" s="35">
        <v>0</v>
      </c>
      <c r="CY178" s="49">
        <v>0</v>
      </c>
      <c r="CZ178" s="35">
        <v>1</v>
      </c>
      <c r="DA178" s="35">
        <v>5.6</v>
      </c>
      <c r="DB178" s="35">
        <v>6.6</v>
      </c>
      <c r="DC178" s="49">
        <f t="shared" si="77"/>
        <v>1862.1212121212122</v>
      </c>
      <c r="DD178" s="30">
        <v>329</v>
      </c>
      <c r="DE178" s="31">
        <v>42000</v>
      </c>
      <c r="DF178" s="35">
        <v>40</v>
      </c>
      <c r="DG178" s="29" t="s">
        <v>25</v>
      </c>
      <c r="DH178" s="29" t="s">
        <v>25</v>
      </c>
      <c r="DI178" s="29" t="s">
        <v>25</v>
      </c>
      <c r="DJ178" s="47">
        <v>153</v>
      </c>
      <c r="DK178" s="47">
        <v>248</v>
      </c>
      <c r="DL178" s="47">
        <v>14</v>
      </c>
      <c r="DM178" s="47">
        <v>13525</v>
      </c>
      <c r="DN178" s="47">
        <v>2164</v>
      </c>
      <c r="DO178" s="47">
        <v>930</v>
      </c>
      <c r="DP178" s="29" t="s">
        <v>25</v>
      </c>
      <c r="DQ178" s="47">
        <v>22968</v>
      </c>
      <c r="DR178" s="47">
        <v>2636</v>
      </c>
      <c r="DS178" s="30">
        <v>50</v>
      </c>
      <c r="DT178" s="30">
        <v>53</v>
      </c>
      <c r="DU178" s="30">
        <v>53</v>
      </c>
      <c r="DV178" s="30">
        <v>53</v>
      </c>
      <c r="DX178" s="2">
        <f t="shared" si="78"/>
        <v>2636</v>
      </c>
      <c r="DY178" s="33" t="s">
        <v>2183</v>
      </c>
      <c r="DZ178" s="33" t="s">
        <v>535</v>
      </c>
      <c r="EA178" s="33" t="s">
        <v>2031</v>
      </c>
      <c r="EB178" s="33" t="s">
        <v>2027</v>
      </c>
      <c r="EC178" s="36">
        <v>142</v>
      </c>
      <c r="ED178" s="29" t="s">
        <v>532</v>
      </c>
      <c r="EE178" s="29" t="s">
        <v>533</v>
      </c>
      <c r="EF178" s="37">
        <v>41640</v>
      </c>
      <c r="EG178" s="37">
        <v>42004</v>
      </c>
      <c r="EH178" s="29" t="s">
        <v>532</v>
      </c>
      <c r="EI178" s="55">
        <f t="shared" si="79"/>
        <v>1.7327095199349065</v>
      </c>
      <c r="EJ178" s="54">
        <f t="shared" si="80"/>
        <v>0</v>
      </c>
      <c r="EK178" s="55">
        <f t="shared" si="81"/>
        <v>1.9538649308380798</v>
      </c>
      <c r="EL178" s="54">
        <f t="shared" si="82"/>
        <v>0</v>
      </c>
    </row>
    <row r="179" spans="1:142" ht="28.8" x14ac:dyDescent="0.3">
      <c r="A179" s="29" t="s">
        <v>537</v>
      </c>
      <c r="B179" s="29"/>
      <c r="C179" s="30">
        <v>792727</v>
      </c>
      <c r="D179" s="30">
        <v>15</v>
      </c>
      <c r="E179" s="30">
        <v>0</v>
      </c>
      <c r="F179" s="30">
        <v>243777</v>
      </c>
      <c r="G179">
        <v>144976</v>
      </c>
      <c r="H179" s="2">
        <f t="shared" si="58"/>
        <v>388753</v>
      </c>
      <c r="I179" s="1">
        <f t="shared" si="57"/>
        <v>0.49039959532096167</v>
      </c>
      <c r="J179" s="31">
        <v>8875402</v>
      </c>
      <c r="K179" s="31">
        <v>3466844</v>
      </c>
      <c r="L179" s="31">
        <v>12342246</v>
      </c>
      <c r="M179" s="45">
        <f t="shared" si="59"/>
        <v>15.569352374777193</v>
      </c>
      <c r="N179" s="31">
        <v>1048737</v>
      </c>
      <c r="O179" s="31">
        <v>843489</v>
      </c>
      <c r="P179" s="31">
        <v>600189</v>
      </c>
      <c r="Q179" s="31">
        <v>2492415</v>
      </c>
      <c r="R179" s="45">
        <f t="shared" si="60"/>
        <v>3.1441025725123528</v>
      </c>
      <c r="S179" s="31">
        <v>3803092</v>
      </c>
      <c r="T179" s="31">
        <v>18637753</v>
      </c>
      <c r="U179" s="31">
        <v>0</v>
      </c>
      <c r="V179" s="31">
        <v>18637753</v>
      </c>
      <c r="W179" s="45">
        <f t="shared" si="61"/>
        <v>23.510935038165723</v>
      </c>
      <c r="X179" s="4">
        <f t="shared" si="62"/>
        <v>0.66221748941516712</v>
      </c>
      <c r="Y179" s="4">
        <f t="shared" si="63"/>
        <v>0.13372937177566416</v>
      </c>
      <c r="Z179" s="4">
        <f t="shared" si="64"/>
        <v>0.20405313880916867</v>
      </c>
      <c r="AA179" s="4">
        <f t="shared" si="65"/>
        <v>0</v>
      </c>
      <c r="AB179" s="31">
        <v>82371</v>
      </c>
      <c r="AC179" s="31">
        <v>2492415</v>
      </c>
      <c r="AD179" s="31">
        <v>18637753</v>
      </c>
      <c r="AE179" s="31">
        <v>18637753</v>
      </c>
      <c r="AF179" s="31">
        <v>18637753</v>
      </c>
      <c r="AG179" s="31">
        <v>0</v>
      </c>
      <c r="AH179" s="31">
        <v>0</v>
      </c>
      <c r="AI179" s="31">
        <v>18637753</v>
      </c>
      <c r="AJ179" s="45">
        <f t="shared" si="66"/>
        <v>23.510935038165723</v>
      </c>
      <c r="AK179" s="31">
        <v>0</v>
      </c>
      <c r="AL179" s="31">
        <v>0</v>
      </c>
      <c r="AM179" s="31">
        <v>0</v>
      </c>
      <c r="AN179" s="31">
        <v>0</v>
      </c>
      <c r="AO179" s="31">
        <v>0</v>
      </c>
      <c r="AP179" s="31">
        <v>0</v>
      </c>
      <c r="AQ179" s="31">
        <v>0</v>
      </c>
      <c r="AR179" s="31">
        <v>18637753</v>
      </c>
      <c r="AS179" s="46">
        <f t="shared" si="67"/>
        <v>23.510935038165723</v>
      </c>
      <c r="AT179" s="31">
        <v>0</v>
      </c>
      <c r="AU179" s="31">
        <v>0</v>
      </c>
      <c r="AV179" s="31">
        <v>0</v>
      </c>
      <c r="AW179" s="31">
        <v>0</v>
      </c>
      <c r="AX179" s="31">
        <v>0</v>
      </c>
      <c r="AY179" s="31">
        <v>0</v>
      </c>
      <c r="AZ179" s="31">
        <v>0</v>
      </c>
      <c r="BA179" s="31">
        <v>0</v>
      </c>
      <c r="BB179" s="31">
        <v>0</v>
      </c>
      <c r="BC179" s="33" t="s">
        <v>25</v>
      </c>
      <c r="BD179" s="47">
        <v>286081</v>
      </c>
      <c r="BE179" s="47">
        <v>839642</v>
      </c>
      <c r="BF179" s="45">
        <f t="shared" si="68"/>
        <v>1.0591817864157522</v>
      </c>
      <c r="BG179" s="30">
        <v>22162</v>
      </c>
      <c r="BH179" s="30">
        <v>81074</v>
      </c>
      <c r="BI179" s="30">
        <v>9714</v>
      </c>
      <c r="BJ179" s="30">
        <v>31915</v>
      </c>
      <c r="BK179" s="30">
        <v>179011</v>
      </c>
      <c r="BL179" s="30">
        <v>2153</v>
      </c>
      <c r="BM179" s="30">
        <v>159017</v>
      </c>
      <c r="BN179" s="30">
        <v>15</v>
      </c>
      <c r="BO179" s="30">
        <v>51</v>
      </c>
      <c r="BP179" s="30">
        <v>0</v>
      </c>
      <c r="BQ179" s="30">
        <v>66</v>
      </c>
      <c r="BR179" s="47">
        <v>340158</v>
      </c>
      <c r="BS179" s="47">
        <v>1270626</v>
      </c>
      <c r="BT179" s="1">
        <f t="shared" si="69"/>
        <v>1.6028544505233202</v>
      </c>
      <c r="BU179" s="30">
        <v>3222</v>
      </c>
      <c r="BV179" s="30">
        <v>0</v>
      </c>
      <c r="BW179" s="47">
        <v>610409</v>
      </c>
      <c r="BX179" s="52">
        <f t="shared" si="70"/>
        <v>0.77001161812326313</v>
      </c>
      <c r="BY179" s="47">
        <v>1573235</v>
      </c>
      <c r="BZ179" s="47">
        <v>0</v>
      </c>
      <c r="CA179" s="47">
        <v>2192542</v>
      </c>
      <c r="CB179" s="47">
        <v>312537</v>
      </c>
      <c r="CC179" s="47">
        <v>4078314</v>
      </c>
      <c r="CD179" s="55">
        <f t="shared" si="71"/>
        <v>5.1446639259164879</v>
      </c>
      <c r="CE179" s="3">
        <f t="shared" si="72"/>
        <v>18622.438356164384</v>
      </c>
      <c r="CF179" s="55">
        <f t="shared" si="73"/>
        <v>121.72618194842407</v>
      </c>
      <c r="CG179" s="55">
        <f t="shared" si="74"/>
        <v>1.8071176698395874</v>
      </c>
      <c r="CH179" s="55">
        <f t="shared" si="75"/>
        <v>2.9637178839406717</v>
      </c>
      <c r="CI179" s="30">
        <v>2182</v>
      </c>
      <c r="CJ179" s="30">
        <v>616</v>
      </c>
      <c r="CK179" s="30">
        <v>1042</v>
      </c>
      <c r="CL179" s="30">
        <v>3840</v>
      </c>
      <c r="CM179" s="30">
        <v>23434</v>
      </c>
      <c r="CN179" s="30">
        <v>3148</v>
      </c>
      <c r="CO179" s="30">
        <v>15940</v>
      </c>
      <c r="CP179" s="30">
        <v>42522</v>
      </c>
      <c r="CQ179" s="1">
        <f t="shared" si="83"/>
        <v>5.3640156068861036E-2</v>
      </c>
      <c r="CR179" s="47">
        <v>2256806</v>
      </c>
      <c r="CS179" s="55">
        <f t="shared" si="76"/>
        <v>2.8468892821866798</v>
      </c>
      <c r="CT179" s="59">
        <v>475986</v>
      </c>
      <c r="CU179" s="29" t="s">
        <v>25</v>
      </c>
      <c r="CV179" s="29" t="s">
        <v>25</v>
      </c>
      <c r="CW179" s="29" t="s">
        <v>25</v>
      </c>
      <c r="CX179" s="35">
        <v>52</v>
      </c>
      <c r="CY179" s="49">
        <f>C179/CX179</f>
        <v>15244.75</v>
      </c>
      <c r="CZ179" s="35">
        <v>0</v>
      </c>
      <c r="DA179" s="35">
        <v>167</v>
      </c>
      <c r="DB179" s="35">
        <v>219</v>
      </c>
      <c r="DC179" s="49">
        <f t="shared" si="77"/>
        <v>3619.7579908675798</v>
      </c>
      <c r="DD179" s="30">
        <v>17900</v>
      </c>
      <c r="DE179" s="31">
        <v>145968</v>
      </c>
      <c r="DF179" s="35">
        <v>40</v>
      </c>
      <c r="DG179" s="29" t="s">
        <v>25</v>
      </c>
      <c r="DH179" s="29" t="s">
        <v>25</v>
      </c>
      <c r="DI179" s="29" t="s">
        <v>25</v>
      </c>
      <c r="DJ179" s="47">
        <v>184092</v>
      </c>
      <c r="DK179" s="47">
        <v>120520</v>
      </c>
      <c r="DL179" s="47">
        <v>530</v>
      </c>
      <c r="DM179" s="47">
        <v>352163</v>
      </c>
      <c r="DN179" s="47">
        <v>1569</v>
      </c>
      <c r="DO179" s="47">
        <v>-1</v>
      </c>
      <c r="DP179" s="29" t="s">
        <v>25</v>
      </c>
      <c r="DQ179" s="47">
        <v>1650003</v>
      </c>
      <c r="DR179" s="47">
        <v>2628</v>
      </c>
      <c r="DS179" s="30">
        <v>52</v>
      </c>
      <c r="DT179" s="30">
        <v>65</v>
      </c>
      <c r="DU179" s="30">
        <v>52</v>
      </c>
      <c r="DV179" s="30">
        <v>52</v>
      </c>
      <c r="DW179">
        <f>VLOOKUP(EC179,branch!$I$4:$K$77,3,0)</f>
        <v>30876</v>
      </c>
      <c r="DX179" s="2">
        <f t="shared" si="78"/>
        <v>33504</v>
      </c>
      <c r="DY179" s="33" t="s">
        <v>2181</v>
      </c>
      <c r="DZ179" s="33" t="s">
        <v>538</v>
      </c>
      <c r="EA179" s="33" t="s">
        <v>2030</v>
      </c>
      <c r="EB179" s="33" t="s">
        <v>2027</v>
      </c>
      <c r="EC179" s="36">
        <v>143</v>
      </c>
      <c r="ED179" s="29" t="s">
        <v>536</v>
      </c>
      <c r="EE179" s="29" t="s">
        <v>91</v>
      </c>
      <c r="EF179" s="37">
        <v>41548</v>
      </c>
      <c r="EG179" s="37">
        <v>41912</v>
      </c>
      <c r="EH179" s="29" t="s">
        <v>536</v>
      </c>
      <c r="EI179" s="55">
        <f t="shared" si="79"/>
        <v>1.9845861185502702</v>
      </c>
      <c r="EJ179" s="54">
        <f t="shared" si="80"/>
        <v>0</v>
      </c>
      <c r="EK179" s="55">
        <f t="shared" si="81"/>
        <v>2.7658222818195926</v>
      </c>
      <c r="EL179" s="54">
        <f t="shared" si="82"/>
        <v>0.39425552554662574</v>
      </c>
    </row>
    <row r="180" spans="1:142" ht="28.8" x14ac:dyDescent="0.3">
      <c r="A180" s="29" t="s">
        <v>17</v>
      </c>
      <c r="B180" s="29"/>
      <c r="C180" s="30">
        <v>3824</v>
      </c>
      <c r="D180" s="30">
        <v>0</v>
      </c>
      <c r="E180" s="30">
        <v>0</v>
      </c>
      <c r="F180" s="30">
        <v>1360</v>
      </c>
      <c r="H180" s="2">
        <f t="shared" si="58"/>
        <v>1360</v>
      </c>
      <c r="I180" s="1">
        <f t="shared" si="57"/>
        <v>0.35564853556485354</v>
      </c>
      <c r="J180" s="31">
        <v>25000</v>
      </c>
      <c r="K180" s="31">
        <v>4950</v>
      </c>
      <c r="L180" s="31">
        <v>29950</v>
      </c>
      <c r="M180" s="45">
        <f t="shared" si="59"/>
        <v>7.8321129707112966</v>
      </c>
      <c r="N180" s="31">
        <v>3968</v>
      </c>
      <c r="O180" s="31">
        <v>0</v>
      </c>
      <c r="P180" s="31">
        <v>0</v>
      </c>
      <c r="Q180" s="31">
        <v>3968</v>
      </c>
      <c r="R180" s="45">
        <f t="shared" si="60"/>
        <v>1.0376569037656904</v>
      </c>
      <c r="S180" s="31">
        <v>4587</v>
      </c>
      <c r="T180" s="31">
        <v>38505</v>
      </c>
      <c r="U180" s="31">
        <v>4878</v>
      </c>
      <c r="V180" s="31">
        <v>43383</v>
      </c>
      <c r="W180" s="45">
        <f t="shared" si="61"/>
        <v>11.344926778242678</v>
      </c>
      <c r="X180" s="4">
        <f t="shared" si="62"/>
        <v>0.69036258442246967</v>
      </c>
      <c r="Y180" s="4">
        <f t="shared" si="63"/>
        <v>9.1464398497107163E-2</v>
      </c>
      <c r="Z180" s="4">
        <f t="shared" si="64"/>
        <v>0.10573266025862665</v>
      </c>
      <c r="AA180" s="4">
        <f t="shared" si="65"/>
        <v>0.11244035682179655</v>
      </c>
      <c r="AB180" s="31">
        <v>0</v>
      </c>
      <c r="AC180" s="31">
        <v>0</v>
      </c>
      <c r="AD180" s="31">
        <v>36883</v>
      </c>
      <c r="AE180" s="31">
        <v>33478</v>
      </c>
      <c r="AF180" s="31">
        <v>29950</v>
      </c>
      <c r="AG180" s="31">
        <v>2462</v>
      </c>
      <c r="AH180" s="31">
        <v>0</v>
      </c>
      <c r="AI180" s="31">
        <v>32412</v>
      </c>
      <c r="AJ180" s="45">
        <f t="shared" si="66"/>
        <v>8.4759414225941416</v>
      </c>
      <c r="AK180" s="31">
        <v>0</v>
      </c>
      <c r="AL180" s="31">
        <v>0</v>
      </c>
      <c r="AM180" s="31">
        <v>0</v>
      </c>
      <c r="AN180" s="31">
        <v>0</v>
      </c>
      <c r="AO180" s="31">
        <v>8025</v>
      </c>
      <c r="AP180" s="31">
        <v>9766</v>
      </c>
      <c r="AQ180" s="31">
        <v>17791</v>
      </c>
      <c r="AR180" s="31">
        <v>50203</v>
      </c>
      <c r="AS180" s="46">
        <f t="shared" si="67"/>
        <v>13.128399581589958</v>
      </c>
      <c r="AT180" s="31">
        <v>0</v>
      </c>
      <c r="AU180" s="31">
        <v>0</v>
      </c>
      <c r="AV180" s="31">
        <v>0</v>
      </c>
      <c r="AW180" s="31">
        <v>0</v>
      </c>
      <c r="AX180" s="31">
        <v>0</v>
      </c>
      <c r="AY180" s="31">
        <v>0</v>
      </c>
      <c r="AZ180" s="31">
        <v>0</v>
      </c>
      <c r="BA180" s="31">
        <v>0</v>
      </c>
      <c r="BB180" s="31">
        <v>0</v>
      </c>
      <c r="BC180" s="33" t="s">
        <v>25</v>
      </c>
      <c r="BD180" s="47">
        <v>10582</v>
      </c>
      <c r="BE180" s="47">
        <v>10582</v>
      </c>
      <c r="BF180" s="45">
        <f t="shared" si="68"/>
        <v>2.7672594142259412</v>
      </c>
      <c r="BG180" s="30">
        <v>109</v>
      </c>
      <c r="BH180" s="30">
        <v>109</v>
      </c>
      <c r="BI180" s="30">
        <v>0</v>
      </c>
      <c r="BJ180" s="30">
        <v>155</v>
      </c>
      <c r="BK180" s="30">
        <v>155</v>
      </c>
      <c r="BL180" s="30">
        <v>0</v>
      </c>
      <c r="BM180" s="30">
        <v>0</v>
      </c>
      <c r="BN180" s="30">
        <v>0</v>
      </c>
      <c r="BO180" s="30">
        <v>0</v>
      </c>
      <c r="BP180" s="30">
        <v>0</v>
      </c>
      <c r="BQ180" s="30">
        <v>0</v>
      </c>
      <c r="BR180" s="47">
        <v>10846</v>
      </c>
      <c r="BS180" s="47">
        <v>10846</v>
      </c>
      <c r="BT180" s="1">
        <f t="shared" si="69"/>
        <v>2.8362970711297071</v>
      </c>
      <c r="BU180" s="30">
        <v>0</v>
      </c>
      <c r="BV180" s="30">
        <v>0</v>
      </c>
      <c r="BW180" s="47">
        <v>65</v>
      </c>
      <c r="BX180" s="52">
        <f t="shared" si="70"/>
        <v>1.6997907949790794E-2</v>
      </c>
      <c r="BY180" s="47">
        <v>3432</v>
      </c>
      <c r="BZ180" s="47">
        <v>0</v>
      </c>
      <c r="CA180" s="47">
        <v>4834</v>
      </c>
      <c r="CB180" s="47">
        <v>0</v>
      </c>
      <c r="CC180" s="47">
        <v>8266</v>
      </c>
      <c r="CD180" s="55">
        <f t="shared" si="71"/>
        <v>2.1616108786610879</v>
      </c>
      <c r="CE180" s="3">
        <f t="shared" si="72"/>
        <v>8266</v>
      </c>
      <c r="CF180" s="55">
        <f t="shared" si="73"/>
        <v>4.0519607843137253</v>
      </c>
      <c r="CG180" s="55">
        <f t="shared" si="74"/>
        <v>0.84822986146741919</v>
      </c>
      <c r="CH180" s="55">
        <f t="shared" si="75"/>
        <v>0.76212428545085742</v>
      </c>
      <c r="CI180" s="30">
        <v>35</v>
      </c>
      <c r="CJ180" s="30">
        <v>0</v>
      </c>
      <c r="CK180" s="30">
        <v>2</v>
      </c>
      <c r="CL180" s="30">
        <v>37</v>
      </c>
      <c r="CM180" s="30">
        <v>2153</v>
      </c>
      <c r="CN180" s="30">
        <v>0</v>
      </c>
      <c r="CO180" s="30">
        <v>187</v>
      </c>
      <c r="CP180" s="30">
        <v>2340</v>
      </c>
      <c r="CQ180" s="1">
        <f t="shared" si="83"/>
        <v>0.61192468619246865</v>
      </c>
      <c r="CR180" s="47">
        <v>9745</v>
      </c>
      <c r="CS180" s="55">
        <f t="shared" si="76"/>
        <v>2.5483786610878663</v>
      </c>
      <c r="CT180" s="59">
        <v>1700</v>
      </c>
      <c r="CU180" s="29" t="s">
        <v>25</v>
      </c>
      <c r="CV180" s="29" t="s">
        <v>25</v>
      </c>
      <c r="CW180" s="29" t="s">
        <v>25</v>
      </c>
      <c r="CX180" s="35">
        <v>0</v>
      </c>
      <c r="CY180" s="49">
        <v>0</v>
      </c>
      <c r="CZ180" s="35">
        <v>1</v>
      </c>
      <c r="DA180" s="35">
        <v>0</v>
      </c>
      <c r="DB180" s="35">
        <v>1</v>
      </c>
      <c r="DC180" s="49">
        <f t="shared" si="77"/>
        <v>3824</v>
      </c>
      <c r="DD180" s="30">
        <v>2400</v>
      </c>
      <c r="DE180" s="31">
        <v>25000</v>
      </c>
      <c r="DF180" s="35">
        <v>40</v>
      </c>
      <c r="DG180" s="29" t="s">
        <v>25</v>
      </c>
      <c r="DH180" s="29" t="s">
        <v>25</v>
      </c>
      <c r="DI180" s="29" t="s">
        <v>25</v>
      </c>
      <c r="DJ180" s="47">
        <v>0</v>
      </c>
      <c r="DK180" s="47">
        <v>0</v>
      </c>
      <c r="DL180" s="47">
        <v>4</v>
      </c>
      <c r="DM180" s="47">
        <v>2390</v>
      </c>
      <c r="DN180" s="47">
        <v>1</v>
      </c>
      <c r="DO180" s="47">
        <v>150</v>
      </c>
      <c r="DP180" s="29" t="s">
        <v>2028</v>
      </c>
      <c r="DQ180" s="47">
        <v>0</v>
      </c>
      <c r="DR180" s="47">
        <v>2040</v>
      </c>
      <c r="DS180" s="30">
        <v>52</v>
      </c>
      <c r="DT180" s="30">
        <v>40</v>
      </c>
      <c r="DU180" s="30">
        <v>40</v>
      </c>
      <c r="DV180" s="30">
        <v>40</v>
      </c>
      <c r="DX180" s="2">
        <f t="shared" si="78"/>
        <v>2040</v>
      </c>
      <c r="DY180" s="33" t="s">
        <v>2186</v>
      </c>
      <c r="DZ180" s="33" t="s">
        <v>541</v>
      </c>
      <c r="EA180" s="33" t="s">
        <v>2032</v>
      </c>
      <c r="EB180" s="33" t="s">
        <v>2027</v>
      </c>
      <c r="EC180" s="36">
        <v>144</v>
      </c>
      <c r="ED180" s="29" t="s">
        <v>539</v>
      </c>
      <c r="EE180" s="29" t="s">
        <v>540</v>
      </c>
      <c r="EF180" s="37">
        <v>41640</v>
      </c>
      <c r="EG180" s="37">
        <v>42004</v>
      </c>
      <c r="EH180" s="29" t="s">
        <v>539</v>
      </c>
      <c r="EI180" s="55">
        <f t="shared" si="79"/>
        <v>0.89748953974895396</v>
      </c>
      <c r="EJ180" s="54">
        <f t="shared" si="80"/>
        <v>0</v>
      </c>
      <c r="EK180" s="55">
        <f t="shared" si="81"/>
        <v>1.264121338912134</v>
      </c>
      <c r="EL180" s="54">
        <f t="shared" si="82"/>
        <v>0</v>
      </c>
    </row>
    <row r="181" spans="1:142" ht="28.8" x14ac:dyDescent="0.3">
      <c r="A181" s="29" t="s">
        <v>1451</v>
      </c>
      <c r="B181" s="29"/>
      <c r="C181" s="30">
        <v>2686</v>
      </c>
      <c r="D181" s="30">
        <v>0</v>
      </c>
      <c r="E181" s="30">
        <v>0</v>
      </c>
      <c r="F181" s="30">
        <v>1620</v>
      </c>
      <c r="H181" s="2">
        <f t="shared" si="58"/>
        <v>1620</v>
      </c>
      <c r="I181" s="1">
        <f t="shared" si="57"/>
        <v>0.60312732688011916</v>
      </c>
      <c r="J181" s="31">
        <v>16536</v>
      </c>
      <c r="K181" s="31">
        <v>1126</v>
      </c>
      <c r="L181" s="31">
        <v>17662</v>
      </c>
      <c r="M181" s="45">
        <f t="shared" si="59"/>
        <v>6.5755770662695454</v>
      </c>
      <c r="N181" s="31">
        <v>23500</v>
      </c>
      <c r="O181" s="31">
        <v>0</v>
      </c>
      <c r="P181" s="31">
        <v>256</v>
      </c>
      <c r="Q181" s="31">
        <v>23756</v>
      </c>
      <c r="R181" s="45">
        <f t="shared" si="60"/>
        <v>8.844378257632167</v>
      </c>
      <c r="S181" s="31">
        <v>8200</v>
      </c>
      <c r="T181" s="31">
        <v>49618</v>
      </c>
      <c r="U181" s="31">
        <v>0</v>
      </c>
      <c r="V181" s="31">
        <v>49618</v>
      </c>
      <c r="W181" s="45">
        <f t="shared" si="61"/>
        <v>18.472822040208488</v>
      </c>
      <c r="X181" s="4">
        <f t="shared" si="62"/>
        <v>0.35595953081542986</v>
      </c>
      <c r="Y181" s="4">
        <f t="shared" si="63"/>
        <v>0.47877786287234469</v>
      </c>
      <c r="Z181" s="4">
        <f t="shared" si="64"/>
        <v>0.16526260631222539</v>
      </c>
      <c r="AA181" s="4">
        <f t="shared" si="65"/>
        <v>0</v>
      </c>
      <c r="AB181" s="31">
        <v>0</v>
      </c>
      <c r="AC181" s="31">
        <v>23755</v>
      </c>
      <c r="AD181" s="31">
        <v>49618</v>
      </c>
      <c r="AE181" s="31">
        <v>33500</v>
      </c>
      <c r="AF181" s="31">
        <v>15000</v>
      </c>
      <c r="AG181" s="31">
        <v>18500</v>
      </c>
      <c r="AH181" s="31">
        <v>0</v>
      </c>
      <c r="AI181" s="31">
        <v>33500</v>
      </c>
      <c r="AJ181" s="45">
        <f t="shared" si="66"/>
        <v>12.472077438570365</v>
      </c>
      <c r="AK181" s="31">
        <v>0</v>
      </c>
      <c r="AL181" s="31">
        <v>0</v>
      </c>
      <c r="AM181" s="31">
        <v>0</v>
      </c>
      <c r="AN181" s="31">
        <v>0</v>
      </c>
      <c r="AO181" s="31">
        <v>0</v>
      </c>
      <c r="AP181" s="31">
        <v>1547</v>
      </c>
      <c r="AQ181" s="31">
        <v>1547</v>
      </c>
      <c r="AR181" s="31">
        <v>35047</v>
      </c>
      <c r="AS181" s="46">
        <f t="shared" si="67"/>
        <v>13.048026805658973</v>
      </c>
      <c r="AT181" s="31">
        <v>0</v>
      </c>
      <c r="AU181" s="31">
        <v>0</v>
      </c>
      <c r="AV181" s="31">
        <v>0</v>
      </c>
      <c r="AW181" s="31">
        <v>0</v>
      </c>
      <c r="AX181" s="31">
        <v>0</v>
      </c>
      <c r="AY181" s="31">
        <v>0</v>
      </c>
      <c r="AZ181" s="31">
        <v>0</v>
      </c>
      <c r="BA181" s="31">
        <v>0</v>
      </c>
      <c r="BB181" s="31">
        <v>0</v>
      </c>
      <c r="BC181" s="33" t="s">
        <v>25</v>
      </c>
      <c r="BD181" s="47">
        <v>16750</v>
      </c>
      <c r="BE181" s="47">
        <v>16750</v>
      </c>
      <c r="BF181" s="45">
        <f t="shared" si="68"/>
        <v>6.2360387192851823</v>
      </c>
      <c r="BG181" s="30">
        <v>556</v>
      </c>
      <c r="BH181" s="30">
        <v>556</v>
      </c>
      <c r="BI181" s="30">
        <v>0</v>
      </c>
      <c r="BJ181" s="30">
        <v>1242</v>
      </c>
      <c r="BK181" s="30">
        <v>1242</v>
      </c>
      <c r="BL181" s="30">
        <v>0</v>
      </c>
      <c r="BM181" s="30">
        <v>0</v>
      </c>
      <c r="BN181" s="30">
        <v>0</v>
      </c>
      <c r="BO181" s="30">
        <v>51</v>
      </c>
      <c r="BP181" s="30">
        <v>0</v>
      </c>
      <c r="BQ181" s="30">
        <v>51</v>
      </c>
      <c r="BR181" s="47">
        <v>18548</v>
      </c>
      <c r="BS181" s="47">
        <v>18548</v>
      </c>
      <c r="BT181" s="1">
        <f t="shared" si="69"/>
        <v>6.9054355919583026</v>
      </c>
      <c r="BU181" s="30">
        <v>13</v>
      </c>
      <c r="BV181" s="30">
        <v>0</v>
      </c>
      <c r="BW181" s="47">
        <v>468</v>
      </c>
      <c r="BX181" s="52">
        <f t="shared" si="70"/>
        <v>0.17423678332092329</v>
      </c>
      <c r="BY181" s="47">
        <v>1179</v>
      </c>
      <c r="BZ181" s="47">
        <v>0</v>
      </c>
      <c r="CA181" s="47">
        <v>3078</v>
      </c>
      <c r="CB181" s="47">
        <v>0</v>
      </c>
      <c r="CC181" s="47">
        <v>4257</v>
      </c>
      <c r="CD181" s="55">
        <f t="shared" si="71"/>
        <v>1.5848845867460908</v>
      </c>
      <c r="CE181" s="3">
        <f t="shared" si="72"/>
        <v>2270.4</v>
      </c>
      <c r="CF181" s="55">
        <f t="shared" si="73"/>
        <v>3.3599052880820834</v>
      </c>
      <c r="CG181" s="55">
        <f t="shared" si="74"/>
        <v>1.2787623911084409</v>
      </c>
      <c r="CH181" s="55">
        <f t="shared" si="75"/>
        <v>0.22951261591546257</v>
      </c>
      <c r="CI181" s="30">
        <v>12</v>
      </c>
      <c r="CJ181" s="30">
        <v>0</v>
      </c>
      <c r="CK181" s="30">
        <v>0</v>
      </c>
      <c r="CL181" s="30">
        <v>12</v>
      </c>
      <c r="CM181" s="30">
        <v>72</v>
      </c>
      <c r="CN181" s="30">
        <v>0</v>
      </c>
      <c r="CO181" s="30">
        <v>0</v>
      </c>
      <c r="CP181" s="30">
        <v>72</v>
      </c>
      <c r="CQ181" s="1">
        <f t="shared" si="83"/>
        <v>2.6805658972449738E-2</v>
      </c>
      <c r="CR181" s="47">
        <v>3329</v>
      </c>
      <c r="CS181" s="55">
        <f t="shared" si="76"/>
        <v>1.2393894266567387</v>
      </c>
      <c r="CT181" s="59">
        <v>1249</v>
      </c>
      <c r="CU181" s="29" t="s">
        <v>25</v>
      </c>
      <c r="CV181" s="29" t="s">
        <v>25</v>
      </c>
      <c r="CW181" s="29" t="s">
        <v>25</v>
      </c>
      <c r="CX181" s="35">
        <v>0</v>
      </c>
      <c r="CY181" s="49">
        <v>0</v>
      </c>
      <c r="CZ181" s="35">
        <v>0.625</v>
      </c>
      <c r="DA181" s="35">
        <v>1.25</v>
      </c>
      <c r="DB181" s="35">
        <v>1.875</v>
      </c>
      <c r="DC181" s="49">
        <f t="shared" si="77"/>
        <v>1432.5333333333333</v>
      </c>
      <c r="DD181" s="30">
        <v>468</v>
      </c>
      <c r="DE181" s="31">
        <v>10800</v>
      </c>
      <c r="DF181" s="35">
        <v>25</v>
      </c>
      <c r="DG181" s="29" t="s">
        <v>25</v>
      </c>
      <c r="DH181" s="29" t="s">
        <v>25</v>
      </c>
      <c r="DI181" s="29" t="s">
        <v>25</v>
      </c>
      <c r="DJ181" s="47">
        <v>0</v>
      </c>
      <c r="DK181" s="47">
        <v>0</v>
      </c>
      <c r="DL181" s="47">
        <v>5</v>
      </c>
      <c r="DM181" s="47">
        <v>1978</v>
      </c>
      <c r="DN181" s="47">
        <v>3</v>
      </c>
      <c r="DO181" s="47">
        <v>127</v>
      </c>
      <c r="DP181" s="29" t="s">
        <v>2028</v>
      </c>
      <c r="DQ181" s="47">
        <v>0</v>
      </c>
      <c r="DR181" s="47">
        <v>1267</v>
      </c>
      <c r="DS181" s="30">
        <v>52</v>
      </c>
      <c r="DT181" s="30">
        <v>25</v>
      </c>
      <c r="DU181" s="30">
        <v>25</v>
      </c>
      <c r="DV181" s="30">
        <v>25</v>
      </c>
      <c r="DX181" s="2">
        <f t="shared" si="78"/>
        <v>1267</v>
      </c>
      <c r="DY181" s="33" t="s">
        <v>2182</v>
      </c>
      <c r="DZ181" s="33" t="s">
        <v>1453</v>
      </c>
      <c r="EA181" s="33" t="s">
        <v>2032</v>
      </c>
      <c r="EB181" s="33" t="s">
        <v>2027</v>
      </c>
      <c r="EC181" s="36">
        <v>457</v>
      </c>
      <c r="ED181" s="29" t="s">
        <v>1452</v>
      </c>
      <c r="EE181" s="29" t="s">
        <v>162</v>
      </c>
      <c r="EF181" s="37">
        <v>41640</v>
      </c>
      <c r="EG181" s="37">
        <v>42004</v>
      </c>
      <c r="EH181" s="29" t="s">
        <v>1452</v>
      </c>
      <c r="EI181" s="55">
        <f t="shared" si="79"/>
        <v>0.43894266567386447</v>
      </c>
      <c r="EJ181" s="54">
        <f t="shared" si="80"/>
        <v>0</v>
      </c>
      <c r="EK181" s="55">
        <f t="shared" si="81"/>
        <v>1.1459419210722264</v>
      </c>
      <c r="EL181" s="54">
        <f t="shared" si="82"/>
        <v>0</v>
      </c>
    </row>
    <row r="182" spans="1:142" ht="28.8" x14ac:dyDescent="0.3">
      <c r="A182" s="29" t="s">
        <v>542</v>
      </c>
      <c r="B182" s="29"/>
      <c r="C182" s="30">
        <v>24886</v>
      </c>
      <c r="D182" s="30">
        <v>0</v>
      </c>
      <c r="E182" s="30">
        <v>0</v>
      </c>
      <c r="F182" s="30">
        <v>10170</v>
      </c>
      <c r="H182" s="2">
        <f t="shared" si="58"/>
        <v>10170</v>
      </c>
      <c r="I182" s="1">
        <f t="shared" si="57"/>
        <v>0.40866350558546977</v>
      </c>
      <c r="J182" s="31">
        <v>170172</v>
      </c>
      <c r="K182" s="31">
        <v>73031</v>
      </c>
      <c r="L182" s="31">
        <v>243203</v>
      </c>
      <c r="M182" s="45">
        <f t="shared" si="59"/>
        <v>9.7726834364703041</v>
      </c>
      <c r="N182" s="31">
        <v>12018</v>
      </c>
      <c r="O182" s="31">
        <v>8562</v>
      </c>
      <c r="P182" s="31">
        <v>4420</v>
      </c>
      <c r="Q182" s="31">
        <v>25000</v>
      </c>
      <c r="R182" s="45">
        <f t="shared" si="60"/>
        <v>1.0045808888531704</v>
      </c>
      <c r="S182" s="31">
        <v>27140</v>
      </c>
      <c r="T182" s="31">
        <v>295343</v>
      </c>
      <c r="U182" s="31">
        <v>21938</v>
      </c>
      <c r="V182" s="31">
        <v>317281</v>
      </c>
      <c r="W182" s="45">
        <f t="shared" si="61"/>
        <v>12.749377159848912</v>
      </c>
      <c r="X182" s="4">
        <f t="shared" si="62"/>
        <v>0.76652242018904382</v>
      </c>
      <c r="Y182" s="4">
        <f t="shared" si="63"/>
        <v>7.879450707732262E-2</v>
      </c>
      <c r="Z182" s="4">
        <f t="shared" si="64"/>
        <v>8.5539316883141439E-2</v>
      </c>
      <c r="AA182" s="4">
        <f t="shared" si="65"/>
        <v>6.914375585049215E-2</v>
      </c>
      <c r="AB182" s="31">
        <v>0</v>
      </c>
      <c r="AC182" s="31">
        <v>25000</v>
      </c>
      <c r="AD182" s="31">
        <v>317281</v>
      </c>
      <c r="AE182" s="31">
        <v>317281</v>
      </c>
      <c r="AF182" s="31">
        <v>0</v>
      </c>
      <c r="AG182" s="31">
        <v>317281</v>
      </c>
      <c r="AH182" s="31">
        <v>0</v>
      </c>
      <c r="AI182" s="31">
        <v>317281</v>
      </c>
      <c r="AJ182" s="45">
        <f t="shared" si="66"/>
        <v>12.749377159848912</v>
      </c>
      <c r="AK182" s="31">
        <v>0</v>
      </c>
      <c r="AL182" s="31">
        <v>0</v>
      </c>
      <c r="AM182" s="31">
        <v>0</v>
      </c>
      <c r="AN182" s="31">
        <v>0</v>
      </c>
      <c r="AO182" s="31">
        <v>0</v>
      </c>
      <c r="AP182" s="31">
        <v>0</v>
      </c>
      <c r="AQ182" s="31">
        <v>0</v>
      </c>
      <c r="AR182" s="31">
        <v>317281</v>
      </c>
      <c r="AS182" s="46">
        <f t="shared" si="67"/>
        <v>12.749377159848912</v>
      </c>
      <c r="AT182" s="31">
        <v>0</v>
      </c>
      <c r="AU182" s="31">
        <v>0</v>
      </c>
      <c r="AV182" s="31">
        <v>0</v>
      </c>
      <c r="AW182" s="31">
        <v>0</v>
      </c>
      <c r="AX182" s="31">
        <v>0</v>
      </c>
      <c r="AY182" s="31">
        <v>0</v>
      </c>
      <c r="AZ182" s="31">
        <v>0</v>
      </c>
      <c r="BA182" s="31">
        <v>0</v>
      </c>
      <c r="BB182" s="31">
        <v>0</v>
      </c>
      <c r="BC182" s="33" t="s">
        <v>25</v>
      </c>
      <c r="BD182" s="47">
        <v>34126</v>
      </c>
      <c r="BE182" s="47">
        <v>37336</v>
      </c>
      <c r="BF182" s="45">
        <f t="shared" si="68"/>
        <v>1.5002812826488789</v>
      </c>
      <c r="BG182" s="30">
        <v>1052</v>
      </c>
      <c r="BH182" s="30">
        <v>1058</v>
      </c>
      <c r="BI182" s="30">
        <v>0</v>
      </c>
      <c r="BJ182" s="30">
        <v>816</v>
      </c>
      <c r="BK182" s="30">
        <v>838</v>
      </c>
      <c r="BL182" s="30">
        <v>0</v>
      </c>
      <c r="BM182" s="30">
        <v>0</v>
      </c>
      <c r="BN182" s="30">
        <v>1</v>
      </c>
      <c r="BO182" s="30">
        <v>51</v>
      </c>
      <c r="BP182" s="30">
        <v>0</v>
      </c>
      <c r="BQ182" s="30">
        <v>52</v>
      </c>
      <c r="BR182" s="47">
        <v>35994</v>
      </c>
      <c r="BS182" s="47">
        <v>39233</v>
      </c>
      <c r="BT182" s="1">
        <f t="shared" si="69"/>
        <v>1.5765088804950576</v>
      </c>
      <c r="BU182" s="30">
        <v>61</v>
      </c>
      <c r="BV182" s="30">
        <v>0</v>
      </c>
      <c r="BW182" s="47">
        <v>3258</v>
      </c>
      <c r="BX182" s="52">
        <f t="shared" si="70"/>
        <v>0.13091698143534516</v>
      </c>
      <c r="BY182" s="47">
        <v>18677</v>
      </c>
      <c r="BZ182" s="47">
        <v>0</v>
      </c>
      <c r="CA182" s="47">
        <v>41728</v>
      </c>
      <c r="CB182" s="47">
        <v>0</v>
      </c>
      <c r="CC182" s="47">
        <v>60405</v>
      </c>
      <c r="CD182" s="55">
        <f t="shared" si="71"/>
        <v>2.4272683436470306</v>
      </c>
      <c r="CE182" s="3">
        <f t="shared" si="72"/>
        <v>11124.309392265193</v>
      </c>
      <c r="CF182" s="55">
        <f t="shared" si="73"/>
        <v>25.748081841432224</v>
      </c>
      <c r="CG182" s="55">
        <f t="shared" si="74"/>
        <v>1.3069017741237559</v>
      </c>
      <c r="CH182" s="55">
        <f t="shared" si="75"/>
        <v>1.5396477455203528</v>
      </c>
      <c r="CI182" s="30">
        <v>97</v>
      </c>
      <c r="CJ182" s="30">
        <v>0</v>
      </c>
      <c r="CK182" s="30">
        <v>0</v>
      </c>
      <c r="CL182" s="30">
        <v>97</v>
      </c>
      <c r="CM182" s="30">
        <v>2572</v>
      </c>
      <c r="CN182" s="30">
        <v>0</v>
      </c>
      <c r="CO182" s="30">
        <v>0</v>
      </c>
      <c r="CP182" s="30">
        <v>2572</v>
      </c>
      <c r="CQ182" s="1">
        <f t="shared" si="83"/>
        <v>0.10335128184521418</v>
      </c>
      <c r="CR182" s="47">
        <v>46220</v>
      </c>
      <c r="CS182" s="55">
        <f t="shared" si="76"/>
        <v>1.8572691473117415</v>
      </c>
      <c r="CT182" s="59">
        <v>8161</v>
      </c>
      <c r="CU182" s="29" t="s">
        <v>25</v>
      </c>
      <c r="CV182" s="29" t="s">
        <v>25</v>
      </c>
      <c r="CW182" s="29" t="s">
        <v>25</v>
      </c>
      <c r="CX182" s="35">
        <v>1</v>
      </c>
      <c r="CY182" s="49">
        <f>C182/CX182</f>
        <v>24886</v>
      </c>
      <c r="CZ182" s="35">
        <v>0</v>
      </c>
      <c r="DA182" s="35">
        <v>4.43</v>
      </c>
      <c r="DB182" s="35">
        <v>5.43</v>
      </c>
      <c r="DC182" s="49">
        <f t="shared" si="77"/>
        <v>4583.0570902394111</v>
      </c>
      <c r="DD182" s="30">
        <v>402</v>
      </c>
      <c r="DE182" s="31">
        <v>54888</v>
      </c>
      <c r="DF182" s="35">
        <v>40</v>
      </c>
      <c r="DG182" s="29" t="s">
        <v>25</v>
      </c>
      <c r="DH182" s="29" t="s">
        <v>26</v>
      </c>
      <c r="DI182" s="29" t="s">
        <v>26</v>
      </c>
      <c r="DJ182" s="47">
        <v>603</v>
      </c>
      <c r="DK182" s="47">
        <v>0</v>
      </c>
      <c r="DL182" s="47">
        <v>4</v>
      </c>
      <c r="DM182" s="47">
        <v>9727</v>
      </c>
      <c r="DN182" s="47">
        <v>100</v>
      </c>
      <c r="DO182" s="47">
        <v>3034</v>
      </c>
      <c r="DP182" s="29" t="s">
        <v>2028</v>
      </c>
      <c r="DQ182" s="47">
        <v>0</v>
      </c>
      <c r="DR182" s="47">
        <v>2346</v>
      </c>
      <c r="DS182" s="30">
        <v>52</v>
      </c>
      <c r="DT182" s="30">
        <v>47</v>
      </c>
      <c r="DU182" s="30">
        <v>47</v>
      </c>
      <c r="DV182" s="30">
        <v>47</v>
      </c>
      <c r="DX182" s="2">
        <f t="shared" si="78"/>
        <v>2346</v>
      </c>
      <c r="DY182" s="33" t="s">
        <v>2187</v>
      </c>
      <c r="DZ182" s="33" t="s">
        <v>545</v>
      </c>
      <c r="EA182" s="33" t="s">
        <v>2034</v>
      </c>
      <c r="EB182" s="33" t="s">
        <v>2027</v>
      </c>
      <c r="EC182" s="36">
        <v>145</v>
      </c>
      <c r="ED182" s="29" t="s">
        <v>543</v>
      </c>
      <c r="EE182" s="29" t="s">
        <v>544</v>
      </c>
      <c r="EF182" s="37">
        <v>41548</v>
      </c>
      <c r="EG182" s="37">
        <v>41912</v>
      </c>
      <c r="EH182" s="29" t="s">
        <v>543</v>
      </c>
      <c r="EI182" s="55">
        <f t="shared" si="79"/>
        <v>0.75050229044442662</v>
      </c>
      <c r="EJ182" s="54">
        <f t="shared" si="80"/>
        <v>0</v>
      </c>
      <c r="EK182" s="55">
        <f t="shared" si="81"/>
        <v>1.6767660532026039</v>
      </c>
      <c r="EL182" s="54">
        <f t="shared" si="82"/>
        <v>0</v>
      </c>
    </row>
    <row r="183" spans="1:142" ht="28.8" x14ac:dyDescent="0.3">
      <c r="A183" s="29" t="s">
        <v>546</v>
      </c>
      <c r="B183" s="29"/>
      <c r="C183" s="30">
        <v>41778</v>
      </c>
      <c r="D183" s="30">
        <v>0</v>
      </c>
      <c r="E183" s="30">
        <v>0</v>
      </c>
      <c r="F183" s="30">
        <v>15459</v>
      </c>
      <c r="H183" s="2">
        <f t="shared" si="58"/>
        <v>15459</v>
      </c>
      <c r="I183" s="1">
        <f t="shared" si="57"/>
        <v>0.37002728708889848</v>
      </c>
      <c r="J183" s="31">
        <v>639356</v>
      </c>
      <c r="K183" s="31">
        <v>217203</v>
      </c>
      <c r="L183" s="31">
        <v>856559</v>
      </c>
      <c r="M183" s="45">
        <f t="shared" si="59"/>
        <v>20.502632964718273</v>
      </c>
      <c r="N183" s="31">
        <v>106923</v>
      </c>
      <c r="O183" s="31">
        <v>32985</v>
      </c>
      <c r="P183" s="31">
        <v>27720</v>
      </c>
      <c r="Q183" s="31">
        <v>167628</v>
      </c>
      <c r="R183" s="45">
        <f t="shared" si="60"/>
        <v>4.0123509981329883</v>
      </c>
      <c r="S183" s="31">
        <v>172673</v>
      </c>
      <c r="T183" s="31">
        <v>1196860</v>
      </c>
      <c r="U183" s="31">
        <v>0</v>
      </c>
      <c r="V183" s="31">
        <v>1196860</v>
      </c>
      <c r="W183" s="45">
        <f t="shared" si="61"/>
        <v>28.648092297381396</v>
      </c>
      <c r="X183" s="4">
        <f t="shared" si="62"/>
        <v>0.71567184131811579</v>
      </c>
      <c r="Y183" s="4">
        <f t="shared" si="63"/>
        <v>0.14005648112561203</v>
      </c>
      <c r="Z183" s="4">
        <f t="shared" si="64"/>
        <v>0.14427167755627224</v>
      </c>
      <c r="AA183" s="4">
        <f t="shared" si="65"/>
        <v>0</v>
      </c>
      <c r="AB183" s="31">
        <v>0</v>
      </c>
      <c r="AC183" s="31">
        <v>167628</v>
      </c>
      <c r="AD183" s="31">
        <v>1196860</v>
      </c>
      <c r="AE183" s="31">
        <v>1111484</v>
      </c>
      <c r="AF183" s="31">
        <v>1068314</v>
      </c>
      <c r="AG183" s="31">
        <v>43170</v>
      </c>
      <c r="AH183" s="31">
        <v>0</v>
      </c>
      <c r="AI183" s="31">
        <v>1111484</v>
      </c>
      <c r="AJ183" s="45">
        <f t="shared" si="66"/>
        <v>26.604528699315431</v>
      </c>
      <c r="AK183" s="31">
        <v>0</v>
      </c>
      <c r="AL183" s="31">
        <v>0</v>
      </c>
      <c r="AM183" s="31">
        <v>0</v>
      </c>
      <c r="AN183" s="31">
        <v>0</v>
      </c>
      <c r="AO183" s="31">
        <v>0</v>
      </c>
      <c r="AP183" s="31">
        <v>52563</v>
      </c>
      <c r="AQ183" s="31">
        <v>52563</v>
      </c>
      <c r="AR183" s="31">
        <v>1164047</v>
      </c>
      <c r="AS183" s="46">
        <f t="shared" si="67"/>
        <v>27.862678921920629</v>
      </c>
      <c r="AT183" s="31">
        <v>0</v>
      </c>
      <c r="AU183" s="31">
        <v>0</v>
      </c>
      <c r="AV183" s="31">
        <v>0</v>
      </c>
      <c r="AW183" s="31">
        <v>0</v>
      </c>
      <c r="AX183" s="31">
        <v>0</v>
      </c>
      <c r="AY183" s="31">
        <v>0</v>
      </c>
      <c r="AZ183" s="31">
        <v>0</v>
      </c>
      <c r="BA183" s="31">
        <v>0</v>
      </c>
      <c r="BB183" s="31">
        <v>0</v>
      </c>
      <c r="BC183" s="33" t="s">
        <v>25</v>
      </c>
      <c r="BD183" s="47">
        <v>75880</v>
      </c>
      <c r="BE183" s="47">
        <v>84632</v>
      </c>
      <c r="BF183" s="45">
        <f t="shared" si="68"/>
        <v>2.0257551821532864</v>
      </c>
      <c r="BG183" s="30">
        <v>5933</v>
      </c>
      <c r="BH183" s="30">
        <v>6224</v>
      </c>
      <c r="BI183" s="30">
        <v>11978</v>
      </c>
      <c r="BJ183" s="30">
        <v>6664</v>
      </c>
      <c r="BK183" s="30">
        <v>7332</v>
      </c>
      <c r="BL183" s="30">
        <v>322</v>
      </c>
      <c r="BM183" s="30">
        <v>30886</v>
      </c>
      <c r="BN183" s="30">
        <v>9</v>
      </c>
      <c r="BO183" s="30">
        <v>51</v>
      </c>
      <c r="BP183" s="30">
        <v>0</v>
      </c>
      <c r="BQ183" s="30">
        <v>60</v>
      </c>
      <c r="BR183" s="47">
        <v>88477</v>
      </c>
      <c r="BS183" s="47">
        <v>141383</v>
      </c>
      <c r="BT183" s="1">
        <f t="shared" si="69"/>
        <v>3.3841495523959977</v>
      </c>
      <c r="BU183" s="30">
        <v>119</v>
      </c>
      <c r="BV183" s="30">
        <v>90</v>
      </c>
      <c r="BW183" s="47">
        <v>27364</v>
      </c>
      <c r="BX183" s="52">
        <f t="shared" si="70"/>
        <v>0.65498587773469286</v>
      </c>
      <c r="BY183" s="47">
        <v>123389</v>
      </c>
      <c r="BZ183" s="47">
        <v>3533</v>
      </c>
      <c r="CA183" s="47">
        <v>211576</v>
      </c>
      <c r="CB183" s="47">
        <v>28954</v>
      </c>
      <c r="CC183" s="47">
        <v>367452</v>
      </c>
      <c r="CD183" s="55">
        <f t="shared" si="71"/>
        <v>8.7953468332615259</v>
      </c>
      <c r="CE183" s="3">
        <f t="shared" si="72"/>
        <v>25552.99026425591</v>
      </c>
      <c r="CF183" s="55">
        <f t="shared" si="73"/>
        <v>113.37611848195002</v>
      </c>
      <c r="CG183" s="55">
        <f t="shared" si="74"/>
        <v>2.2570345755299348</v>
      </c>
      <c r="CH183" s="55">
        <f t="shared" si="75"/>
        <v>2.3692028037317074</v>
      </c>
      <c r="CI183" s="30">
        <v>582</v>
      </c>
      <c r="CJ183" s="30">
        <v>152</v>
      </c>
      <c r="CK183" s="30">
        <v>170</v>
      </c>
      <c r="CL183" s="30">
        <v>904</v>
      </c>
      <c r="CM183" s="30">
        <v>24747</v>
      </c>
      <c r="CN183" s="30">
        <v>2059</v>
      </c>
      <c r="CO183" s="30">
        <v>2718</v>
      </c>
      <c r="CP183" s="30">
        <v>29524</v>
      </c>
      <c r="CQ183" s="1">
        <f t="shared" si="83"/>
        <v>0.7066877303844129</v>
      </c>
      <c r="CR183" s="47">
        <v>162803</v>
      </c>
      <c r="CS183" s="55">
        <f t="shared" si="76"/>
        <v>3.8968595911723876</v>
      </c>
      <c r="CT183" s="59">
        <v>44678</v>
      </c>
      <c r="CU183" s="29" t="s">
        <v>25</v>
      </c>
      <c r="CV183" s="29" t="s">
        <v>25</v>
      </c>
      <c r="CW183" s="29" t="s">
        <v>25</v>
      </c>
      <c r="CX183" s="35">
        <v>4</v>
      </c>
      <c r="CY183" s="49">
        <f>C183/CX183</f>
        <v>10444.5</v>
      </c>
      <c r="CZ183" s="35">
        <v>0</v>
      </c>
      <c r="DA183" s="35">
        <v>10.38</v>
      </c>
      <c r="DB183" s="35">
        <v>14.38</v>
      </c>
      <c r="DC183" s="49">
        <f t="shared" si="77"/>
        <v>2905.2851182197496</v>
      </c>
      <c r="DD183" s="30">
        <v>1732</v>
      </c>
      <c r="DE183" s="31">
        <v>91403</v>
      </c>
      <c r="DF183" s="35">
        <v>40</v>
      </c>
      <c r="DG183" s="29" t="s">
        <v>25</v>
      </c>
      <c r="DH183" s="29" t="s">
        <v>25</v>
      </c>
      <c r="DI183" s="29" t="s">
        <v>25</v>
      </c>
      <c r="DJ183" s="47">
        <v>778</v>
      </c>
      <c r="DK183" s="47">
        <v>999</v>
      </c>
      <c r="DL183" s="47">
        <v>33</v>
      </c>
      <c r="DM183" s="47">
        <v>27126</v>
      </c>
      <c r="DN183" s="47">
        <v>13604</v>
      </c>
      <c r="DO183" s="47">
        <v>24612</v>
      </c>
      <c r="DP183" s="29" t="s">
        <v>25</v>
      </c>
      <c r="DQ183" s="47">
        <v>187514</v>
      </c>
      <c r="DR183" s="47">
        <v>3241</v>
      </c>
      <c r="DS183" s="30">
        <v>52</v>
      </c>
      <c r="DT183" s="30">
        <v>65</v>
      </c>
      <c r="DU183" s="30">
        <v>65</v>
      </c>
      <c r="DV183" s="30">
        <v>65</v>
      </c>
      <c r="DX183" s="2">
        <f t="shared" si="78"/>
        <v>3241</v>
      </c>
      <c r="DY183" s="33" t="s">
        <v>2185</v>
      </c>
      <c r="DZ183" s="33" t="s">
        <v>548</v>
      </c>
      <c r="EA183" s="33" t="s">
        <v>2030</v>
      </c>
      <c r="EB183" s="33" t="s">
        <v>2027</v>
      </c>
      <c r="EC183" s="36">
        <v>146</v>
      </c>
      <c r="ED183" s="29" t="s">
        <v>547</v>
      </c>
      <c r="EE183" s="29" t="s">
        <v>440</v>
      </c>
      <c r="EF183" s="37">
        <v>41548</v>
      </c>
      <c r="EG183" s="37">
        <v>41912</v>
      </c>
      <c r="EH183" s="29" t="s">
        <v>547</v>
      </c>
      <c r="EI183" s="55">
        <f t="shared" si="79"/>
        <v>2.9534443965723587</v>
      </c>
      <c r="EJ183" s="54">
        <f t="shared" si="80"/>
        <v>8.4566039542342861E-2</v>
      </c>
      <c r="EK183" s="55">
        <f t="shared" si="81"/>
        <v>5.0642922112116429</v>
      </c>
      <c r="EL183" s="54">
        <f t="shared" si="82"/>
        <v>0.69304418593518125</v>
      </c>
    </row>
    <row r="184" spans="1:142" ht="28.8" x14ac:dyDescent="0.3">
      <c r="A184" s="29" t="s">
        <v>549</v>
      </c>
      <c r="B184" s="29"/>
      <c r="C184" s="30">
        <v>3994</v>
      </c>
      <c r="D184" s="30">
        <v>0</v>
      </c>
      <c r="E184" s="30">
        <v>0</v>
      </c>
      <c r="F184" s="30">
        <v>6025</v>
      </c>
      <c r="H184" s="2">
        <f t="shared" si="58"/>
        <v>6025</v>
      </c>
      <c r="I184" s="1">
        <f t="shared" si="57"/>
        <v>1.5085127691537306</v>
      </c>
      <c r="J184" s="31">
        <v>82500</v>
      </c>
      <c r="K184" s="31">
        <v>29376</v>
      </c>
      <c r="L184" s="31">
        <v>111876</v>
      </c>
      <c r="M184" s="45">
        <f t="shared" si="59"/>
        <v>28.011016524787181</v>
      </c>
      <c r="N184" s="31">
        <v>19222</v>
      </c>
      <c r="O184" s="31">
        <v>800</v>
      </c>
      <c r="P184" s="31">
        <v>2574</v>
      </c>
      <c r="Q184" s="31">
        <v>22596</v>
      </c>
      <c r="R184" s="45">
        <f t="shared" si="60"/>
        <v>5.6574862293440162</v>
      </c>
      <c r="S184" s="31">
        <v>39684</v>
      </c>
      <c r="T184" s="31">
        <v>174156</v>
      </c>
      <c r="U184" s="31">
        <v>0</v>
      </c>
      <c r="V184" s="31">
        <v>174156</v>
      </c>
      <c r="W184" s="45">
        <f t="shared" si="61"/>
        <v>43.604406609914875</v>
      </c>
      <c r="X184" s="4">
        <f t="shared" si="62"/>
        <v>0.64238958175428928</v>
      </c>
      <c r="Y184" s="4">
        <f t="shared" si="63"/>
        <v>0.12974574519396403</v>
      </c>
      <c r="Z184" s="4">
        <f t="shared" si="64"/>
        <v>0.22786467305174671</v>
      </c>
      <c r="AA184" s="4">
        <f t="shared" si="65"/>
        <v>0</v>
      </c>
      <c r="AB184" s="31">
        <v>72110</v>
      </c>
      <c r="AC184" s="31">
        <v>22596</v>
      </c>
      <c r="AD184" s="31">
        <v>174156</v>
      </c>
      <c r="AE184" s="31">
        <v>174156</v>
      </c>
      <c r="AF184" s="31">
        <v>174156</v>
      </c>
      <c r="AG184" s="31">
        <v>0</v>
      </c>
      <c r="AH184" s="31">
        <v>0</v>
      </c>
      <c r="AI184" s="31">
        <v>174156</v>
      </c>
      <c r="AJ184" s="45">
        <f t="shared" si="66"/>
        <v>43.604406609914875</v>
      </c>
      <c r="AK184" s="31">
        <v>0</v>
      </c>
      <c r="AL184" s="31">
        <v>0</v>
      </c>
      <c r="AM184" s="31">
        <v>0</v>
      </c>
      <c r="AN184" s="31">
        <v>0</v>
      </c>
      <c r="AO184" s="31">
        <v>0</v>
      </c>
      <c r="AP184" s="31">
        <v>0</v>
      </c>
      <c r="AQ184" s="31">
        <v>0</v>
      </c>
      <c r="AR184" s="31">
        <v>174156</v>
      </c>
      <c r="AS184" s="46">
        <f t="shared" si="67"/>
        <v>43.604406609914875</v>
      </c>
      <c r="AT184" s="31">
        <v>72110</v>
      </c>
      <c r="AU184" s="31">
        <v>0</v>
      </c>
      <c r="AV184" s="31">
        <v>0</v>
      </c>
      <c r="AW184" s="31">
        <v>0</v>
      </c>
      <c r="AX184" s="31">
        <v>0</v>
      </c>
      <c r="AY184" s="31">
        <v>0</v>
      </c>
      <c r="AZ184" s="31">
        <v>0</v>
      </c>
      <c r="BA184" s="31">
        <v>0</v>
      </c>
      <c r="BB184" s="31">
        <v>72110</v>
      </c>
      <c r="BC184" s="33" t="s">
        <v>25</v>
      </c>
      <c r="BD184" s="47">
        <v>32478</v>
      </c>
      <c r="BE184" s="47">
        <v>33728</v>
      </c>
      <c r="BF184" s="45">
        <f t="shared" si="68"/>
        <v>8.4446670005007505</v>
      </c>
      <c r="BG184" s="30">
        <v>1032</v>
      </c>
      <c r="BH184" s="30">
        <v>2934</v>
      </c>
      <c r="BI184" s="30">
        <v>803</v>
      </c>
      <c r="BJ184" s="30">
        <v>1763</v>
      </c>
      <c r="BK184" s="30">
        <v>2344</v>
      </c>
      <c r="BL184" s="30">
        <v>23</v>
      </c>
      <c r="BM184" s="30">
        <v>3348</v>
      </c>
      <c r="BN184" s="30">
        <v>2</v>
      </c>
      <c r="BO184" s="30">
        <v>51</v>
      </c>
      <c r="BP184" s="30">
        <v>16</v>
      </c>
      <c r="BQ184" s="30">
        <v>69</v>
      </c>
      <c r="BR184" s="47">
        <v>35273</v>
      </c>
      <c r="BS184" s="47">
        <v>43182</v>
      </c>
      <c r="BT184" s="1">
        <f t="shared" si="69"/>
        <v>10.811717576364547</v>
      </c>
      <c r="BU184" s="30">
        <v>60</v>
      </c>
      <c r="BV184" s="30">
        <v>5</v>
      </c>
      <c r="BW184" s="47">
        <v>119</v>
      </c>
      <c r="BX184" s="52">
        <f t="shared" si="70"/>
        <v>2.9794692038057086E-2</v>
      </c>
      <c r="BY184" s="47">
        <v>7909</v>
      </c>
      <c r="BZ184" s="47">
        <v>16</v>
      </c>
      <c r="CA184" s="47">
        <v>21127</v>
      </c>
      <c r="CB184" s="47">
        <v>254</v>
      </c>
      <c r="CC184" s="47">
        <v>29306</v>
      </c>
      <c r="CD184" s="55">
        <f t="shared" si="71"/>
        <v>7.3375062593890839</v>
      </c>
      <c r="CE184" s="3">
        <f t="shared" si="72"/>
        <v>8373.1428571428569</v>
      </c>
      <c r="CF184" s="55">
        <f t="shared" si="73"/>
        <v>13.643389199255122</v>
      </c>
      <c r="CG184" s="55">
        <f t="shared" si="74"/>
        <v>1.6810646475076005</v>
      </c>
      <c r="CH184" s="55">
        <f t="shared" si="75"/>
        <v>0.67240980037978793</v>
      </c>
      <c r="CI184" s="30">
        <v>36</v>
      </c>
      <c r="CJ184" s="30">
        <v>0</v>
      </c>
      <c r="CK184" s="30">
        <v>2</v>
      </c>
      <c r="CL184" s="30">
        <v>38</v>
      </c>
      <c r="CM184" s="30">
        <v>1583</v>
      </c>
      <c r="CN184" s="30">
        <v>0</v>
      </c>
      <c r="CO184" s="30">
        <v>85</v>
      </c>
      <c r="CP184" s="30">
        <v>1668</v>
      </c>
      <c r="CQ184" s="1">
        <f t="shared" si="83"/>
        <v>0.41762643965948926</v>
      </c>
      <c r="CR184" s="47">
        <v>17433</v>
      </c>
      <c r="CS184" s="55">
        <f t="shared" si="76"/>
        <v>4.3647971957936909</v>
      </c>
      <c r="CT184" s="59">
        <v>3705</v>
      </c>
      <c r="CU184" s="29" t="s">
        <v>25</v>
      </c>
      <c r="CV184" s="29" t="s">
        <v>25</v>
      </c>
      <c r="CW184" s="29" t="s">
        <v>25</v>
      </c>
      <c r="CX184" s="35">
        <v>0</v>
      </c>
      <c r="CY184" s="49">
        <v>0</v>
      </c>
      <c r="CZ184" s="35">
        <v>3</v>
      </c>
      <c r="DA184" s="35">
        <v>0.5</v>
      </c>
      <c r="DB184" s="35">
        <v>3.5</v>
      </c>
      <c r="DC184" s="49">
        <f t="shared" si="77"/>
        <v>1141.1428571428571</v>
      </c>
      <c r="DD184" s="30">
        <v>110</v>
      </c>
      <c r="DE184" s="31">
        <v>37200</v>
      </c>
      <c r="DF184" s="35">
        <v>40</v>
      </c>
      <c r="DG184" s="29" t="s">
        <v>25</v>
      </c>
      <c r="DH184" s="29" t="s">
        <v>25</v>
      </c>
      <c r="DI184" s="29" t="s">
        <v>25</v>
      </c>
      <c r="DJ184" s="47">
        <v>99</v>
      </c>
      <c r="DK184" s="47">
        <v>161</v>
      </c>
      <c r="DL184" s="47">
        <v>14</v>
      </c>
      <c r="DM184" s="47">
        <v>2749</v>
      </c>
      <c r="DN184" s="47">
        <v>1200</v>
      </c>
      <c r="DO184" s="47">
        <v>0</v>
      </c>
      <c r="DP184" s="29" t="s">
        <v>25</v>
      </c>
      <c r="DQ184" s="47">
        <v>30497</v>
      </c>
      <c r="DR184" s="47">
        <v>2148</v>
      </c>
      <c r="DS184" s="30">
        <v>52</v>
      </c>
      <c r="DT184" s="30">
        <v>45</v>
      </c>
      <c r="DU184" s="30">
        <v>45</v>
      </c>
      <c r="DV184" s="30">
        <v>45</v>
      </c>
      <c r="DX184" s="2">
        <f t="shared" si="78"/>
        <v>2148</v>
      </c>
      <c r="DY184" s="33" t="s">
        <v>2184</v>
      </c>
      <c r="DZ184" s="33" t="s">
        <v>552</v>
      </c>
      <c r="EA184" s="33" t="s">
        <v>2030</v>
      </c>
      <c r="EB184" s="33" t="s">
        <v>2027</v>
      </c>
      <c r="EC184" s="36">
        <v>147</v>
      </c>
      <c r="ED184" s="29" t="s">
        <v>550</v>
      </c>
      <c r="EE184" s="29" t="s">
        <v>551</v>
      </c>
      <c r="EF184" s="37">
        <v>41548</v>
      </c>
      <c r="EG184" s="37">
        <v>41912</v>
      </c>
      <c r="EH184" s="29" t="s">
        <v>550</v>
      </c>
      <c r="EI184" s="55">
        <f t="shared" si="79"/>
        <v>1.9802203304957435</v>
      </c>
      <c r="EJ184" s="54">
        <f t="shared" si="80"/>
        <v>4.00600901352028E-3</v>
      </c>
      <c r="EK184" s="55">
        <f t="shared" si="81"/>
        <v>5.2896845267901851</v>
      </c>
      <c r="EL184" s="54">
        <f t="shared" si="82"/>
        <v>6.3595393089634453E-2</v>
      </c>
    </row>
    <row r="185" spans="1:142" ht="28.8" x14ac:dyDescent="0.3">
      <c r="A185" s="29" t="s">
        <v>1646</v>
      </c>
      <c r="B185" s="29"/>
      <c r="C185" s="30">
        <v>136791</v>
      </c>
      <c r="D185" s="30">
        <v>0</v>
      </c>
      <c r="E185" s="30">
        <v>0</v>
      </c>
      <c r="F185" s="30">
        <v>55000</v>
      </c>
      <c r="H185" s="2">
        <f t="shared" si="58"/>
        <v>55000</v>
      </c>
      <c r="I185" s="1">
        <f t="shared" si="57"/>
        <v>0.40207323581229759</v>
      </c>
      <c r="J185" s="31">
        <v>1961265</v>
      </c>
      <c r="K185" s="31">
        <v>649033</v>
      </c>
      <c r="L185" s="31">
        <v>2610298</v>
      </c>
      <c r="M185" s="45">
        <f t="shared" si="59"/>
        <v>19.082381150806704</v>
      </c>
      <c r="N185" s="31">
        <v>418176</v>
      </c>
      <c r="O185" s="31">
        <v>150566</v>
      </c>
      <c r="P185" s="31">
        <v>50565</v>
      </c>
      <c r="Q185" s="31">
        <v>619307</v>
      </c>
      <c r="R185" s="45">
        <f t="shared" si="60"/>
        <v>4.5273958082037558</v>
      </c>
      <c r="S185" s="31">
        <v>476644</v>
      </c>
      <c r="T185" s="31">
        <v>3706249</v>
      </c>
      <c r="U185" s="31">
        <v>0</v>
      </c>
      <c r="V185" s="31">
        <v>3706249</v>
      </c>
      <c r="W185" s="45">
        <f t="shared" si="61"/>
        <v>27.094245966474404</v>
      </c>
      <c r="X185" s="4">
        <f t="shared" si="62"/>
        <v>0.70429644635317268</v>
      </c>
      <c r="Y185" s="4">
        <f t="shared" si="63"/>
        <v>0.16709805520352247</v>
      </c>
      <c r="Z185" s="4">
        <f t="shared" si="64"/>
        <v>0.12860549844330479</v>
      </c>
      <c r="AA185" s="4">
        <f t="shared" si="65"/>
        <v>0</v>
      </c>
      <c r="AB185" s="31">
        <v>0</v>
      </c>
      <c r="AC185" s="31">
        <v>619307</v>
      </c>
      <c r="AD185" s="31">
        <v>3706249</v>
      </c>
      <c r="AE185" s="31">
        <v>3706249</v>
      </c>
      <c r="AF185" s="31">
        <v>3706249</v>
      </c>
      <c r="AG185" s="31">
        <v>0</v>
      </c>
      <c r="AH185" s="31">
        <v>0</v>
      </c>
      <c r="AI185" s="31">
        <v>3706249</v>
      </c>
      <c r="AJ185" s="45">
        <f t="shared" si="66"/>
        <v>27.094245966474404</v>
      </c>
      <c r="AK185" s="31">
        <v>0</v>
      </c>
      <c r="AL185" s="31">
        <v>0</v>
      </c>
      <c r="AM185" s="31">
        <v>0</v>
      </c>
      <c r="AN185" s="31">
        <v>0</v>
      </c>
      <c r="AO185" s="31">
        <v>0</v>
      </c>
      <c r="AP185" s="31">
        <v>0</v>
      </c>
      <c r="AQ185" s="31">
        <v>0</v>
      </c>
      <c r="AR185" s="31">
        <v>3706249</v>
      </c>
      <c r="AS185" s="46">
        <f t="shared" si="67"/>
        <v>27.094245966474404</v>
      </c>
      <c r="AT185" s="31">
        <v>0</v>
      </c>
      <c r="AU185" s="31">
        <v>0</v>
      </c>
      <c r="AV185" s="31">
        <v>0</v>
      </c>
      <c r="AW185" s="31">
        <v>0</v>
      </c>
      <c r="AX185" s="31">
        <v>0</v>
      </c>
      <c r="AY185" s="31">
        <v>0</v>
      </c>
      <c r="AZ185" s="31">
        <v>0</v>
      </c>
      <c r="BA185" s="31">
        <v>0</v>
      </c>
      <c r="BB185" s="31">
        <v>0</v>
      </c>
      <c r="BC185" s="33" t="s">
        <v>25</v>
      </c>
      <c r="BD185" s="47">
        <v>99174</v>
      </c>
      <c r="BE185" s="47">
        <v>138844</v>
      </c>
      <c r="BF185" s="45">
        <f t="shared" si="68"/>
        <v>1.0150082973295027</v>
      </c>
      <c r="BG185" s="30">
        <v>8352</v>
      </c>
      <c r="BH185" s="30">
        <v>10023</v>
      </c>
      <c r="BI185" s="30">
        <v>7422</v>
      </c>
      <c r="BJ185" s="30">
        <v>14671</v>
      </c>
      <c r="BK185" s="30">
        <v>19806</v>
      </c>
      <c r="BL185" s="30">
        <v>1200</v>
      </c>
      <c r="BM185" s="30">
        <v>15802</v>
      </c>
      <c r="BN185" s="30">
        <v>14</v>
      </c>
      <c r="BO185" s="30">
        <v>51</v>
      </c>
      <c r="BP185" s="30">
        <v>0</v>
      </c>
      <c r="BQ185" s="30">
        <v>65</v>
      </c>
      <c r="BR185" s="47">
        <v>122197</v>
      </c>
      <c r="BS185" s="47">
        <v>193111</v>
      </c>
      <c r="BT185" s="1">
        <f t="shared" si="69"/>
        <v>1.4117229934717928</v>
      </c>
      <c r="BU185" s="30">
        <v>112</v>
      </c>
      <c r="BV185" s="30">
        <v>28</v>
      </c>
      <c r="BW185" s="47">
        <v>127934</v>
      </c>
      <c r="BX185" s="52">
        <f t="shared" si="70"/>
        <v>0.93525158818928145</v>
      </c>
      <c r="BY185" s="47">
        <v>902688</v>
      </c>
      <c r="BZ185" s="47">
        <v>33137</v>
      </c>
      <c r="CA185" s="47">
        <v>397291</v>
      </c>
      <c r="CB185" s="47">
        <v>77318</v>
      </c>
      <c r="CC185" s="47">
        <v>1410434</v>
      </c>
      <c r="CD185" s="55">
        <f t="shared" si="71"/>
        <v>10.310868405085129</v>
      </c>
      <c r="CE185" s="3">
        <f t="shared" si="72"/>
        <v>31695.146067415732</v>
      </c>
      <c r="CF185" s="55">
        <f t="shared" si="73"/>
        <v>422.91874062968515</v>
      </c>
      <c r="CG185" s="55">
        <f t="shared" si="74"/>
        <v>2.5040194010666328</v>
      </c>
      <c r="CH185" s="55">
        <f t="shared" si="75"/>
        <v>6.7317708468186694</v>
      </c>
      <c r="CI185" s="30">
        <v>538</v>
      </c>
      <c r="CJ185" s="30">
        <v>51</v>
      </c>
      <c r="CK185" s="30">
        <v>188</v>
      </c>
      <c r="CL185" s="30">
        <v>777</v>
      </c>
      <c r="CM185" s="30">
        <v>44080</v>
      </c>
      <c r="CN185" s="30">
        <v>1324</v>
      </c>
      <c r="CO185" s="30">
        <v>4258</v>
      </c>
      <c r="CP185" s="30">
        <v>49662</v>
      </c>
      <c r="CQ185" s="1">
        <f t="shared" si="83"/>
        <v>0.36305020067109678</v>
      </c>
      <c r="CR185" s="47">
        <v>563268</v>
      </c>
      <c r="CS185" s="55">
        <f t="shared" si="76"/>
        <v>4.1177270434458411</v>
      </c>
      <c r="CT185" s="59">
        <v>63910</v>
      </c>
      <c r="CU185" s="29" t="s">
        <v>25</v>
      </c>
      <c r="CV185" s="29" t="s">
        <v>25</v>
      </c>
      <c r="CW185" s="29" t="s">
        <v>25</v>
      </c>
      <c r="CX185" s="35">
        <v>18</v>
      </c>
      <c r="CY185" s="49">
        <f>C185/CX185</f>
        <v>7599.5</v>
      </c>
      <c r="CZ185" s="35">
        <v>0</v>
      </c>
      <c r="DA185" s="35">
        <v>26.5</v>
      </c>
      <c r="DB185" s="35">
        <v>44.5</v>
      </c>
      <c r="DC185" s="49">
        <f t="shared" si="77"/>
        <v>3073.9550561797751</v>
      </c>
      <c r="DD185" s="30">
        <v>4569</v>
      </c>
      <c r="DE185" s="31">
        <v>116500</v>
      </c>
      <c r="DF185" s="35">
        <v>40</v>
      </c>
      <c r="DG185" s="29" t="s">
        <v>25</v>
      </c>
      <c r="DH185" s="29" t="s">
        <v>25</v>
      </c>
      <c r="DI185" s="29" t="s">
        <v>25</v>
      </c>
      <c r="DJ185" s="47">
        <v>5525</v>
      </c>
      <c r="DK185" s="47">
        <v>2</v>
      </c>
      <c r="DL185" s="47">
        <v>78</v>
      </c>
      <c r="DM185" s="47">
        <v>44799</v>
      </c>
      <c r="DN185" s="47">
        <v>8799</v>
      </c>
      <c r="DO185" s="47">
        <v>0</v>
      </c>
      <c r="DP185" s="29" t="s">
        <v>25</v>
      </c>
      <c r="DQ185" s="47">
        <v>420086</v>
      </c>
      <c r="DR185" s="47">
        <v>3335</v>
      </c>
      <c r="DS185" s="30">
        <v>52</v>
      </c>
      <c r="DT185" s="30">
        <v>70</v>
      </c>
      <c r="DU185" s="30">
        <v>70</v>
      </c>
      <c r="DV185" s="30">
        <v>70</v>
      </c>
      <c r="DX185" s="2">
        <f t="shared" si="78"/>
        <v>3335</v>
      </c>
      <c r="DY185" s="33" t="s">
        <v>2182</v>
      </c>
      <c r="DZ185" s="33" t="s">
        <v>1648</v>
      </c>
      <c r="EA185" s="33" t="s">
        <v>2030</v>
      </c>
      <c r="EB185" s="33" t="s">
        <v>2027</v>
      </c>
      <c r="EC185" s="36">
        <v>559</v>
      </c>
      <c r="ED185" s="29" t="s">
        <v>1647</v>
      </c>
      <c r="EE185" s="29" t="s">
        <v>51</v>
      </c>
      <c r="EF185" s="37">
        <v>41548</v>
      </c>
      <c r="EG185" s="37">
        <v>41912</v>
      </c>
      <c r="EH185" s="29" t="s">
        <v>1647</v>
      </c>
      <c r="EI185" s="55">
        <f t="shared" si="79"/>
        <v>6.5990306379805688</v>
      </c>
      <c r="EJ185" s="54">
        <f t="shared" si="80"/>
        <v>0.24224546936567465</v>
      </c>
      <c r="EK185" s="55">
        <f t="shared" si="81"/>
        <v>2.9043650532564276</v>
      </c>
      <c r="EL185" s="54">
        <f t="shared" si="82"/>
        <v>0.56522724448245865</v>
      </c>
    </row>
    <row r="186" spans="1:142" ht="28.8" x14ac:dyDescent="0.3">
      <c r="A186" s="29" t="s">
        <v>553</v>
      </c>
      <c r="B186" s="29"/>
      <c r="C186" s="30">
        <v>35408</v>
      </c>
      <c r="D186" s="30">
        <v>0</v>
      </c>
      <c r="E186" s="30">
        <v>0</v>
      </c>
      <c r="F186" s="30">
        <v>7400</v>
      </c>
      <c r="H186" s="2">
        <f t="shared" si="58"/>
        <v>7400</v>
      </c>
      <c r="I186" s="1">
        <f t="shared" si="57"/>
        <v>0.20899231812019883</v>
      </c>
      <c r="J186" s="31">
        <v>204589</v>
      </c>
      <c r="K186" s="31">
        <v>88763</v>
      </c>
      <c r="L186" s="31">
        <v>293352</v>
      </c>
      <c r="M186" s="45">
        <f t="shared" si="59"/>
        <v>8.2849073655671042</v>
      </c>
      <c r="N186" s="31">
        <v>35800</v>
      </c>
      <c r="O186" s="31">
        <v>3625</v>
      </c>
      <c r="P186" s="31">
        <v>19000</v>
      </c>
      <c r="Q186" s="31">
        <v>58425</v>
      </c>
      <c r="R186" s="45">
        <f t="shared" si="60"/>
        <v>1.6500508359692725</v>
      </c>
      <c r="S186" s="31">
        <v>30500</v>
      </c>
      <c r="T186" s="31">
        <v>382277</v>
      </c>
      <c r="U186" s="31">
        <v>0</v>
      </c>
      <c r="V186" s="31">
        <v>382277</v>
      </c>
      <c r="W186" s="45">
        <f t="shared" si="61"/>
        <v>10.796345458653411</v>
      </c>
      <c r="X186" s="4">
        <f t="shared" si="62"/>
        <v>0.76738072130941704</v>
      </c>
      <c r="Y186" s="4">
        <f t="shared" si="63"/>
        <v>0.15283420137753514</v>
      </c>
      <c r="Z186" s="4">
        <f t="shared" si="64"/>
        <v>7.9785077313047875E-2</v>
      </c>
      <c r="AA186" s="4">
        <f t="shared" si="65"/>
        <v>0</v>
      </c>
      <c r="AB186" s="31">
        <v>9637</v>
      </c>
      <c r="AC186" s="31">
        <v>58425</v>
      </c>
      <c r="AD186" s="31">
        <v>382277</v>
      </c>
      <c r="AE186" s="31">
        <v>382277</v>
      </c>
      <c r="AF186" s="31">
        <v>0</v>
      </c>
      <c r="AG186" s="31">
        <v>382277</v>
      </c>
      <c r="AH186" s="31">
        <v>0</v>
      </c>
      <c r="AI186" s="31">
        <v>382277</v>
      </c>
      <c r="AJ186" s="45">
        <f t="shared" si="66"/>
        <v>10.796345458653411</v>
      </c>
      <c r="AK186" s="31">
        <v>608</v>
      </c>
      <c r="AL186" s="31">
        <v>0</v>
      </c>
      <c r="AM186" s="31">
        <v>0</v>
      </c>
      <c r="AN186" s="31">
        <v>0</v>
      </c>
      <c r="AO186" s="31">
        <v>1000</v>
      </c>
      <c r="AP186" s="31">
        <v>37918</v>
      </c>
      <c r="AQ186" s="31">
        <v>38918</v>
      </c>
      <c r="AR186" s="31">
        <v>421803</v>
      </c>
      <c r="AS186" s="46">
        <f t="shared" si="67"/>
        <v>11.912646859466788</v>
      </c>
      <c r="AT186" s="31">
        <v>0</v>
      </c>
      <c r="AU186" s="31">
        <v>9637</v>
      </c>
      <c r="AV186" s="31">
        <v>0</v>
      </c>
      <c r="AW186" s="31">
        <v>0</v>
      </c>
      <c r="AX186" s="31">
        <v>0</v>
      </c>
      <c r="AY186" s="31">
        <v>0</v>
      </c>
      <c r="AZ186" s="31">
        <v>0</v>
      </c>
      <c r="BA186" s="31">
        <v>0</v>
      </c>
      <c r="BB186" s="31">
        <v>9637</v>
      </c>
      <c r="BC186" s="33" t="s">
        <v>25</v>
      </c>
      <c r="BD186" s="47">
        <v>42704</v>
      </c>
      <c r="BE186" s="47">
        <v>44708</v>
      </c>
      <c r="BF186" s="45">
        <f t="shared" si="68"/>
        <v>1.2626525079078175</v>
      </c>
      <c r="BG186" s="30">
        <v>1552</v>
      </c>
      <c r="BH186" s="30">
        <v>1558</v>
      </c>
      <c r="BI186" s="30">
        <v>12</v>
      </c>
      <c r="BJ186" s="30">
        <v>3141</v>
      </c>
      <c r="BK186" s="30">
        <v>3215</v>
      </c>
      <c r="BL186" s="30">
        <v>0</v>
      </c>
      <c r="BM186" s="30">
        <v>32</v>
      </c>
      <c r="BN186" s="30">
        <v>87</v>
      </c>
      <c r="BO186" s="30">
        <v>51</v>
      </c>
      <c r="BP186" s="30">
        <v>4</v>
      </c>
      <c r="BQ186" s="30">
        <v>142</v>
      </c>
      <c r="BR186" s="47">
        <v>47397</v>
      </c>
      <c r="BS186" s="47">
        <v>49612</v>
      </c>
      <c r="BT186" s="1">
        <f t="shared" si="69"/>
        <v>1.4011522819701763</v>
      </c>
      <c r="BU186" s="30">
        <v>33</v>
      </c>
      <c r="BV186" s="30">
        <v>0</v>
      </c>
      <c r="BW186" s="47">
        <v>19850</v>
      </c>
      <c r="BX186" s="52">
        <f t="shared" si="70"/>
        <v>0.56060777225485769</v>
      </c>
      <c r="BY186" s="47">
        <v>34056</v>
      </c>
      <c r="BZ186" s="47">
        <v>0</v>
      </c>
      <c r="CA186" s="47">
        <v>39281</v>
      </c>
      <c r="CB186" s="47">
        <v>7</v>
      </c>
      <c r="CC186" s="47">
        <v>73344</v>
      </c>
      <c r="CD186" s="55">
        <f t="shared" si="71"/>
        <v>2.071396294622684</v>
      </c>
      <c r="CE186" s="3">
        <f t="shared" si="72"/>
        <v>9556.2214983713366</v>
      </c>
      <c r="CF186" s="55">
        <f t="shared" si="73"/>
        <v>30.182716049382716</v>
      </c>
      <c r="CG186" s="55">
        <f t="shared" si="74"/>
        <v>1.3406938909808797</v>
      </c>
      <c r="CH186" s="55">
        <f t="shared" si="75"/>
        <v>1.4782109167136983</v>
      </c>
      <c r="CI186" s="30">
        <v>181</v>
      </c>
      <c r="CJ186" s="30">
        <v>3</v>
      </c>
      <c r="CK186" s="30">
        <v>7</v>
      </c>
      <c r="CL186" s="30">
        <v>191</v>
      </c>
      <c r="CM186" s="30">
        <v>4493</v>
      </c>
      <c r="CN186" s="30">
        <v>53</v>
      </c>
      <c r="CO186" s="30">
        <v>175</v>
      </c>
      <c r="CP186" s="30">
        <v>4721</v>
      </c>
      <c r="CQ186" s="1">
        <f t="shared" si="83"/>
        <v>0.13333145051965659</v>
      </c>
      <c r="CR186" s="47">
        <v>54706</v>
      </c>
      <c r="CS186" s="55">
        <f t="shared" si="76"/>
        <v>1.545018075011297</v>
      </c>
      <c r="CT186" s="59">
        <v>5287</v>
      </c>
      <c r="CU186" s="29" t="s">
        <v>25</v>
      </c>
      <c r="CV186" s="29" t="s">
        <v>25</v>
      </c>
      <c r="CW186" s="29" t="s">
        <v>25</v>
      </c>
      <c r="CX186" s="35">
        <v>1</v>
      </c>
      <c r="CY186" s="49">
        <f>C186/CX186</f>
        <v>35408</v>
      </c>
      <c r="CZ186" s="35">
        <v>4</v>
      </c>
      <c r="DA186" s="35">
        <v>2.6749999999999998</v>
      </c>
      <c r="DB186" s="35">
        <v>7.6749999999999998</v>
      </c>
      <c r="DC186" s="49">
        <f t="shared" si="77"/>
        <v>4613.4201954397395</v>
      </c>
      <c r="DD186" s="30">
        <v>508</v>
      </c>
      <c r="DE186" s="31">
        <v>57463</v>
      </c>
      <c r="DF186" s="35">
        <v>45</v>
      </c>
      <c r="DG186" s="29" t="s">
        <v>25</v>
      </c>
      <c r="DH186" s="29" t="s">
        <v>25</v>
      </c>
      <c r="DI186" s="29" t="s">
        <v>25</v>
      </c>
      <c r="DJ186" s="47">
        <v>512</v>
      </c>
      <c r="DK186" s="47">
        <v>118</v>
      </c>
      <c r="DL186" s="47">
        <v>16</v>
      </c>
      <c r="DM186" s="47">
        <v>7863</v>
      </c>
      <c r="DN186" s="47">
        <v>800</v>
      </c>
      <c r="DO186" s="47">
        <v>7787</v>
      </c>
      <c r="DP186" s="29" t="s">
        <v>25</v>
      </c>
      <c r="DQ186" s="47">
        <v>33773</v>
      </c>
      <c r="DR186" s="47">
        <v>2430</v>
      </c>
      <c r="DS186" s="30">
        <v>52</v>
      </c>
      <c r="DT186" s="30">
        <v>51</v>
      </c>
      <c r="DU186" s="30">
        <v>51</v>
      </c>
      <c r="DV186" s="30">
        <v>51</v>
      </c>
      <c r="DX186" s="2">
        <f t="shared" si="78"/>
        <v>2430</v>
      </c>
      <c r="DY186" s="33" t="s">
        <v>2182</v>
      </c>
      <c r="DZ186" s="33" t="s">
        <v>556</v>
      </c>
      <c r="EA186" s="33" t="s">
        <v>2031</v>
      </c>
      <c r="EB186" s="33" t="s">
        <v>2027</v>
      </c>
      <c r="EC186" s="36">
        <v>148</v>
      </c>
      <c r="ED186" s="29" t="s">
        <v>554</v>
      </c>
      <c r="EE186" s="29" t="s">
        <v>555</v>
      </c>
      <c r="EF186" s="37">
        <v>41548</v>
      </c>
      <c r="EG186" s="37">
        <v>41912</v>
      </c>
      <c r="EH186" s="29" t="s">
        <v>554</v>
      </c>
      <c r="EI186" s="55">
        <f t="shared" si="79"/>
        <v>0.96181653863533667</v>
      </c>
      <c r="EJ186" s="54">
        <f t="shared" si="80"/>
        <v>0</v>
      </c>
      <c r="EK186" s="55">
        <f t="shared" si="81"/>
        <v>1.1093820605512879</v>
      </c>
      <c r="EL186" s="54">
        <f t="shared" si="82"/>
        <v>1.9769543605964755E-4</v>
      </c>
    </row>
    <row r="187" spans="1:142" x14ac:dyDescent="0.3">
      <c r="A187" s="29" t="s">
        <v>440</v>
      </c>
      <c r="B187" s="29"/>
      <c r="C187" s="30">
        <v>56388</v>
      </c>
      <c r="D187" s="30">
        <v>0</v>
      </c>
      <c r="E187" s="30">
        <v>0</v>
      </c>
      <c r="F187" s="30">
        <v>75000</v>
      </c>
      <c r="H187" s="2">
        <f t="shared" si="58"/>
        <v>75000</v>
      </c>
      <c r="I187" s="1">
        <f t="shared" si="57"/>
        <v>1.330070227708023</v>
      </c>
      <c r="J187" s="31">
        <v>1321504</v>
      </c>
      <c r="K187" s="31">
        <v>371823</v>
      </c>
      <c r="L187" s="31">
        <v>1693327</v>
      </c>
      <c r="M187" s="45">
        <f t="shared" si="59"/>
        <v>30.029917712988578</v>
      </c>
      <c r="N187" s="31">
        <v>157301</v>
      </c>
      <c r="O187" s="31">
        <v>63962</v>
      </c>
      <c r="P187" s="31">
        <v>99803</v>
      </c>
      <c r="Q187" s="31">
        <v>321066</v>
      </c>
      <c r="R187" s="45">
        <f t="shared" si="60"/>
        <v>5.6938710363907212</v>
      </c>
      <c r="S187" s="31">
        <v>1377367</v>
      </c>
      <c r="T187" s="31">
        <v>3391760</v>
      </c>
      <c r="U187" s="31">
        <v>0</v>
      </c>
      <c r="V187" s="31">
        <v>3391760</v>
      </c>
      <c r="W187" s="45">
        <f t="shared" si="61"/>
        <v>60.150386607079518</v>
      </c>
      <c r="X187" s="4">
        <f t="shared" si="62"/>
        <v>0.49924729344057361</v>
      </c>
      <c r="Y187" s="4">
        <f t="shared" si="63"/>
        <v>9.4660589192631553E-2</v>
      </c>
      <c r="Z187" s="4">
        <f t="shared" si="64"/>
        <v>0.40609211736679485</v>
      </c>
      <c r="AA187" s="4">
        <f t="shared" si="65"/>
        <v>0</v>
      </c>
      <c r="AB187" s="31">
        <v>388609</v>
      </c>
      <c r="AC187" s="31">
        <v>321066</v>
      </c>
      <c r="AD187" s="31">
        <v>3391760</v>
      </c>
      <c r="AE187" s="31">
        <v>2605499</v>
      </c>
      <c r="AF187" s="31">
        <v>2064499</v>
      </c>
      <c r="AG187" s="31">
        <v>541000</v>
      </c>
      <c r="AH187" s="31">
        <v>0</v>
      </c>
      <c r="AI187" s="31">
        <v>2605499</v>
      </c>
      <c r="AJ187" s="45">
        <f t="shared" si="66"/>
        <v>46.206621976307012</v>
      </c>
      <c r="AK187" s="31">
        <v>0</v>
      </c>
      <c r="AL187" s="31">
        <v>0</v>
      </c>
      <c r="AM187" s="31">
        <v>0</v>
      </c>
      <c r="AN187" s="31">
        <v>0</v>
      </c>
      <c r="AO187" s="31">
        <v>2000</v>
      </c>
      <c r="AP187" s="31">
        <v>866995</v>
      </c>
      <c r="AQ187" s="31">
        <v>868995</v>
      </c>
      <c r="AR187" s="31">
        <v>3474494</v>
      </c>
      <c r="AS187" s="46">
        <f t="shared" si="67"/>
        <v>61.617613676668796</v>
      </c>
      <c r="AT187" s="31">
        <v>0</v>
      </c>
      <c r="AU187" s="31">
        <v>0</v>
      </c>
      <c r="AV187" s="31">
        <v>0</v>
      </c>
      <c r="AW187" s="31">
        <v>0</v>
      </c>
      <c r="AX187" s="31">
        <v>0</v>
      </c>
      <c r="AY187" s="31">
        <v>385377</v>
      </c>
      <c r="AZ187" s="31">
        <v>420425</v>
      </c>
      <c r="BA187" s="31">
        <v>106973</v>
      </c>
      <c r="BB187" s="31">
        <v>912775</v>
      </c>
      <c r="BC187" s="33" t="s">
        <v>25</v>
      </c>
      <c r="BD187" s="47">
        <v>100258</v>
      </c>
      <c r="BE187" s="47">
        <v>116051</v>
      </c>
      <c r="BF187" s="45">
        <f t="shared" si="68"/>
        <v>2.0580797332765837</v>
      </c>
      <c r="BG187" s="30">
        <v>6557</v>
      </c>
      <c r="BH187" s="30">
        <v>6859</v>
      </c>
      <c r="BI187" s="30">
        <v>15179</v>
      </c>
      <c r="BJ187" s="30">
        <v>9277</v>
      </c>
      <c r="BK187" s="30">
        <v>13620</v>
      </c>
      <c r="BL187" s="30">
        <v>322</v>
      </c>
      <c r="BM187" s="30">
        <v>31276</v>
      </c>
      <c r="BN187" s="30">
        <v>16</v>
      </c>
      <c r="BO187" s="30">
        <v>51</v>
      </c>
      <c r="BP187" s="30">
        <v>5</v>
      </c>
      <c r="BQ187" s="30">
        <v>72</v>
      </c>
      <c r="BR187" s="47">
        <v>116092</v>
      </c>
      <c r="BS187" s="47">
        <v>183323</v>
      </c>
      <c r="BT187" s="1">
        <f t="shared" si="69"/>
        <v>3.2510995247215719</v>
      </c>
      <c r="BU187" s="30">
        <v>259</v>
      </c>
      <c r="BV187" s="30">
        <v>42</v>
      </c>
      <c r="BW187" s="47">
        <v>43219</v>
      </c>
      <c r="BX187" s="52">
        <f t="shared" si="70"/>
        <v>0.76645740228417392</v>
      </c>
      <c r="BY187" s="47">
        <v>115304</v>
      </c>
      <c r="BZ187" s="47">
        <v>7437</v>
      </c>
      <c r="CA187" s="47">
        <v>191590</v>
      </c>
      <c r="CB187" s="47">
        <v>19730</v>
      </c>
      <c r="CC187" s="47">
        <v>334061</v>
      </c>
      <c r="CD187" s="55">
        <f t="shared" si="71"/>
        <v>5.9243278711782645</v>
      </c>
      <c r="CE187" s="3">
        <f t="shared" si="72"/>
        <v>10521.606299212599</v>
      </c>
      <c r="CF187" s="55">
        <f t="shared" si="73"/>
        <v>123.08806190125276</v>
      </c>
      <c r="CG187" s="55">
        <f t="shared" si="74"/>
        <v>1.2676201173283144</v>
      </c>
      <c r="CH187" s="55">
        <f t="shared" si="75"/>
        <v>1.674061628928176</v>
      </c>
      <c r="CI187" s="30">
        <v>493</v>
      </c>
      <c r="CJ187" s="30">
        <v>76</v>
      </c>
      <c r="CK187" s="30">
        <v>349</v>
      </c>
      <c r="CL187" s="30">
        <v>918</v>
      </c>
      <c r="CM187" s="30">
        <v>43702</v>
      </c>
      <c r="CN187" s="30">
        <v>327</v>
      </c>
      <c r="CO187" s="30">
        <v>7915</v>
      </c>
      <c r="CP187" s="30">
        <v>51944</v>
      </c>
      <c r="CQ187" s="1">
        <f t="shared" si="83"/>
        <v>0.92118890544087395</v>
      </c>
      <c r="CR187" s="47">
        <v>263534</v>
      </c>
      <c r="CS187" s="55">
        <f t="shared" si="76"/>
        <v>4.6735830318507485</v>
      </c>
      <c r="CT187" s="59">
        <v>20279</v>
      </c>
      <c r="CU187" s="29" t="s">
        <v>25</v>
      </c>
      <c r="CV187" s="29" t="s">
        <v>25</v>
      </c>
      <c r="CW187" s="29" t="s">
        <v>25</v>
      </c>
      <c r="CX187" s="35">
        <v>7.6</v>
      </c>
      <c r="CY187" s="49">
        <f>C187/CX187</f>
        <v>7419.4736842105267</v>
      </c>
      <c r="CZ187" s="35">
        <v>2</v>
      </c>
      <c r="DA187" s="35">
        <v>22.15</v>
      </c>
      <c r="DB187" s="35">
        <v>31.75</v>
      </c>
      <c r="DC187" s="49">
        <f t="shared" si="77"/>
        <v>1776</v>
      </c>
      <c r="DD187" s="30">
        <v>1020</v>
      </c>
      <c r="DE187" s="31">
        <v>130000</v>
      </c>
      <c r="DF187" s="35">
        <v>40</v>
      </c>
      <c r="DG187" s="29" t="s">
        <v>25</v>
      </c>
      <c r="DH187" s="29" t="s">
        <v>25</v>
      </c>
      <c r="DI187" s="29" t="s">
        <v>25</v>
      </c>
      <c r="DJ187" s="47">
        <v>1041</v>
      </c>
      <c r="DK187" s="47">
        <v>430</v>
      </c>
      <c r="DL187" s="47">
        <v>75</v>
      </c>
      <c r="DM187" s="47">
        <v>46081</v>
      </c>
      <c r="DN187" s="47">
        <v>4600</v>
      </c>
      <c r="DO187" s="47">
        <v>13847</v>
      </c>
      <c r="DP187" s="29" t="s">
        <v>25</v>
      </c>
      <c r="DQ187" s="47">
        <v>267514</v>
      </c>
      <c r="DR187" s="47">
        <v>2714</v>
      </c>
      <c r="DS187" s="30">
        <v>52</v>
      </c>
      <c r="DT187" s="30">
        <v>54</v>
      </c>
      <c r="DU187" s="30">
        <v>54</v>
      </c>
      <c r="DV187" s="30">
        <v>54</v>
      </c>
      <c r="DX187" s="2">
        <f t="shared" si="78"/>
        <v>2714</v>
      </c>
      <c r="DY187" s="33" t="s">
        <v>2185</v>
      </c>
      <c r="DZ187" s="33" t="s">
        <v>558</v>
      </c>
      <c r="EA187" s="33" t="s">
        <v>2032</v>
      </c>
      <c r="EB187" s="33" t="s">
        <v>2027</v>
      </c>
      <c r="EC187" s="36">
        <v>149</v>
      </c>
      <c r="ED187" s="29" t="s">
        <v>557</v>
      </c>
      <c r="EE187" s="29" t="s">
        <v>440</v>
      </c>
      <c r="EF187" s="37">
        <v>41548</v>
      </c>
      <c r="EG187" s="37">
        <v>41912</v>
      </c>
      <c r="EH187" s="29" t="s">
        <v>557</v>
      </c>
      <c r="EI187" s="55">
        <f t="shared" si="79"/>
        <v>2.0448322338086116</v>
      </c>
      <c r="EJ187" s="54">
        <f t="shared" si="80"/>
        <v>0.13188976377952755</v>
      </c>
      <c r="EK187" s="55">
        <f t="shared" si="81"/>
        <v>3.3977087323544017</v>
      </c>
      <c r="EL187" s="54">
        <f t="shared" si="82"/>
        <v>0.34989714123572391</v>
      </c>
    </row>
    <row r="188" spans="1:142" ht="28.8" x14ac:dyDescent="0.3">
      <c r="A188" s="29" t="s">
        <v>1789</v>
      </c>
      <c r="B188" s="29"/>
      <c r="C188" s="30">
        <v>3646</v>
      </c>
      <c r="D188" s="30">
        <v>0</v>
      </c>
      <c r="E188" s="30">
        <v>0</v>
      </c>
      <c r="F188" s="30">
        <v>3000</v>
      </c>
      <c r="H188" s="2">
        <f t="shared" si="58"/>
        <v>3000</v>
      </c>
      <c r="I188" s="1">
        <f t="shared" si="57"/>
        <v>0.82281952825013716</v>
      </c>
      <c r="J188" s="31">
        <v>21986</v>
      </c>
      <c r="K188" s="31">
        <v>1555</v>
      </c>
      <c r="L188" s="31">
        <v>23541</v>
      </c>
      <c r="M188" s="45">
        <f t="shared" si="59"/>
        <v>6.4566648381788259</v>
      </c>
      <c r="N188" s="31">
        <v>4776</v>
      </c>
      <c r="O188" s="31">
        <v>1500</v>
      </c>
      <c r="P188" s="31">
        <v>30</v>
      </c>
      <c r="Q188" s="31">
        <v>6306</v>
      </c>
      <c r="R188" s="45">
        <f t="shared" si="60"/>
        <v>1.7295666483817882</v>
      </c>
      <c r="S188" s="31">
        <v>1170</v>
      </c>
      <c r="T188" s="31">
        <v>31017</v>
      </c>
      <c r="U188" s="31">
        <v>0</v>
      </c>
      <c r="V188" s="31">
        <v>31017</v>
      </c>
      <c r="W188" s="45">
        <f t="shared" si="61"/>
        <v>8.5071311025781675</v>
      </c>
      <c r="X188" s="4">
        <f t="shared" si="62"/>
        <v>0.75897088693297221</v>
      </c>
      <c r="Y188" s="4">
        <f t="shared" si="63"/>
        <v>0.20330786342973209</v>
      </c>
      <c r="Z188" s="4">
        <f t="shared" si="64"/>
        <v>3.772124963729568E-2</v>
      </c>
      <c r="AA188" s="4">
        <f t="shared" si="65"/>
        <v>0</v>
      </c>
      <c r="AB188" s="31">
        <v>0</v>
      </c>
      <c r="AC188" s="31">
        <v>6306</v>
      </c>
      <c r="AD188" s="31">
        <v>31017</v>
      </c>
      <c r="AE188" s="31">
        <v>31017</v>
      </c>
      <c r="AF188" s="31">
        <v>31017</v>
      </c>
      <c r="AG188" s="31">
        <v>0</v>
      </c>
      <c r="AH188" s="31">
        <v>0</v>
      </c>
      <c r="AI188" s="31">
        <v>31017</v>
      </c>
      <c r="AJ188" s="45">
        <f t="shared" si="66"/>
        <v>8.5071311025781675</v>
      </c>
      <c r="AK188" s="31">
        <v>0</v>
      </c>
      <c r="AL188" s="31">
        <v>0</v>
      </c>
      <c r="AM188" s="31">
        <v>0</v>
      </c>
      <c r="AN188" s="31">
        <v>0</v>
      </c>
      <c r="AO188" s="31">
        <v>0</v>
      </c>
      <c r="AP188" s="31">
        <v>2605</v>
      </c>
      <c r="AQ188" s="31">
        <v>2605</v>
      </c>
      <c r="AR188" s="31">
        <v>33622</v>
      </c>
      <c r="AS188" s="46">
        <f t="shared" si="67"/>
        <v>9.2216127262753709</v>
      </c>
      <c r="AT188" s="31">
        <v>0</v>
      </c>
      <c r="AU188" s="31">
        <v>0</v>
      </c>
      <c r="AV188" s="31">
        <v>0</v>
      </c>
      <c r="AW188" s="31">
        <v>0</v>
      </c>
      <c r="AX188" s="31">
        <v>0</v>
      </c>
      <c r="AY188" s="31">
        <v>0</v>
      </c>
      <c r="AZ188" s="31">
        <v>0</v>
      </c>
      <c r="BA188" s="31">
        <v>0</v>
      </c>
      <c r="BB188" s="31">
        <v>0</v>
      </c>
      <c r="BC188" s="33" t="s">
        <v>25</v>
      </c>
      <c r="BD188" s="47">
        <v>15483</v>
      </c>
      <c r="BE188" s="47">
        <v>15507</v>
      </c>
      <c r="BF188" s="45">
        <f t="shared" si="68"/>
        <v>4.2531541415249592</v>
      </c>
      <c r="BG188" s="30">
        <v>463</v>
      </c>
      <c r="BH188" s="30">
        <v>463</v>
      </c>
      <c r="BI188" s="30">
        <v>0</v>
      </c>
      <c r="BJ188" s="30">
        <v>1024</v>
      </c>
      <c r="BK188" s="30">
        <v>1028</v>
      </c>
      <c r="BL188" s="30">
        <v>0</v>
      </c>
      <c r="BM188" s="30">
        <v>1085</v>
      </c>
      <c r="BN188" s="30">
        <v>1</v>
      </c>
      <c r="BO188" s="30">
        <v>51</v>
      </c>
      <c r="BP188" s="30">
        <v>0</v>
      </c>
      <c r="BQ188" s="30">
        <v>52</v>
      </c>
      <c r="BR188" s="47">
        <v>16970</v>
      </c>
      <c r="BS188" s="47">
        <v>18084</v>
      </c>
      <c r="BT188" s="1">
        <f t="shared" si="69"/>
        <v>4.9599561162918269</v>
      </c>
      <c r="BU188" s="30">
        <v>3</v>
      </c>
      <c r="BV188" s="30">
        <v>1</v>
      </c>
      <c r="BW188" s="47">
        <v>4892</v>
      </c>
      <c r="BX188" s="52">
        <f t="shared" si="70"/>
        <v>1.3417443773998903</v>
      </c>
      <c r="BY188" s="47">
        <v>4087</v>
      </c>
      <c r="BZ188" s="47">
        <v>39</v>
      </c>
      <c r="CA188" s="47">
        <v>5645</v>
      </c>
      <c r="CB188" s="47">
        <v>1046</v>
      </c>
      <c r="CC188" s="47">
        <v>10817</v>
      </c>
      <c r="CD188" s="55">
        <f t="shared" si="71"/>
        <v>2.9668129456939112</v>
      </c>
      <c r="CE188" s="3">
        <f t="shared" si="72"/>
        <v>17307.2</v>
      </c>
      <c r="CF188" s="55">
        <f t="shared" si="73"/>
        <v>4.8441558441558445</v>
      </c>
      <c r="CG188" s="55">
        <f t="shared" si="74"/>
        <v>1.5477178423236515</v>
      </c>
      <c r="CH188" s="55">
        <f t="shared" si="75"/>
        <v>0.53815527538155272</v>
      </c>
      <c r="CI188" s="30">
        <v>19</v>
      </c>
      <c r="CJ188" s="30">
        <v>0</v>
      </c>
      <c r="CK188" s="30">
        <v>6</v>
      </c>
      <c r="CL188" s="30">
        <v>25</v>
      </c>
      <c r="CM188" s="30">
        <v>393</v>
      </c>
      <c r="CN188" s="30">
        <v>0</v>
      </c>
      <c r="CO188" s="30">
        <v>169</v>
      </c>
      <c r="CP188" s="30">
        <v>562</v>
      </c>
      <c r="CQ188" s="1">
        <f t="shared" si="83"/>
        <v>0.15414152495885902</v>
      </c>
      <c r="CR188" s="47">
        <v>6989</v>
      </c>
      <c r="CS188" s="55">
        <f t="shared" si="76"/>
        <v>1.9168952276467361</v>
      </c>
      <c r="CT188" s="59">
        <v>1063</v>
      </c>
      <c r="CU188" s="29" t="s">
        <v>25</v>
      </c>
      <c r="CV188" s="29" t="s">
        <v>25</v>
      </c>
      <c r="CW188" s="29" t="s">
        <v>25</v>
      </c>
      <c r="CX188" s="35">
        <v>0</v>
      </c>
      <c r="CY188" s="49">
        <v>0</v>
      </c>
      <c r="CZ188" s="35">
        <v>0.625</v>
      </c>
      <c r="DA188" s="35">
        <v>0</v>
      </c>
      <c r="DB188" s="35">
        <v>0.625</v>
      </c>
      <c r="DC188" s="49">
        <f t="shared" si="77"/>
        <v>5833.6</v>
      </c>
      <c r="DD188" s="30">
        <v>1833</v>
      </c>
      <c r="DE188" s="31">
        <v>19143</v>
      </c>
      <c r="DF188" s="35">
        <v>25</v>
      </c>
      <c r="DG188" s="29" t="s">
        <v>25</v>
      </c>
      <c r="DH188" s="29" t="s">
        <v>25</v>
      </c>
      <c r="DI188" s="29" t="s">
        <v>25</v>
      </c>
      <c r="DJ188" s="47">
        <v>0</v>
      </c>
      <c r="DK188" s="47">
        <v>0</v>
      </c>
      <c r="DL188" s="47">
        <v>5</v>
      </c>
      <c r="DM188" s="47">
        <v>363</v>
      </c>
      <c r="DN188" s="47">
        <v>1</v>
      </c>
      <c r="DO188" s="47">
        <v>0</v>
      </c>
      <c r="DP188" s="29" t="s">
        <v>2028</v>
      </c>
      <c r="DQ188" s="47">
        <v>0</v>
      </c>
      <c r="DR188" s="47">
        <v>2233</v>
      </c>
      <c r="DS188" s="30">
        <v>52</v>
      </c>
      <c r="DT188" s="30">
        <v>46</v>
      </c>
      <c r="DU188" s="30">
        <v>46</v>
      </c>
      <c r="DV188" s="30">
        <v>46</v>
      </c>
      <c r="DX188" s="2">
        <f t="shared" si="78"/>
        <v>2233</v>
      </c>
      <c r="DY188" s="33" t="s">
        <v>2187</v>
      </c>
      <c r="DZ188" s="33" t="s">
        <v>1790</v>
      </c>
      <c r="EA188" s="33" t="s">
        <v>2030</v>
      </c>
      <c r="EB188" s="33" t="s">
        <v>2027</v>
      </c>
      <c r="EC188" s="36">
        <v>630</v>
      </c>
      <c r="ED188" s="29" t="s">
        <v>1788</v>
      </c>
      <c r="EE188" s="29" t="s">
        <v>259</v>
      </c>
      <c r="EF188" s="37">
        <v>41548</v>
      </c>
      <c r="EG188" s="37">
        <v>41912</v>
      </c>
      <c r="EH188" s="29" t="s">
        <v>1788</v>
      </c>
      <c r="EI188" s="55">
        <f t="shared" si="79"/>
        <v>1.1209544706527701</v>
      </c>
      <c r="EJ188" s="54">
        <f t="shared" si="80"/>
        <v>1.0696653867251783E-2</v>
      </c>
      <c r="EK188" s="55">
        <f t="shared" si="81"/>
        <v>1.5482720789906748</v>
      </c>
      <c r="EL188" s="54">
        <f t="shared" si="82"/>
        <v>0.2868897421832145</v>
      </c>
    </row>
    <row r="189" spans="1:142" ht="43.2" x14ac:dyDescent="0.3">
      <c r="A189" s="29" t="s">
        <v>559</v>
      </c>
      <c r="B189" s="29"/>
      <c r="C189" s="30">
        <v>234566</v>
      </c>
      <c r="D189" s="30">
        <v>3</v>
      </c>
      <c r="E189" s="30">
        <v>0</v>
      </c>
      <c r="F189" s="30">
        <v>59475</v>
      </c>
      <c r="G189">
        <v>61420</v>
      </c>
      <c r="H189" s="2">
        <f t="shared" si="58"/>
        <v>120895</v>
      </c>
      <c r="I189" s="1">
        <f t="shared" ref="I189:I250" si="84">H189/C189</f>
        <v>0.5153986511259091</v>
      </c>
      <c r="J189" s="31">
        <v>2785779</v>
      </c>
      <c r="K189" s="31">
        <v>912068</v>
      </c>
      <c r="L189" s="31">
        <v>3697847</v>
      </c>
      <c r="M189" s="45">
        <f t="shared" si="59"/>
        <v>15.764633408081307</v>
      </c>
      <c r="N189" s="31">
        <v>643888</v>
      </c>
      <c r="O189" s="31">
        <v>320012</v>
      </c>
      <c r="P189" s="31">
        <v>187914</v>
      </c>
      <c r="Q189" s="31">
        <v>1151814</v>
      </c>
      <c r="R189" s="45">
        <f t="shared" si="60"/>
        <v>4.9104047474911114</v>
      </c>
      <c r="S189" s="31">
        <v>303837</v>
      </c>
      <c r="T189" s="31">
        <v>5153498</v>
      </c>
      <c r="U189" s="31">
        <v>0</v>
      </c>
      <c r="V189" s="31">
        <v>5153498</v>
      </c>
      <c r="W189" s="45">
        <f t="shared" si="61"/>
        <v>21.970353759709422</v>
      </c>
      <c r="X189" s="4">
        <f t="shared" si="62"/>
        <v>0.71754117300520925</v>
      </c>
      <c r="Y189" s="4">
        <f t="shared" si="63"/>
        <v>0.22350139652717435</v>
      </c>
      <c r="Z189" s="4">
        <f t="shared" si="64"/>
        <v>5.8957430467616367E-2</v>
      </c>
      <c r="AA189" s="4">
        <f t="shared" si="65"/>
        <v>0</v>
      </c>
      <c r="AB189" s="31">
        <v>6020</v>
      </c>
      <c r="AC189" s="31">
        <v>1151814</v>
      </c>
      <c r="AD189" s="31">
        <v>5153498</v>
      </c>
      <c r="AE189" s="31">
        <v>5153498</v>
      </c>
      <c r="AF189" s="31">
        <v>5153498</v>
      </c>
      <c r="AG189" s="31">
        <v>0</v>
      </c>
      <c r="AH189" s="31">
        <v>0</v>
      </c>
      <c r="AI189" s="31">
        <v>5153498</v>
      </c>
      <c r="AJ189" s="45">
        <f t="shared" si="66"/>
        <v>21.970353759709422</v>
      </c>
      <c r="AK189" s="31">
        <v>0</v>
      </c>
      <c r="AL189" s="31">
        <v>0</v>
      </c>
      <c r="AM189" s="31">
        <v>0</v>
      </c>
      <c r="AN189" s="31">
        <v>0</v>
      </c>
      <c r="AO189" s="31">
        <v>0</v>
      </c>
      <c r="AP189" s="31">
        <v>0</v>
      </c>
      <c r="AQ189" s="31">
        <v>0</v>
      </c>
      <c r="AR189" s="31">
        <v>5153498</v>
      </c>
      <c r="AS189" s="46">
        <f t="shared" si="67"/>
        <v>21.970353759709422</v>
      </c>
      <c r="AT189" s="31">
        <v>6020</v>
      </c>
      <c r="AU189" s="31">
        <v>0</v>
      </c>
      <c r="AV189" s="31">
        <v>0</v>
      </c>
      <c r="AW189" s="31">
        <v>0</v>
      </c>
      <c r="AX189" s="31">
        <v>0</v>
      </c>
      <c r="AY189" s="31">
        <v>0</v>
      </c>
      <c r="AZ189" s="31">
        <v>0</v>
      </c>
      <c r="BA189" s="31">
        <v>0</v>
      </c>
      <c r="BB189" s="31">
        <v>6020</v>
      </c>
      <c r="BC189" s="33" t="s">
        <v>25</v>
      </c>
      <c r="BD189" s="47">
        <v>154250</v>
      </c>
      <c r="BE189" s="47">
        <v>284813</v>
      </c>
      <c r="BF189" s="45">
        <f t="shared" si="68"/>
        <v>1.2142126309865879</v>
      </c>
      <c r="BG189" s="30">
        <v>8175</v>
      </c>
      <c r="BH189" s="30">
        <v>8530</v>
      </c>
      <c r="BI189" s="30">
        <v>10928</v>
      </c>
      <c r="BJ189" s="30">
        <v>14610</v>
      </c>
      <c r="BK189" s="30">
        <v>29994</v>
      </c>
      <c r="BL189" s="30">
        <v>301</v>
      </c>
      <c r="BM189" s="30">
        <v>29194</v>
      </c>
      <c r="BN189" s="30">
        <v>24</v>
      </c>
      <c r="BO189" s="30">
        <v>51</v>
      </c>
      <c r="BP189" s="30">
        <v>2</v>
      </c>
      <c r="BQ189" s="30">
        <v>77</v>
      </c>
      <c r="BR189" s="47">
        <v>177035</v>
      </c>
      <c r="BS189" s="47">
        <v>363784</v>
      </c>
      <c r="BT189" s="1">
        <f t="shared" si="69"/>
        <v>1.5508812018792153</v>
      </c>
      <c r="BU189" s="30">
        <v>580</v>
      </c>
      <c r="BV189" s="30">
        <v>8</v>
      </c>
      <c r="BW189" s="47">
        <v>142479</v>
      </c>
      <c r="BX189" s="52">
        <f t="shared" si="70"/>
        <v>0.6074153969458489</v>
      </c>
      <c r="BY189" s="47">
        <v>729102</v>
      </c>
      <c r="BZ189" s="47">
        <v>30945</v>
      </c>
      <c r="CA189" s="47">
        <v>677270</v>
      </c>
      <c r="CB189" s="47">
        <v>78933</v>
      </c>
      <c r="CC189" s="47">
        <v>1516250</v>
      </c>
      <c r="CD189" s="55">
        <f t="shared" si="71"/>
        <v>6.4640655508470966</v>
      </c>
      <c r="CE189" s="3">
        <f t="shared" si="72"/>
        <v>22596.870342771985</v>
      </c>
      <c r="CF189" s="55">
        <f t="shared" si="73"/>
        <v>160.79003181336162</v>
      </c>
      <c r="CG189" s="55">
        <f t="shared" si="74"/>
        <v>2.1801301535904387</v>
      </c>
      <c r="CH189" s="55">
        <f t="shared" si="75"/>
        <v>3.8659534229102985</v>
      </c>
      <c r="CI189" s="30">
        <v>466</v>
      </c>
      <c r="CJ189" s="30">
        <v>22</v>
      </c>
      <c r="CK189" s="30">
        <v>46</v>
      </c>
      <c r="CL189" s="30">
        <v>534</v>
      </c>
      <c r="CM189" s="30">
        <v>20912</v>
      </c>
      <c r="CN189" s="30">
        <v>222</v>
      </c>
      <c r="CO189" s="30">
        <v>4174</v>
      </c>
      <c r="CP189" s="30">
        <v>25308</v>
      </c>
      <c r="CQ189" s="1">
        <f t="shared" si="83"/>
        <v>0.10789287450014068</v>
      </c>
      <c r="CR189" s="47">
        <v>695486</v>
      </c>
      <c r="CS189" s="55">
        <f t="shared" si="76"/>
        <v>2.9649906636085368</v>
      </c>
      <c r="CT189" s="59">
        <v>120472</v>
      </c>
      <c r="CU189" s="29" t="s">
        <v>25</v>
      </c>
      <c r="CV189" s="29" t="s">
        <v>25</v>
      </c>
      <c r="CW189" s="29" t="s">
        <v>25</v>
      </c>
      <c r="CX189" s="35">
        <v>30.9</v>
      </c>
      <c r="CY189" s="49">
        <f>C189/CX189</f>
        <v>7591.1326860841427</v>
      </c>
      <c r="CZ189" s="35">
        <v>1.425</v>
      </c>
      <c r="DA189" s="35">
        <v>34.774999999999999</v>
      </c>
      <c r="DB189" s="35">
        <v>67.099999999999994</v>
      </c>
      <c r="DC189" s="49">
        <f t="shared" si="77"/>
        <v>3495.7675111773474</v>
      </c>
      <c r="DD189" s="30">
        <v>1334</v>
      </c>
      <c r="DE189" s="31">
        <v>129875</v>
      </c>
      <c r="DF189" s="35">
        <v>40</v>
      </c>
      <c r="DG189" s="29" t="s">
        <v>25</v>
      </c>
      <c r="DH189" s="29" t="s">
        <v>25</v>
      </c>
      <c r="DI189" s="29" t="s">
        <v>25</v>
      </c>
      <c r="DJ189" s="47">
        <v>3347</v>
      </c>
      <c r="DK189" s="47">
        <v>1276</v>
      </c>
      <c r="DL189" s="47">
        <v>156</v>
      </c>
      <c r="DM189" s="47">
        <v>236051</v>
      </c>
      <c r="DN189" s="47">
        <v>39725</v>
      </c>
      <c r="DO189" s="47">
        <v>107762</v>
      </c>
      <c r="DP189" s="29" t="s">
        <v>2028</v>
      </c>
      <c r="DQ189" s="47">
        <v>0</v>
      </c>
      <c r="DR189" s="47">
        <v>3238</v>
      </c>
      <c r="DS189" s="30">
        <v>52</v>
      </c>
      <c r="DT189" s="30">
        <v>64</v>
      </c>
      <c r="DU189" s="30">
        <v>64</v>
      </c>
      <c r="DV189" s="30">
        <v>64</v>
      </c>
      <c r="DW189">
        <f>VLOOKUP(EC189,branch!$I$4:$K$77,3,0)</f>
        <v>6192</v>
      </c>
      <c r="DX189" s="2">
        <f t="shared" si="78"/>
        <v>9430</v>
      </c>
      <c r="DY189" s="33" t="s">
        <v>2182</v>
      </c>
      <c r="DZ189" s="33" t="s">
        <v>561</v>
      </c>
      <c r="EA189" s="33" t="s">
        <v>2030</v>
      </c>
      <c r="EB189" s="33" t="s">
        <v>2027</v>
      </c>
      <c r="EC189" s="36">
        <v>150</v>
      </c>
      <c r="ED189" s="29" t="s">
        <v>560</v>
      </c>
      <c r="EE189" s="29" t="s">
        <v>269</v>
      </c>
      <c r="EF189" s="37">
        <v>41548</v>
      </c>
      <c r="EG189" s="37">
        <v>41912</v>
      </c>
      <c r="EH189" s="29" t="s">
        <v>560</v>
      </c>
      <c r="EI189" s="55">
        <f t="shared" si="79"/>
        <v>3.108302140975248</v>
      </c>
      <c r="EJ189" s="54">
        <f t="shared" si="80"/>
        <v>0.13192449033534273</v>
      </c>
      <c r="EK189" s="55">
        <f t="shared" si="81"/>
        <v>2.8873323499569419</v>
      </c>
      <c r="EL189" s="54">
        <f t="shared" si="82"/>
        <v>0.33650656957956399</v>
      </c>
    </row>
    <row r="190" spans="1:142" ht="43.2" x14ac:dyDescent="0.3">
      <c r="A190" s="29" t="s">
        <v>2056</v>
      </c>
      <c r="B190" s="29"/>
      <c r="C190" s="30">
        <v>3099</v>
      </c>
      <c r="D190" s="30">
        <v>0</v>
      </c>
      <c r="E190" s="30">
        <v>0</v>
      </c>
      <c r="F190" s="30">
        <v>864</v>
      </c>
      <c r="H190" s="2">
        <f t="shared" ref="H190:H251" si="85">G190+F190</f>
        <v>864</v>
      </c>
      <c r="I190" s="1">
        <f t="shared" si="84"/>
        <v>0.27879961277831561</v>
      </c>
      <c r="J190" s="31">
        <v>2085</v>
      </c>
      <c r="K190" s="31">
        <v>0</v>
      </c>
      <c r="L190" s="31">
        <v>2085</v>
      </c>
      <c r="M190" s="45">
        <f t="shared" si="59"/>
        <v>0.67279767666989354</v>
      </c>
      <c r="N190" s="31">
        <v>0</v>
      </c>
      <c r="O190" s="31">
        <v>0</v>
      </c>
      <c r="P190" s="31">
        <v>0</v>
      </c>
      <c r="Q190" s="31">
        <v>0</v>
      </c>
      <c r="R190" s="45">
        <f t="shared" si="60"/>
        <v>0</v>
      </c>
      <c r="S190" s="31">
        <v>4993</v>
      </c>
      <c r="T190" s="31">
        <v>7078</v>
      </c>
      <c r="U190" s="31">
        <v>0</v>
      </c>
      <c r="V190" s="31">
        <v>7078</v>
      </c>
      <c r="W190" s="45">
        <f t="shared" si="61"/>
        <v>2.2839625685705065</v>
      </c>
      <c r="X190" s="4">
        <f t="shared" si="62"/>
        <v>0.29457473862673073</v>
      </c>
      <c r="Y190" s="4">
        <f t="shared" si="63"/>
        <v>0</v>
      </c>
      <c r="Z190" s="4">
        <f t="shared" si="64"/>
        <v>0.70542526137326933</v>
      </c>
      <c r="AA190" s="4">
        <f t="shared" si="65"/>
        <v>0</v>
      </c>
      <c r="AB190" s="31">
        <v>0</v>
      </c>
      <c r="AC190" s="31">
        <v>0</v>
      </c>
      <c r="AD190" s="31">
        <v>7078</v>
      </c>
      <c r="AE190" s="31">
        <v>0</v>
      </c>
      <c r="AF190" s="31">
        <v>0</v>
      </c>
      <c r="AG190" s="31">
        <v>3500</v>
      </c>
      <c r="AH190" s="31">
        <v>0</v>
      </c>
      <c r="AI190" s="31">
        <v>3500</v>
      </c>
      <c r="AJ190" s="45">
        <f t="shared" si="66"/>
        <v>1.1293965795417877</v>
      </c>
      <c r="AK190" s="31">
        <v>0</v>
      </c>
      <c r="AL190" s="31">
        <v>0</v>
      </c>
      <c r="AM190" s="31">
        <v>0</v>
      </c>
      <c r="AN190" s="31">
        <v>0</v>
      </c>
      <c r="AO190" s="31">
        <v>0</v>
      </c>
      <c r="AP190" s="31">
        <v>3109</v>
      </c>
      <c r="AQ190" s="31">
        <v>3109</v>
      </c>
      <c r="AR190" s="31">
        <v>6609</v>
      </c>
      <c r="AS190" s="46">
        <f t="shared" si="67"/>
        <v>2.1326234269119069</v>
      </c>
      <c r="AT190" s="31">
        <v>0</v>
      </c>
      <c r="AU190" s="31">
        <v>0</v>
      </c>
      <c r="AV190" s="31">
        <v>0</v>
      </c>
      <c r="AW190" s="31">
        <v>0</v>
      </c>
      <c r="AX190" s="31">
        <v>0</v>
      </c>
      <c r="AY190" s="31">
        <v>0</v>
      </c>
      <c r="AZ190" s="31">
        <v>0</v>
      </c>
      <c r="BA190" s="31">
        <v>0</v>
      </c>
      <c r="BB190" s="31">
        <v>0</v>
      </c>
      <c r="BC190" s="33" t="s">
        <v>26</v>
      </c>
      <c r="BD190" s="47">
        <v>5850</v>
      </c>
      <c r="BE190" s="47">
        <v>5850</v>
      </c>
      <c r="BF190" s="45">
        <f t="shared" si="68"/>
        <v>1.887705711519845</v>
      </c>
      <c r="BG190" s="30">
        <v>0</v>
      </c>
      <c r="BH190" s="30">
        <v>0</v>
      </c>
      <c r="BI190" s="30">
        <v>0</v>
      </c>
      <c r="BJ190" s="30">
        <v>250</v>
      </c>
      <c r="BK190" s="30">
        <v>250</v>
      </c>
      <c r="BL190" s="30">
        <v>0</v>
      </c>
      <c r="BM190" s="30">
        <v>0</v>
      </c>
      <c r="BN190" s="30">
        <v>0</v>
      </c>
      <c r="BO190" s="30">
        <v>0</v>
      </c>
      <c r="BP190" s="30">
        <v>0</v>
      </c>
      <c r="BQ190" s="30">
        <v>0</v>
      </c>
      <c r="BR190" s="47">
        <v>6100</v>
      </c>
      <c r="BS190" s="47">
        <v>6100</v>
      </c>
      <c r="BT190" s="1">
        <f t="shared" si="69"/>
        <v>1.96837689577283</v>
      </c>
      <c r="BU190" s="30">
        <v>0</v>
      </c>
      <c r="BV190" s="30">
        <v>0</v>
      </c>
      <c r="BW190" s="47">
        <v>0</v>
      </c>
      <c r="BX190" s="52">
        <f t="shared" si="70"/>
        <v>0</v>
      </c>
      <c r="BY190" s="47">
        <v>750</v>
      </c>
      <c r="BZ190" s="47">
        <v>0</v>
      </c>
      <c r="CA190" s="47">
        <v>0</v>
      </c>
      <c r="CB190" s="47">
        <v>0</v>
      </c>
      <c r="CC190" s="47">
        <v>750</v>
      </c>
      <c r="CD190" s="55">
        <f t="shared" si="71"/>
        <v>0.2420135527589545</v>
      </c>
      <c r="CE190" s="3">
        <f t="shared" si="72"/>
        <v>833.33333333333326</v>
      </c>
      <c r="CF190" s="55">
        <f t="shared" si="73"/>
        <v>3.6057692307692308</v>
      </c>
      <c r="CG190" s="55">
        <f t="shared" si="74"/>
        <v>0.59808612440191389</v>
      </c>
      <c r="CH190" s="55">
        <f t="shared" si="75"/>
        <v>0.12295081967213115</v>
      </c>
      <c r="CI190" s="30">
        <v>8</v>
      </c>
      <c r="CJ190" s="30">
        <v>2</v>
      </c>
      <c r="CK190" s="30">
        <v>0</v>
      </c>
      <c r="CL190" s="30">
        <v>10</v>
      </c>
      <c r="CM190" s="30">
        <v>347</v>
      </c>
      <c r="CN190" s="30">
        <v>6</v>
      </c>
      <c r="CO190" s="30">
        <v>0</v>
      </c>
      <c r="CP190" s="30">
        <v>353</v>
      </c>
      <c r="CQ190" s="1">
        <f t="shared" si="83"/>
        <v>0.11390771216521459</v>
      </c>
      <c r="CR190" s="47">
        <v>1254</v>
      </c>
      <c r="CS190" s="55">
        <f t="shared" si="76"/>
        <v>0.40464666021297191</v>
      </c>
      <c r="CT190" s="59">
        <v>365</v>
      </c>
      <c r="CU190" s="29" t="s">
        <v>25</v>
      </c>
      <c r="CV190" s="29" t="s">
        <v>25</v>
      </c>
      <c r="CW190" s="29" t="s">
        <v>25</v>
      </c>
      <c r="CX190" s="35">
        <v>0.1</v>
      </c>
      <c r="CY190" s="49">
        <f>C190/CX190</f>
        <v>30990</v>
      </c>
      <c r="CZ190" s="35">
        <v>0</v>
      </c>
      <c r="DA190" s="35">
        <v>0.8</v>
      </c>
      <c r="DB190" s="35">
        <v>0.9</v>
      </c>
      <c r="DC190" s="49">
        <f t="shared" si="77"/>
        <v>3443.333333333333</v>
      </c>
      <c r="DD190" s="30">
        <v>0</v>
      </c>
      <c r="DE190" s="31">
        <v>0</v>
      </c>
      <c r="DF190" s="35">
        <v>0</v>
      </c>
      <c r="DG190" s="29" t="s">
        <v>26</v>
      </c>
      <c r="DH190" s="29" t="s">
        <v>26</v>
      </c>
      <c r="DI190" s="29" t="s">
        <v>26</v>
      </c>
      <c r="DJ190" s="47">
        <v>0</v>
      </c>
      <c r="DK190" s="47">
        <v>0</v>
      </c>
      <c r="DL190" s="47">
        <v>2</v>
      </c>
      <c r="DM190" s="47">
        <v>352</v>
      </c>
      <c r="DN190" s="47">
        <v>0</v>
      </c>
      <c r="DO190" s="47">
        <v>352</v>
      </c>
      <c r="DP190" s="29" t="s">
        <v>2028</v>
      </c>
      <c r="DQ190" s="60"/>
      <c r="DR190" s="47">
        <v>208</v>
      </c>
      <c r="DS190" s="30">
        <v>52</v>
      </c>
      <c r="DT190" s="30">
        <v>4</v>
      </c>
      <c r="DU190" s="30">
        <v>4</v>
      </c>
      <c r="DV190" s="30">
        <v>4</v>
      </c>
      <c r="DX190" s="2">
        <f t="shared" si="78"/>
        <v>208</v>
      </c>
      <c r="DY190" s="33" t="s">
        <v>2185</v>
      </c>
      <c r="DZ190" s="33" t="s">
        <v>2189</v>
      </c>
      <c r="EA190" s="33" t="s">
        <v>2030</v>
      </c>
      <c r="EB190" s="33" t="s">
        <v>2026</v>
      </c>
      <c r="EC190" s="36">
        <v>151</v>
      </c>
      <c r="ED190" s="29" t="s">
        <v>2198</v>
      </c>
      <c r="EE190" s="29" t="s">
        <v>331</v>
      </c>
      <c r="EF190" s="37">
        <v>41640</v>
      </c>
      <c r="EG190" s="37">
        <v>42004</v>
      </c>
      <c r="EH190" s="29" t="s">
        <v>2198</v>
      </c>
      <c r="EI190" s="55">
        <f t="shared" si="79"/>
        <v>0.2420135527589545</v>
      </c>
      <c r="EJ190" s="54">
        <f t="shared" si="80"/>
        <v>0</v>
      </c>
      <c r="EK190" s="55">
        <f t="shared" si="81"/>
        <v>0</v>
      </c>
      <c r="EL190" s="54">
        <f t="shared" si="82"/>
        <v>0</v>
      </c>
    </row>
    <row r="191" spans="1:142" ht="28.8" x14ac:dyDescent="0.3">
      <c r="A191" s="29" t="s">
        <v>562</v>
      </c>
      <c r="B191" s="29"/>
      <c r="C191" s="30">
        <v>7692</v>
      </c>
      <c r="D191" s="30">
        <v>0</v>
      </c>
      <c r="E191" s="30">
        <v>0</v>
      </c>
      <c r="F191" s="30">
        <v>8000</v>
      </c>
      <c r="H191" s="2">
        <f t="shared" si="85"/>
        <v>8000</v>
      </c>
      <c r="I191" s="1">
        <f t="shared" si="84"/>
        <v>1.0400416016640666</v>
      </c>
      <c r="J191" s="31">
        <v>118500</v>
      </c>
      <c r="K191" s="31">
        <v>18300</v>
      </c>
      <c r="L191" s="31">
        <v>136800</v>
      </c>
      <c r="M191" s="45">
        <f t="shared" si="59"/>
        <v>17.784711388455538</v>
      </c>
      <c r="N191" s="31">
        <v>23000</v>
      </c>
      <c r="O191" s="31">
        <v>12165</v>
      </c>
      <c r="P191" s="31">
        <v>8000</v>
      </c>
      <c r="Q191" s="31">
        <v>43165</v>
      </c>
      <c r="R191" s="45">
        <f t="shared" si="60"/>
        <v>5.6116744669786796</v>
      </c>
      <c r="S191" s="31">
        <v>73550</v>
      </c>
      <c r="T191" s="31">
        <v>253515</v>
      </c>
      <c r="U191" s="31">
        <v>0</v>
      </c>
      <c r="V191" s="31">
        <v>253515</v>
      </c>
      <c r="W191" s="45">
        <f t="shared" si="61"/>
        <v>32.958268330733226</v>
      </c>
      <c r="X191" s="4">
        <f t="shared" si="62"/>
        <v>0.53961304064848237</v>
      </c>
      <c r="Y191" s="4">
        <f t="shared" si="63"/>
        <v>0.17026605920754195</v>
      </c>
      <c r="Z191" s="4">
        <f t="shared" si="64"/>
        <v>0.29012090014397568</v>
      </c>
      <c r="AA191" s="4">
        <f t="shared" si="65"/>
        <v>0</v>
      </c>
      <c r="AB191" s="31">
        <v>0</v>
      </c>
      <c r="AC191" s="31">
        <v>43165</v>
      </c>
      <c r="AD191" s="31">
        <v>253515</v>
      </c>
      <c r="AE191" s="31">
        <v>250000</v>
      </c>
      <c r="AF191" s="31">
        <v>250000</v>
      </c>
      <c r="AG191" s="31">
        <v>0</v>
      </c>
      <c r="AH191" s="31">
        <v>0</v>
      </c>
      <c r="AI191" s="31">
        <v>250000</v>
      </c>
      <c r="AJ191" s="45">
        <f t="shared" si="66"/>
        <v>32.50130005200208</v>
      </c>
      <c r="AK191" s="31">
        <v>0</v>
      </c>
      <c r="AL191" s="31">
        <v>0</v>
      </c>
      <c r="AM191" s="31">
        <v>0</v>
      </c>
      <c r="AN191" s="31">
        <v>0</v>
      </c>
      <c r="AO191" s="31">
        <v>0</v>
      </c>
      <c r="AP191" s="31">
        <v>3515</v>
      </c>
      <c r="AQ191" s="31">
        <v>3515</v>
      </c>
      <c r="AR191" s="31">
        <v>253515</v>
      </c>
      <c r="AS191" s="46">
        <f t="shared" si="67"/>
        <v>32.958268330733226</v>
      </c>
      <c r="AT191" s="31">
        <v>0</v>
      </c>
      <c r="AU191" s="31">
        <v>0</v>
      </c>
      <c r="AV191" s="31">
        <v>0</v>
      </c>
      <c r="AW191" s="31">
        <v>0</v>
      </c>
      <c r="AX191" s="31">
        <v>0</v>
      </c>
      <c r="AY191" s="31">
        <v>0</v>
      </c>
      <c r="AZ191" s="31">
        <v>0</v>
      </c>
      <c r="BA191" s="31">
        <v>0</v>
      </c>
      <c r="BB191" s="31">
        <v>0</v>
      </c>
      <c r="BC191" s="33" t="s">
        <v>25</v>
      </c>
      <c r="BD191" s="47">
        <v>39770</v>
      </c>
      <c r="BE191" s="47">
        <v>41350</v>
      </c>
      <c r="BF191" s="45">
        <f t="shared" si="68"/>
        <v>5.3757150286011441</v>
      </c>
      <c r="BG191" s="30">
        <v>3786</v>
      </c>
      <c r="BH191" s="30">
        <v>3985</v>
      </c>
      <c r="BI191" s="30">
        <v>750</v>
      </c>
      <c r="BJ191" s="30">
        <v>2311</v>
      </c>
      <c r="BK191" s="30">
        <v>2566</v>
      </c>
      <c r="BL191" s="30">
        <v>130</v>
      </c>
      <c r="BM191" s="30">
        <v>6067</v>
      </c>
      <c r="BN191" s="30">
        <v>3</v>
      </c>
      <c r="BO191" s="30">
        <v>51</v>
      </c>
      <c r="BP191" s="30">
        <v>0</v>
      </c>
      <c r="BQ191" s="30">
        <v>54</v>
      </c>
      <c r="BR191" s="47">
        <v>45867</v>
      </c>
      <c r="BS191" s="47">
        <v>54851</v>
      </c>
      <c r="BT191" s="1">
        <f t="shared" si="69"/>
        <v>7.1309152366094644</v>
      </c>
      <c r="BU191" s="30">
        <v>60</v>
      </c>
      <c r="BV191" s="30">
        <v>0</v>
      </c>
      <c r="BW191" s="47">
        <v>7800</v>
      </c>
      <c r="BX191" s="52">
        <f t="shared" si="70"/>
        <v>1.0140405616224648</v>
      </c>
      <c r="BY191" s="47">
        <v>16954</v>
      </c>
      <c r="BZ191" s="47">
        <v>747</v>
      </c>
      <c r="CA191" s="47">
        <v>52450</v>
      </c>
      <c r="CB191" s="47">
        <v>3148</v>
      </c>
      <c r="CC191" s="47">
        <v>73299</v>
      </c>
      <c r="CD191" s="55">
        <f t="shared" si="71"/>
        <v>9.5292511700468019</v>
      </c>
      <c r="CE191" s="3">
        <f t="shared" si="72"/>
        <v>20942.571428571428</v>
      </c>
      <c r="CF191" s="55">
        <f t="shared" si="73"/>
        <v>23.493269230769229</v>
      </c>
      <c r="CG191" s="55">
        <f t="shared" si="74"/>
        <v>1.383</v>
      </c>
      <c r="CH191" s="55">
        <f t="shared" si="75"/>
        <v>1.2653187726750652</v>
      </c>
      <c r="CI191" s="30">
        <v>189</v>
      </c>
      <c r="CJ191" s="30">
        <v>14</v>
      </c>
      <c r="CK191" s="30">
        <v>34</v>
      </c>
      <c r="CL191" s="30">
        <v>237</v>
      </c>
      <c r="CM191" s="30">
        <v>5970</v>
      </c>
      <c r="CN191" s="30">
        <v>125</v>
      </c>
      <c r="CO191" s="30">
        <v>235</v>
      </c>
      <c r="CP191" s="30">
        <v>6330</v>
      </c>
      <c r="CQ191" s="1">
        <f t="shared" si="83"/>
        <v>0.82293291731669271</v>
      </c>
      <c r="CR191" s="47">
        <v>53000</v>
      </c>
      <c r="CS191" s="55">
        <f t="shared" si="76"/>
        <v>6.8902756110244407</v>
      </c>
      <c r="CT191" s="59">
        <v>8208</v>
      </c>
      <c r="CU191" s="29" t="s">
        <v>25</v>
      </c>
      <c r="CV191" s="29" t="s">
        <v>25</v>
      </c>
      <c r="CW191" s="29" t="s">
        <v>25</v>
      </c>
      <c r="CX191" s="35">
        <v>0</v>
      </c>
      <c r="CY191" s="49">
        <v>0</v>
      </c>
      <c r="CZ191" s="35">
        <v>1</v>
      </c>
      <c r="DA191" s="35">
        <v>2.5</v>
      </c>
      <c r="DB191" s="35">
        <v>3.5</v>
      </c>
      <c r="DC191" s="49">
        <f t="shared" si="77"/>
        <v>2197.7142857142858</v>
      </c>
      <c r="DD191" s="30">
        <v>900</v>
      </c>
      <c r="DE191" s="31">
        <v>54700</v>
      </c>
      <c r="DF191" s="35">
        <v>40</v>
      </c>
      <c r="DG191" s="29" t="s">
        <v>25</v>
      </c>
      <c r="DH191" s="29" t="s">
        <v>25</v>
      </c>
      <c r="DI191" s="29" t="s">
        <v>25</v>
      </c>
      <c r="DJ191" s="47">
        <v>598</v>
      </c>
      <c r="DK191" s="47">
        <v>730</v>
      </c>
      <c r="DL191" s="47">
        <v>31</v>
      </c>
      <c r="DM191" s="47">
        <v>13800</v>
      </c>
      <c r="DN191" s="47">
        <v>1460</v>
      </c>
      <c r="DO191" s="47">
        <v>9500</v>
      </c>
      <c r="DP191" s="29" t="s">
        <v>25</v>
      </c>
      <c r="DQ191" s="47">
        <v>9100</v>
      </c>
      <c r="DR191" s="47">
        <v>3120</v>
      </c>
      <c r="DS191" s="30">
        <v>52</v>
      </c>
      <c r="DT191" s="30">
        <v>60</v>
      </c>
      <c r="DU191" s="30">
        <v>60</v>
      </c>
      <c r="DV191" s="30">
        <v>60</v>
      </c>
      <c r="DX191" s="2">
        <f t="shared" si="78"/>
        <v>3120</v>
      </c>
      <c r="DY191" s="33" t="s">
        <v>2186</v>
      </c>
      <c r="DZ191" s="33" t="s">
        <v>564</v>
      </c>
      <c r="EA191" s="33" t="s">
        <v>2030</v>
      </c>
      <c r="EB191" s="33" t="s">
        <v>2027</v>
      </c>
      <c r="EC191" s="36">
        <v>152</v>
      </c>
      <c r="ED191" s="29" t="s">
        <v>563</v>
      </c>
      <c r="EE191" s="29" t="s">
        <v>349</v>
      </c>
      <c r="EF191" s="37">
        <v>41548</v>
      </c>
      <c r="EG191" s="37">
        <v>41912</v>
      </c>
      <c r="EH191" s="29" t="s">
        <v>563</v>
      </c>
      <c r="EI191" s="55">
        <f t="shared" si="79"/>
        <v>2.204108164326573</v>
      </c>
      <c r="EJ191" s="54">
        <f t="shared" si="80"/>
        <v>9.711388455538221E-2</v>
      </c>
      <c r="EK191" s="55">
        <f t="shared" si="81"/>
        <v>6.8187727509100364</v>
      </c>
      <c r="EL191" s="54">
        <f t="shared" si="82"/>
        <v>0.40925637025481021</v>
      </c>
    </row>
    <row r="192" spans="1:142" ht="28.8" x14ac:dyDescent="0.3">
      <c r="A192" s="29" t="s">
        <v>569</v>
      </c>
      <c r="B192" s="29"/>
      <c r="C192" s="30">
        <v>54898</v>
      </c>
      <c r="D192" s="30">
        <v>0</v>
      </c>
      <c r="E192" s="30">
        <v>1</v>
      </c>
      <c r="F192" s="30">
        <v>49500</v>
      </c>
      <c r="G192">
        <v>135</v>
      </c>
      <c r="H192" s="2">
        <f t="shared" si="85"/>
        <v>49635</v>
      </c>
      <c r="I192" s="1">
        <f t="shared" si="84"/>
        <v>0.90413129804364456</v>
      </c>
      <c r="J192" s="31">
        <v>821618</v>
      </c>
      <c r="K192" s="31">
        <v>294664</v>
      </c>
      <c r="L192" s="31">
        <v>1116282</v>
      </c>
      <c r="M192" s="45">
        <f t="shared" si="59"/>
        <v>20.333746220263034</v>
      </c>
      <c r="N192" s="31">
        <v>118362</v>
      </c>
      <c r="O192" s="31">
        <v>24939</v>
      </c>
      <c r="P192" s="31">
        <v>40946</v>
      </c>
      <c r="Q192" s="31">
        <v>184247</v>
      </c>
      <c r="R192" s="45">
        <f t="shared" si="60"/>
        <v>3.3561696236657075</v>
      </c>
      <c r="S192" s="31">
        <v>536836</v>
      </c>
      <c r="T192" s="31">
        <v>1837365</v>
      </c>
      <c r="U192" s="31">
        <v>0</v>
      </c>
      <c r="V192" s="31">
        <v>1837365</v>
      </c>
      <c r="W192" s="45">
        <f t="shared" si="61"/>
        <v>33.468705599475392</v>
      </c>
      <c r="X192" s="4">
        <f t="shared" si="62"/>
        <v>0.60754504412569088</v>
      </c>
      <c r="Y192" s="4">
        <f t="shared" si="63"/>
        <v>0.10027784354224664</v>
      </c>
      <c r="Z192" s="4">
        <f t="shared" si="64"/>
        <v>0.29217711233206251</v>
      </c>
      <c r="AA192" s="4">
        <f t="shared" si="65"/>
        <v>0</v>
      </c>
      <c r="AB192" s="31">
        <v>0</v>
      </c>
      <c r="AC192" s="31">
        <v>184247</v>
      </c>
      <c r="AD192" s="31">
        <v>1837365</v>
      </c>
      <c r="AE192" s="31">
        <v>1808549</v>
      </c>
      <c r="AF192" s="31">
        <v>1850730</v>
      </c>
      <c r="AG192" s="31">
        <v>0</v>
      </c>
      <c r="AH192" s="31">
        <v>0</v>
      </c>
      <c r="AI192" s="31">
        <v>1850730</v>
      </c>
      <c r="AJ192" s="45">
        <f t="shared" si="66"/>
        <v>33.712157091333019</v>
      </c>
      <c r="AK192" s="31">
        <v>0</v>
      </c>
      <c r="AL192" s="31">
        <v>0</v>
      </c>
      <c r="AM192" s="31">
        <v>0</v>
      </c>
      <c r="AN192" s="31">
        <v>0</v>
      </c>
      <c r="AO192" s="31">
        <v>1000</v>
      </c>
      <c r="AP192" s="31">
        <v>85862</v>
      </c>
      <c r="AQ192" s="31">
        <v>86862</v>
      </c>
      <c r="AR192" s="31">
        <v>1937592</v>
      </c>
      <c r="AS192" s="46">
        <f t="shared" si="67"/>
        <v>35.294400524609273</v>
      </c>
      <c r="AT192" s="31">
        <v>0</v>
      </c>
      <c r="AU192" s="31">
        <v>0</v>
      </c>
      <c r="AV192" s="31">
        <v>0</v>
      </c>
      <c r="AW192" s="31">
        <v>0</v>
      </c>
      <c r="AX192" s="31">
        <v>0</v>
      </c>
      <c r="AY192" s="31">
        <v>0</v>
      </c>
      <c r="AZ192" s="31">
        <v>0</v>
      </c>
      <c r="BA192" s="31">
        <v>0</v>
      </c>
      <c r="BB192" s="31">
        <v>0</v>
      </c>
      <c r="BC192" s="33" t="s">
        <v>25</v>
      </c>
      <c r="BD192" s="47">
        <v>79056</v>
      </c>
      <c r="BE192" s="47">
        <v>90529</v>
      </c>
      <c r="BF192" s="45">
        <f t="shared" si="68"/>
        <v>1.6490400378884478</v>
      </c>
      <c r="BG192" s="30">
        <v>9221</v>
      </c>
      <c r="BH192" s="30">
        <v>9556</v>
      </c>
      <c r="BI192" s="30">
        <v>2224</v>
      </c>
      <c r="BJ192" s="30">
        <v>5271</v>
      </c>
      <c r="BK192" s="30">
        <v>6162</v>
      </c>
      <c r="BL192" s="30">
        <v>75</v>
      </c>
      <c r="BM192" s="30">
        <v>10717</v>
      </c>
      <c r="BN192" s="30">
        <v>18</v>
      </c>
      <c r="BO192" s="30">
        <v>51</v>
      </c>
      <c r="BP192" s="30">
        <v>0</v>
      </c>
      <c r="BQ192" s="30">
        <v>69</v>
      </c>
      <c r="BR192" s="47">
        <v>93548</v>
      </c>
      <c r="BS192" s="47">
        <v>119281</v>
      </c>
      <c r="BT192" s="1">
        <f t="shared" si="69"/>
        <v>2.1727749644795802</v>
      </c>
      <c r="BU192" s="30">
        <v>131</v>
      </c>
      <c r="BV192" s="30">
        <v>0</v>
      </c>
      <c r="BW192" s="47">
        <v>140602</v>
      </c>
      <c r="BX192" s="52">
        <f t="shared" si="70"/>
        <v>2.561149768661882</v>
      </c>
      <c r="BY192" s="47">
        <v>186569</v>
      </c>
      <c r="BZ192" s="47">
        <v>0</v>
      </c>
      <c r="CA192" s="47">
        <v>316943</v>
      </c>
      <c r="CB192" s="47">
        <v>21004</v>
      </c>
      <c r="CC192" s="47">
        <v>524516</v>
      </c>
      <c r="CD192" s="55">
        <f t="shared" si="71"/>
        <v>9.5543735655215123</v>
      </c>
      <c r="CE192" s="3">
        <f t="shared" si="72"/>
        <v>25586.146341463416</v>
      </c>
      <c r="CF192" s="55">
        <f t="shared" si="73"/>
        <v>133.77097679163478</v>
      </c>
      <c r="CG192" s="55">
        <f t="shared" si="74"/>
        <v>1.4511640775221679</v>
      </c>
      <c r="CH192" s="55">
        <f t="shared" si="75"/>
        <v>4.2212255095111546</v>
      </c>
      <c r="CI192" s="30">
        <v>334</v>
      </c>
      <c r="CJ192" s="30">
        <v>51</v>
      </c>
      <c r="CK192" s="30">
        <v>129</v>
      </c>
      <c r="CL192" s="30">
        <v>514</v>
      </c>
      <c r="CM192" s="30">
        <v>11625</v>
      </c>
      <c r="CN192" s="30">
        <v>972</v>
      </c>
      <c r="CO192" s="30">
        <v>2580</v>
      </c>
      <c r="CP192" s="30">
        <v>15177</v>
      </c>
      <c r="CQ192" s="1">
        <f t="shared" si="83"/>
        <v>0.27645815876716823</v>
      </c>
      <c r="CR192" s="47">
        <v>361445</v>
      </c>
      <c r="CS192" s="55">
        <f t="shared" si="76"/>
        <v>6.5839374840613498</v>
      </c>
      <c r="CT192" s="59">
        <v>44390</v>
      </c>
      <c r="CU192" s="29" t="s">
        <v>25</v>
      </c>
      <c r="CV192" s="29" t="s">
        <v>25</v>
      </c>
      <c r="CW192" s="29" t="s">
        <v>25</v>
      </c>
      <c r="CX192" s="35">
        <v>9</v>
      </c>
      <c r="CY192" s="49">
        <f>C192/CX192</f>
        <v>6099.7777777777774</v>
      </c>
      <c r="CZ192" s="35">
        <v>11.5</v>
      </c>
      <c r="DA192" s="35">
        <v>0</v>
      </c>
      <c r="DB192" s="35">
        <v>20.5</v>
      </c>
      <c r="DC192" s="49">
        <f t="shared" si="77"/>
        <v>2677.9512195121952</v>
      </c>
      <c r="DD192" s="30">
        <v>10249</v>
      </c>
      <c r="DE192" s="31">
        <v>112750</v>
      </c>
      <c r="DF192" s="35">
        <v>40</v>
      </c>
      <c r="DG192" s="29" t="s">
        <v>25</v>
      </c>
      <c r="DH192" s="29" t="s">
        <v>25</v>
      </c>
      <c r="DI192" s="29" t="s">
        <v>25</v>
      </c>
      <c r="DJ192" s="47">
        <v>324</v>
      </c>
      <c r="DK192" s="47">
        <v>217</v>
      </c>
      <c r="DL192" s="47">
        <v>35</v>
      </c>
      <c r="DM192" s="47">
        <v>66419</v>
      </c>
      <c r="DN192" s="47">
        <v>3779</v>
      </c>
      <c r="DO192" s="47">
        <v>23567</v>
      </c>
      <c r="DP192" s="29" t="s">
        <v>2028</v>
      </c>
      <c r="DQ192" s="47">
        <v>0</v>
      </c>
      <c r="DR192" s="47">
        <v>3297</v>
      </c>
      <c r="DS192" s="30">
        <v>52</v>
      </c>
      <c r="DT192" s="30">
        <v>66</v>
      </c>
      <c r="DU192" s="30">
        <v>66</v>
      </c>
      <c r="DV192" s="30">
        <v>66</v>
      </c>
      <c r="DW192">
        <f>VLOOKUP(EC192,branch!$I$4:$K$77,3,0)</f>
        <v>624</v>
      </c>
      <c r="DX192" s="2">
        <f t="shared" si="78"/>
        <v>3921</v>
      </c>
      <c r="DY192" s="33" t="s">
        <v>2186</v>
      </c>
      <c r="DZ192" s="33" t="s">
        <v>571</v>
      </c>
      <c r="EA192" s="33" t="s">
        <v>2030</v>
      </c>
      <c r="EB192" s="33" t="s">
        <v>2027</v>
      </c>
      <c r="EC192" s="36">
        <v>154</v>
      </c>
      <c r="ED192" s="29" t="s">
        <v>570</v>
      </c>
      <c r="EE192" s="29" t="s">
        <v>280</v>
      </c>
      <c r="EF192" s="37">
        <v>41548</v>
      </c>
      <c r="EG192" s="37">
        <v>41912</v>
      </c>
      <c r="EH192" s="29" t="s">
        <v>570</v>
      </c>
      <c r="EI192" s="55">
        <f t="shared" si="79"/>
        <v>3.3984662464934972</v>
      </c>
      <c r="EJ192" s="54">
        <f t="shared" si="80"/>
        <v>0</v>
      </c>
      <c r="EK192" s="55">
        <f t="shared" si="81"/>
        <v>5.7733068599949</v>
      </c>
      <c r="EL192" s="54">
        <f t="shared" si="82"/>
        <v>0.38260045903311596</v>
      </c>
    </row>
    <row r="193" spans="1:142" ht="28.8" x14ac:dyDescent="0.3">
      <c r="A193" s="29" t="s">
        <v>567</v>
      </c>
      <c r="B193" s="29"/>
      <c r="C193" s="30">
        <v>10824</v>
      </c>
      <c r="D193" s="30">
        <v>1</v>
      </c>
      <c r="E193" s="30">
        <v>0</v>
      </c>
      <c r="F193" s="30">
        <v>2497</v>
      </c>
      <c r="G193">
        <v>2064</v>
      </c>
      <c r="H193" s="2">
        <f t="shared" si="85"/>
        <v>4561</v>
      </c>
      <c r="I193" s="1">
        <f t="shared" si="84"/>
        <v>0.42137841832963785</v>
      </c>
      <c r="J193" s="31">
        <v>70170</v>
      </c>
      <c r="K193" s="31">
        <v>25361</v>
      </c>
      <c r="L193" s="31">
        <v>95531</v>
      </c>
      <c r="M193" s="45">
        <f t="shared" si="59"/>
        <v>8.8258499630450853</v>
      </c>
      <c r="N193" s="31">
        <v>11605</v>
      </c>
      <c r="O193" s="31">
        <v>0</v>
      </c>
      <c r="P193" s="31">
        <v>3341</v>
      </c>
      <c r="Q193" s="31">
        <v>14946</v>
      </c>
      <c r="R193" s="45">
        <f t="shared" si="60"/>
        <v>1.3808203991130821</v>
      </c>
      <c r="S193" s="31">
        <v>21502</v>
      </c>
      <c r="T193" s="31">
        <v>131979</v>
      </c>
      <c r="U193" s="31">
        <v>0</v>
      </c>
      <c r="V193" s="31">
        <v>131979</v>
      </c>
      <c r="W193" s="45">
        <f t="shared" si="61"/>
        <v>12.193181818181818</v>
      </c>
      <c r="X193" s="4">
        <f t="shared" si="62"/>
        <v>0.72383485251441515</v>
      </c>
      <c r="Y193" s="4">
        <f t="shared" si="63"/>
        <v>0.1132452890232537</v>
      </c>
      <c r="Z193" s="4">
        <f t="shared" si="64"/>
        <v>0.16291985846233112</v>
      </c>
      <c r="AA193" s="4">
        <f t="shared" si="65"/>
        <v>0</v>
      </c>
      <c r="AB193" s="31">
        <v>0</v>
      </c>
      <c r="AC193" s="31">
        <v>12446</v>
      </c>
      <c r="AD193" s="31">
        <v>129479</v>
      </c>
      <c r="AE193" s="31">
        <v>129479</v>
      </c>
      <c r="AF193" s="31">
        <v>0</v>
      </c>
      <c r="AG193" s="31">
        <v>143012</v>
      </c>
      <c r="AH193" s="31">
        <v>0</v>
      </c>
      <c r="AI193" s="31">
        <v>143012</v>
      </c>
      <c r="AJ193" s="45">
        <f t="shared" si="66"/>
        <v>13.212490761271249</v>
      </c>
      <c r="AK193" s="31">
        <v>0</v>
      </c>
      <c r="AL193" s="31">
        <v>0</v>
      </c>
      <c r="AM193" s="31">
        <v>0</v>
      </c>
      <c r="AN193" s="31">
        <v>0</v>
      </c>
      <c r="AO193" s="31">
        <v>0</v>
      </c>
      <c r="AP193" s="31">
        <v>5732</v>
      </c>
      <c r="AQ193" s="31">
        <v>5732</v>
      </c>
      <c r="AR193" s="31">
        <v>148744</v>
      </c>
      <c r="AS193" s="46">
        <f t="shared" si="67"/>
        <v>13.742054693274206</v>
      </c>
      <c r="AT193" s="31">
        <v>0</v>
      </c>
      <c r="AU193" s="31">
        <v>0</v>
      </c>
      <c r="AV193" s="31">
        <v>0</v>
      </c>
      <c r="AW193" s="31">
        <v>0</v>
      </c>
      <c r="AX193" s="31">
        <v>0</v>
      </c>
      <c r="AY193" s="31">
        <v>0</v>
      </c>
      <c r="AZ193" s="31">
        <v>0</v>
      </c>
      <c r="BA193" s="31">
        <v>0</v>
      </c>
      <c r="BB193" s="31">
        <v>0</v>
      </c>
      <c r="BC193" s="33" t="s">
        <v>25</v>
      </c>
      <c r="BD193" s="47">
        <v>25544</v>
      </c>
      <c r="BE193" s="47">
        <v>29157</v>
      </c>
      <c r="BF193" s="45">
        <f t="shared" si="68"/>
        <v>2.6937361419068737</v>
      </c>
      <c r="BG193" s="30">
        <v>594</v>
      </c>
      <c r="BH193" s="30">
        <v>643</v>
      </c>
      <c r="BI193" s="30">
        <v>1102</v>
      </c>
      <c r="BJ193" s="30">
        <v>1590</v>
      </c>
      <c r="BK193" s="30">
        <v>1704</v>
      </c>
      <c r="BL193" s="30">
        <v>1</v>
      </c>
      <c r="BM193" s="30">
        <v>8007</v>
      </c>
      <c r="BN193" s="30">
        <v>1</v>
      </c>
      <c r="BO193" s="30">
        <v>51</v>
      </c>
      <c r="BP193" s="30">
        <v>0</v>
      </c>
      <c r="BQ193" s="30">
        <v>52</v>
      </c>
      <c r="BR193" s="47">
        <v>27728</v>
      </c>
      <c r="BS193" s="47">
        <v>40615</v>
      </c>
      <c r="BT193" s="1">
        <f t="shared" si="69"/>
        <v>3.7523096821877311</v>
      </c>
      <c r="BU193" s="30">
        <v>25</v>
      </c>
      <c r="BV193" s="30">
        <v>0</v>
      </c>
      <c r="BW193" s="47">
        <v>3935</v>
      </c>
      <c r="BX193" s="52">
        <f t="shared" si="70"/>
        <v>0.36354397634885438</v>
      </c>
      <c r="BY193" s="47">
        <v>1761</v>
      </c>
      <c r="BZ193" s="47">
        <v>0</v>
      </c>
      <c r="CA193" s="47">
        <v>8249</v>
      </c>
      <c r="CB193" s="47">
        <v>339</v>
      </c>
      <c r="CC193" s="47">
        <v>10349</v>
      </c>
      <c r="CD193" s="55">
        <f t="shared" si="71"/>
        <v>0.95611603843311166</v>
      </c>
      <c r="CE193" s="3">
        <f t="shared" si="72"/>
        <v>3147.9847908745246</v>
      </c>
      <c r="CF193" s="55">
        <f t="shared" si="73"/>
        <v>3.1619309501985944</v>
      </c>
      <c r="CG193" s="55">
        <f t="shared" si="74"/>
        <v>0.35634598168170234</v>
      </c>
      <c r="CH193" s="55">
        <f t="shared" si="75"/>
        <v>0.24646066724116705</v>
      </c>
      <c r="CI193" s="30">
        <v>36</v>
      </c>
      <c r="CJ193" s="30">
        <v>2</v>
      </c>
      <c r="CK193" s="30">
        <v>2</v>
      </c>
      <c r="CL193" s="30">
        <v>40</v>
      </c>
      <c r="CM193" s="30">
        <v>487</v>
      </c>
      <c r="CN193" s="30">
        <v>16</v>
      </c>
      <c r="CO193" s="30">
        <v>12</v>
      </c>
      <c r="CP193" s="30">
        <v>515</v>
      </c>
      <c r="CQ193" s="1">
        <f t="shared" si="83"/>
        <v>4.7579453067257943E-2</v>
      </c>
      <c r="CR193" s="47">
        <v>29042</v>
      </c>
      <c r="CS193" s="55">
        <f t="shared" si="76"/>
        <v>2.6831116038433112</v>
      </c>
      <c r="CT193" s="59">
        <v>4983</v>
      </c>
      <c r="CU193" s="29" t="s">
        <v>25</v>
      </c>
      <c r="CV193" s="29" t="s">
        <v>25</v>
      </c>
      <c r="CW193" s="29" t="s">
        <v>25</v>
      </c>
      <c r="CX193" s="35">
        <v>0</v>
      </c>
      <c r="CY193" s="49">
        <v>0</v>
      </c>
      <c r="CZ193" s="35">
        <v>1.6</v>
      </c>
      <c r="DA193" s="35">
        <v>1.6875</v>
      </c>
      <c r="DB193" s="35">
        <v>3.2875000000000001</v>
      </c>
      <c r="DC193" s="49">
        <f t="shared" si="77"/>
        <v>3292.4714828897336</v>
      </c>
      <c r="DD193" s="30">
        <v>276</v>
      </c>
      <c r="DE193" s="31">
        <v>27446</v>
      </c>
      <c r="DF193" s="35">
        <v>40</v>
      </c>
      <c r="DG193" s="29" t="s">
        <v>25</v>
      </c>
      <c r="DH193" s="29" t="s">
        <v>25</v>
      </c>
      <c r="DI193" s="29" t="s">
        <v>25</v>
      </c>
      <c r="DJ193" s="47">
        <v>0</v>
      </c>
      <c r="DK193" s="47">
        <v>14</v>
      </c>
      <c r="DL193" s="47">
        <v>14</v>
      </c>
      <c r="DM193" s="47">
        <v>4665</v>
      </c>
      <c r="DN193" s="47">
        <v>312</v>
      </c>
      <c r="DO193" s="47">
        <v>727</v>
      </c>
      <c r="DP193" s="29" t="s">
        <v>2028</v>
      </c>
      <c r="DQ193" s="47">
        <v>0</v>
      </c>
      <c r="DR193" s="47">
        <v>1622</v>
      </c>
      <c r="DS193" s="30">
        <v>50</v>
      </c>
      <c r="DT193" s="30">
        <v>36</v>
      </c>
      <c r="DU193" s="30">
        <v>34</v>
      </c>
      <c r="DV193" s="30">
        <v>34</v>
      </c>
      <c r="DW193">
        <f>VLOOKUP(EC193,branch!$I$4:$K$77,3,0)</f>
        <v>1651</v>
      </c>
      <c r="DX193" s="2">
        <f t="shared" si="78"/>
        <v>3273</v>
      </c>
      <c r="DY193" s="33" t="s">
        <v>2180</v>
      </c>
      <c r="DZ193" s="33" t="s">
        <v>568</v>
      </c>
      <c r="EA193" s="33" t="s">
        <v>2031</v>
      </c>
      <c r="EB193" s="33" t="s">
        <v>2027</v>
      </c>
      <c r="EC193" s="36">
        <v>153</v>
      </c>
      <c r="ED193" s="29" t="s">
        <v>565</v>
      </c>
      <c r="EE193" s="29" t="s">
        <v>566</v>
      </c>
      <c r="EF193" s="37">
        <v>41640</v>
      </c>
      <c r="EG193" s="37">
        <v>42004</v>
      </c>
      <c r="EH193" s="29" t="s">
        <v>565</v>
      </c>
      <c r="EI193" s="55">
        <f t="shared" si="79"/>
        <v>0.1626940133037694</v>
      </c>
      <c r="EJ193" s="54">
        <f t="shared" si="80"/>
        <v>0</v>
      </c>
      <c r="EK193" s="55">
        <f t="shared" si="81"/>
        <v>0.76210273466371026</v>
      </c>
      <c r="EL193" s="54">
        <f t="shared" si="82"/>
        <v>3.1319290465631928E-2</v>
      </c>
    </row>
    <row r="194" spans="1:142" ht="28.8" x14ac:dyDescent="0.3">
      <c r="A194" s="29" t="s">
        <v>572</v>
      </c>
      <c r="B194" s="29"/>
      <c r="C194" s="30">
        <v>5009</v>
      </c>
      <c r="D194" s="30">
        <v>0</v>
      </c>
      <c r="E194" s="30">
        <v>0</v>
      </c>
      <c r="F194" s="30">
        <v>19000</v>
      </c>
      <c r="H194" s="2">
        <f t="shared" si="85"/>
        <v>19000</v>
      </c>
      <c r="I194" s="1">
        <f t="shared" si="84"/>
        <v>3.7931722898782194</v>
      </c>
      <c r="J194" s="31">
        <v>136091</v>
      </c>
      <c r="K194" s="31">
        <v>47635</v>
      </c>
      <c r="L194" s="31">
        <v>183726</v>
      </c>
      <c r="M194" s="45">
        <f t="shared" si="59"/>
        <v>36.679177480535039</v>
      </c>
      <c r="N194" s="31">
        <v>10203</v>
      </c>
      <c r="O194" s="31">
        <v>2632</v>
      </c>
      <c r="P194" s="31">
        <v>0</v>
      </c>
      <c r="Q194" s="31">
        <v>12835</v>
      </c>
      <c r="R194" s="45">
        <f t="shared" si="60"/>
        <v>2.5623877021361547</v>
      </c>
      <c r="S194" s="31">
        <v>84616</v>
      </c>
      <c r="T194" s="31">
        <v>281177</v>
      </c>
      <c r="U194" s="31">
        <v>0</v>
      </c>
      <c r="V194" s="31">
        <v>281177</v>
      </c>
      <c r="W194" s="45">
        <f t="shared" si="61"/>
        <v>56.13435815532042</v>
      </c>
      <c r="X194" s="4">
        <f t="shared" si="62"/>
        <v>0.65341759816770217</v>
      </c>
      <c r="Y194" s="4">
        <f t="shared" si="63"/>
        <v>4.5647403592754744E-2</v>
      </c>
      <c r="Z194" s="4">
        <f t="shared" si="64"/>
        <v>0.30093499823954306</v>
      </c>
      <c r="AA194" s="4">
        <f t="shared" si="65"/>
        <v>0</v>
      </c>
      <c r="AB194" s="31">
        <v>7964</v>
      </c>
      <c r="AC194" s="31">
        <v>12835</v>
      </c>
      <c r="AD194" s="31">
        <v>281176</v>
      </c>
      <c r="AE194" s="31">
        <v>261563</v>
      </c>
      <c r="AF194" s="31">
        <v>261563</v>
      </c>
      <c r="AG194" s="31">
        <v>0</v>
      </c>
      <c r="AH194" s="31">
        <v>0</v>
      </c>
      <c r="AI194" s="31">
        <v>261563</v>
      </c>
      <c r="AJ194" s="45">
        <f t="shared" si="66"/>
        <v>52.218606508285085</v>
      </c>
      <c r="AK194" s="31">
        <v>0</v>
      </c>
      <c r="AL194" s="31">
        <v>0</v>
      </c>
      <c r="AM194" s="31">
        <v>0</v>
      </c>
      <c r="AN194" s="31">
        <v>0</v>
      </c>
      <c r="AO194" s="31">
        <v>0</v>
      </c>
      <c r="AP194" s="31">
        <v>31514</v>
      </c>
      <c r="AQ194" s="31">
        <v>31514</v>
      </c>
      <c r="AR194" s="31">
        <v>293077</v>
      </c>
      <c r="AS194" s="46">
        <f t="shared" si="67"/>
        <v>58.510081852665202</v>
      </c>
      <c r="AT194" s="31">
        <v>0</v>
      </c>
      <c r="AU194" s="31">
        <v>0</v>
      </c>
      <c r="AV194" s="31">
        <v>0</v>
      </c>
      <c r="AW194" s="31">
        <v>0</v>
      </c>
      <c r="AX194" s="31">
        <v>0</v>
      </c>
      <c r="AY194" s="31">
        <v>0</v>
      </c>
      <c r="AZ194" s="31">
        <v>0</v>
      </c>
      <c r="BA194" s="31">
        <v>0</v>
      </c>
      <c r="BB194" s="31">
        <v>0</v>
      </c>
      <c r="BC194" s="33" t="s">
        <v>25</v>
      </c>
      <c r="BD194" s="47">
        <v>30552</v>
      </c>
      <c r="BE194" s="47">
        <v>31460</v>
      </c>
      <c r="BF194" s="45">
        <f t="shared" si="68"/>
        <v>6.2806947494509879</v>
      </c>
      <c r="BG194" s="30">
        <v>1333</v>
      </c>
      <c r="BH194" s="30">
        <v>1445</v>
      </c>
      <c r="BI194" s="30">
        <v>0</v>
      </c>
      <c r="BJ194" s="30">
        <v>632</v>
      </c>
      <c r="BK194" s="30">
        <v>648</v>
      </c>
      <c r="BL194" s="30">
        <v>0</v>
      </c>
      <c r="BM194" s="30">
        <v>0</v>
      </c>
      <c r="BN194" s="30">
        <v>0</v>
      </c>
      <c r="BO194" s="30">
        <v>51</v>
      </c>
      <c r="BP194" s="30">
        <v>0</v>
      </c>
      <c r="BQ194" s="30">
        <v>51</v>
      </c>
      <c r="BR194" s="47">
        <v>32517</v>
      </c>
      <c r="BS194" s="47">
        <v>33553</v>
      </c>
      <c r="BT194" s="1">
        <f t="shared" si="69"/>
        <v>6.6985426232780991</v>
      </c>
      <c r="BU194" s="30">
        <v>46</v>
      </c>
      <c r="BV194" s="30">
        <v>0</v>
      </c>
      <c r="BW194" s="47">
        <v>1939</v>
      </c>
      <c r="BX194" s="52">
        <f t="shared" si="70"/>
        <v>0.38710321421441407</v>
      </c>
      <c r="BY194" s="47">
        <v>10578</v>
      </c>
      <c r="BZ194" s="47">
        <v>0</v>
      </c>
      <c r="CA194" s="47">
        <v>24320</v>
      </c>
      <c r="CB194" s="47">
        <v>0</v>
      </c>
      <c r="CC194" s="47">
        <v>34898</v>
      </c>
      <c r="CD194" s="55">
        <f t="shared" si="71"/>
        <v>6.9670592932721105</v>
      </c>
      <c r="CE194" s="3">
        <f t="shared" si="72"/>
        <v>7050.1010101010097</v>
      </c>
      <c r="CF194" s="55">
        <f t="shared" si="73"/>
        <v>16.307476635514018</v>
      </c>
      <c r="CG194" s="55">
        <f t="shared" si="74"/>
        <v>0.98462319781056906</v>
      </c>
      <c r="CH194" s="55">
        <f t="shared" si="75"/>
        <v>1.0400858343516228</v>
      </c>
      <c r="CI194" s="30">
        <v>81</v>
      </c>
      <c r="CJ194" s="30">
        <v>3</v>
      </c>
      <c r="CK194" s="30">
        <v>218</v>
      </c>
      <c r="CL194" s="30">
        <v>302</v>
      </c>
      <c r="CM194" s="30">
        <v>3005</v>
      </c>
      <c r="CN194" s="30">
        <v>1181</v>
      </c>
      <c r="CO194" s="30">
        <v>2393</v>
      </c>
      <c r="CP194" s="30">
        <v>6579</v>
      </c>
      <c r="CQ194" s="1">
        <f t="shared" si="83"/>
        <v>1.3134358155320423</v>
      </c>
      <c r="CR194" s="47">
        <v>35443</v>
      </c>
      <c r="CS194" s="55">
        <f t="shared" si="76"/>
        <v>7.0758634457975642</v>
      </c>
      <c r="CT194" s="59">
        <v>4977</v>
      </c>
      <c r="CU194" s="29" t="s">
        <v>25</v>
      </c>
      <c r="CV194" s="29" t="s">
        <v>25</v>
      </c>
      <c r="CW194" s="29" t="s">
        <v>25</v>
      </c>
      <c r="CX194" s="35">
        <v>0</v>
      </c>
      <c r="CY194" s="49">
        <v>0</v>
      </c>
      <c r="CZ194" s="35">
        <v>1</v>
      </c>
      <c r="DA194" s="35">
        <v>3.95</v>
      </c>
      <c r="DB194" s="35">
        <v>4.95</v>
      </c>
      <c r="DC194" s="49">
        <f t="shared" si="77"/>
        <v>1011.9191919191919</v>
      </c>
      <c r="DD194" s="30">
        <v>1630</v>
      </c>
      <c r="DE194" s="31">
        <v>45228</v>
      </c>
      <c r="DF194" s="35">
        <v>40</v>
      </c>
      <c r="DG194" s="29" t="s">
        <v>25</v>
      </c>
      <c r="DH194" s="29" t="s">
        <v>25</v>
      </c>
      <c r="DI194" s="29" t="s">
        <v>25</v>
      </c>
      <c r="DJ194" s="47">
        <v>21</v>
      </c>
      <c r="DK194" s="47">
        <v>1</v>
      </c>
      <c r="DL194" s="47">
        <v>22</v>
      </c>
      <c r="DM194" s="47">
        <v>5175</v>
      </c>
      <c r="DN194" s="47">
        <v>10</v>
      </c>
      <c r="DO194" s="47">
        <v>4318</v>
      </c>
      <c r="DP194" s="29" t="s">
        <v>2028</v>
      </c>
      <c r="DQ194" s="47">
        <v>0</v>
      </c>
      <c r="DR194" s="47">
        <v>2140</v>
      </c>
      <c r="DS194" s="30">
        <v>52</v>
      </c>
      <c r="DT194" s="30">
        <v>43</v>
      </c>
      <c r="DU194" s="30">
        <v>43</v>
      </c>
      <c r="DV194" s="30">
        <v>43</v>
      </c>
      <c r="DX194" s="2">
        <f t="shared" si="78"/>
        <v>2140</v>
      </c>
      <c r="DY194" s="33" t="s">
        <v>2186</v>
      </c>
      <c r="DZ194" s="33" t="s">
        <v>574</v>
      </c>
      <c r="EA194" s="33" t="s">
        <v>2030</v>
      </c>
      <c r="EB194" s="33" t="s">
        <v>2027</v>
      </c>
      <c r="EC194" s="36">
        <v>155</v>
      </c>
      <c r="ED194" s="29" t="s">
        <v>573</v>
      </c>
      <c r="EE194" s="29" t="s">
        <v>92</v>
      </c>
      <c r="EF194" s="37">
        <v>41548</v>
      </c>
      <c r="EG194" s="37">
        <v>41912</v>
      </c>
      <c r="EH194" s="29" t="s">
        <v>573</v>
      </c>
      <c r="EI194" s="55">
        <f t="shared" si="79"/>
        <v>2.1117987622279895</v>
      </c>
      <c r="EJ194" s="54">
        <f t="shared" si="80"/>
        <v>0</v>
      </c>
      <c r="EK194" s="55">
        <f t="shared" si="81"/>
        <v>4.8552605310441201</v>
      </c>
      <c r="EL194" s="54">
        <f t="shared" si="82"/>
        <v>0</v>
      </c>
    </row>
    <row r="195" spans="1:142" ht="28.8" x14ac:dyDescent="0.3">
      <c r="A195" s="29" t="s">
        <v>575</v>
      </c>
      <c r="B195" s="29"/>
      <c r="C195" s="30">
        <v>35061</v>
      </c>
      <c r="D195" s="30">
        <v>0</v>
      </c>
      <c r="E195" s="30">
        <v>0</v>
      </c>
      <c r="F195" s="30">
        <v>12400</v>
      </c>
      <c r="H195" s="2">
        <f t="shared" si="85"/>
        <v>12400</v>
      </c>
      <c r="I195" s="1">
        <f t="shared" si="84"/>
        <v>0.35366931918656058</v>
      </c>
      <c r="J195" s="31">
        <v>103729</v>
      </c>
      <c r="K195" s="31">
        <v>47556</v>
      </c>
      <c r="L195" s="31">
        <v>151285</v>
      </c>
      <c r="M195" s="45">
        <f t="shared" si="59"/>
        <v>4.3149083026724853</v>
      </c>
      <c r="N195" s="31">
        <v>32665</v>
      </c>
      <c r="O195" s="31">
        <v>0</v>
      </c>
      <c r="P195" s="31">
        <v>0</v>
      </c>
      <c r="Q195" s="31">
        <v>32665</v>
      </c>
      <c r="R195" s="45">
        <f t="shared" si="60"/>
        <v>0.93166196058298389</v>
      </c>
      <c r="S195" s="31">
        <v>18280</v>
      </c>
      <c r="T195" s="31">
        <v>202230</v>
      </c>
      <c r="U195" s="31">
        <v>46195</v>
      </c>
      <c r="V195" s="31">
        <v>248425</v>
      </c>
      <c r="W195" s="45">
        <f t="shared" si="61"/>
        <v>7.0855081144291381</v>
      </c>
      <c r="X195" s="4">
        <f t="shared" si="62"/>
        <v>0.60897655227935998</v>
      </c>
      <c r="Y195" s="4">
        <f t="shared" si="63"/>
        <v>0.13148837677367414</v>
      </c>
      <c r="Z195" s="4">
        <f t="shared" si="64"/>
        <v>7.3583576532152556E-2</v>
      </c>
      <c r="AA195" s="4">
        <f t="shared" si="65"/>
        <v>0.18595149441481332</v>
      </c>
      <c r="AB195" s="31">
        <v>0</v>
      </c>
      <c r="AC195" s="31">
        <v>32665</v>
      </c>
      <c r="AD195" s="31">
        <v>248425</v>
      </c>
      <c r="AE195" s="31">
        <v>248425</v>
      </c>
      <c r="AF195" s="31">
        <v>0</v>
      </c>
      <c r="AG195" s="31">
        <v>255951</v>
      </c>
      <c r="AH195" s="31">
        <v>0</v>
      </c>
      <c r="AI195" s="31">
        <v>255951</v>
      </c>
      <c r="AJ195" s="45">
        <f t="shared" si="66"/>
        <v>7.3001625737999483</v>
      </c>
      <c r="AK195" s="31">
        <v>0</v>
      </c>
      <c r="AL195" s="31">
        <v>0</v>
      </c>
      <c r="AM195" s="31">
        <v>0</v>
      </c>
      <c r="AN195" s="31">
        <v>0</v>
      </c>
      <c r="AO195" s="31">
        <v>0</v>
      </c>
      <c r="AP195" s="31">
        <v>13882</v>
      </c>
      <c r="AQ195" s="31">
        <v>13882</v>
      </c>
      <c r="AR195" s="31">
        <v>269833</v>
      </c>
      <c r="AS195" s="46">
        <f t="shared" si="67"/>
        <v>7.6961010809731611</v>
      </c>
      <c r="AT195" s="31">
        <v>0</v>
      </c>
      <c r="AU195" s="31">
        <v>0</v>
      </c>
      <c r="AV195" s="31">
        <v>0</v>
      </c>
      <c r="AW195" s="31">
        <v>0</v>
      </c>
      <c r="AX195" s="31">
        <v>0</v>
      </c>
      <c r="AY195" s="31">
        <v>0</v>
      </c>
      <c r="AZ195" s="31">
        <v>0</v>
      </c>
      <c r="BA195" s="31">
        <v>0</v>
      </c>
      <c r="BB195" s="31">
        <v>0</v>
      </c>
      <c r="BC195" s="33" t="s">
        <v>25</v>
      </c>
      <c r="BD195" s="47">
        <v>60032</v>
      </c>
      <c r="BE195" s="47">
        <v>62977</v>
      </c>
      <c r="BF195" s="45">
        <f t="shared" si="68"/>
        <v>1.7962123156783891</v>
      </c>
      <c r="BG195" s="30">
        <v>788</v>
      </c>
      <c r="BH195" s="30">
        <v>793</v>
      </c>
      <c r="BI195" s="30">
        <v>0</v>
      </c>
      <c r="BJ195" s="30">
        <v>1795</v>
      </c>
      <c r="BK195" s="30">
        <v>1847</v>
      </c>
      <c r="BL195" s="30">
        <v>0</v>
      </c>
      <c r="BM195" s="30">
        <v>0</v>
      </c>
      <c r="BN195" s="30">
        <v>0</v>
      </c>
      <c r="BO195" s="30">
        <v>51</v>
      </c>
      <c r="BP195" s="30">
        <v>0</v>
      </c>
      <c r="BQ195" s="30">
        <v>51</v>
      </c>
      <c r="BR195" s="47">
        <v>62615</v>
      </c>
      <c r="BS195" s="47">
        <v>65617</v>
      </c>
      <c r="BT195" s="1">
        <f t="shared" si="69"/>
        <v>1.8715096546019794</v>
      </c>
      <c r="BU195" s="30">
        <v>46</v>
      </c>
      <c r="BV195" s="30">
        <v>0</v>
      </c>
      <c r="BW195" s="47">
        <v>7911</v>
      </c>
      <c r="BX195" s="52">
        <f t="shared" si="70"/>
        <v>0.22563532129716779</v>
      </c>
      <c r="BY195" s="47">
        <v>17153</v>
      </c>
      <c r="BZ195" s="47">
        <v>0</v>
      </c>
      <c r="CA195" s="47">
        <v>31346</v>
      </c>
      <c r="CB195" s="47">
        <v>0</v>
      </c>
      <c r="CC195" s="47">
        <v>48499</v>
      </c>
      <c r="CD195" s="55">
        <f t="shared" si="71"/>
        <v>1.3832748638087904</v>
      </c>
      <c r="CE195" s="3">
        <f t="shared" si="72"/>
        <v>12124.75</v>
      </c>
      <c r="CF195" s="55">
        <f t="shared" si="73"/>
        <v>22.065059144676979</v>
      </c>
      <c r="CG195" s="55">
        <f t="shared" si="74"/>
        <v>0.73650721336370539</v>
      </c>
      <c r="CH195" s="55">
        <f t="shared" si="75"/>
        <v>0.73912248350275078</v>
      </c>
      <c r="CI195" s="30">
        <v>130</v>
      </c>
      <c r="CJ195" s="30">
        <v>10</v>
      </c>
      <c r="CK195" s="30">
        <v>1</v>
      </c>
      <c r="CL195" s="30">
        <v>141</v>
      </c>
      <c r="CM195" s="30">
        <v>4052</v>
      </c>
      <c r="CN195" s="30">
        <v>77</v>
      </c>
      <c r="CO195" s="30">
        <v>400</v>
      </c>
      <c r="CP195" s="30">
        <v>4529</v>
      </c>
      <c r="CQ195" s="1">
        <f t="shared" si="83"/>
        <v>0.12917486666096231</v>
      </c>
      <c r="CR195" s="47">
        <v>65850</v>
      </c>
      <c r="CS195" s="55">
        <f t="shared" si="76"/>
        <v>1.8781552151963721</v>
      </c>
      <c r="CT195" s="59">
        <v>10363</v>
      </c>
      <c r="CU195" s="29" t="s">
        <v>25</v>
      </c>
      <c r="CV195" s="29" t="s">
        <v>25</v>
      </c>
      <c r="CW195" s="29" t="s">
        <v>25</v>
      </c>
      <c r="CX195" s="35">
        <v>1</v>
      </c>
      <c r="CY195" s="49">
        <f>C195/CX195</f>
        <v>35061</v>
      </c>
      <c r="CZ195" s="35">
        <v>0</v>
      </c>
      <c r="DA195" s="35">
        <v>3</v>
      </c>
      <c r="DB195" s="35">
        <v>4</v>
      </c>
      <c r="DC195" s="49">
        <f t="shared" si="77"/>
        <v>8765.25</v>
      </c>
      <c r="DD195" s="30">
        <v>582</v>
      </c>
      <c r="DE195" s="31">
        <v>36164</v>
      </c>
      <c r="DF195" s="35">
        <v>40</v>
      </c>
      <c r="DG195" s="29" t="s">
        <v>25</v>
      </c>
      <c r="DH195" s="29" t="s">
        <v>25</v>
      </c>
      <c r="DI195" s="29" t="s">
        <v>25</v>
      </c>
      <c r="DJ195" s="47">
        <v>0</v>
      </c>
      <c r="DK195" s="47">
        <v>0</v>
      </c>
      <c r="DL195" s="47">
        <v>18</v>
      </c>
      <c r="DM195" s="47">
        <v>13284</v>
      </c>
      <c r="DN195" s="47">
        <v>369</v>
      </c>
      <c r="DO195" s="47">
        <v>4428</v>
      </c>
      <c r="DP195" s="29" t="s">
        <v>25</v>
      </c>
      <c r="DQ195" s="47">
        <v>21245</v>
      </c>
      <c r="DR195" s="47">
        <v>2198</v>
      </c>
      <c r="DS195" s="30">
        <v>52</v>
      </c>
      <c r="DT195" s="30">
        <v>45</v>
      </c>
      <c r="DU195" s="30">
        <v>45</v>
      </c>
      <c r="DV195" s="30">
        <v>45</v>
      </c>
      <c r="DX195" s="2">
        <f t="shared" si="78"/>
        <v>2198</v>
      </c>
      <c r="DY195" s="33" t="s">
        <v>2182</v>
      </c>
      <c r="DZ195" s="33" t="s">
        <v>578</v>
      </c>
      <c r="EA195" s="33" t="s">
        <v>2031</v>
      </c>
      <c r="EB195" s="33" t="s">
        <v>2027</v>
      </c>
      <c r="EC195" s="36">
        <v>156</v>
      </c>
      <c r="ED195" s="29" t="s">
        <v>576</v>
      </c>
      <c r="EE195" s="29" t="s">
        <v>577</v>
      </c>
      <c r="EF195" s="37">
        <v>41548</v>
      </c>
      <c r="EG195" s="37">
        <v>41912</v>
      </c>
      <c r="EH195" s="29" t="s">
        <v>576</v>
      </c>
      <c r="EI195" s="55">
        <f t="shared" si="79"/>
        <v>0.48923305096831238</v>
      </c>
      <c r="EJ195" s="54">
        <f t="shared" si="80"/>
        <v>0</v>
      </c>
      <c r="EK195" s="55">
        <f t="shared" si="81"/>
        <v>0.89404181284047801</v>
      </c>
      <c r="EL195" s="54">
        <f t="shared" si="82"/>
        <v>0</v>
      </c>
    </row>
    <row r="196" spans="1:142" ht="28.8" x14ac:dyDescent="0.3">
      <c r="A196" s="29" t="s">
        <v>579</v>
      </c>
      <c r="B196" s="29"/>
      <c r="C196" s="30">
        <v>9644</v>
      </c>
      <c r="D196" s="30">
        <v>0</v>
      </c>
      <c r="E196" s="30">
        <v>0</v>
      </c>
      <c r="F196" s="30">
        <v>5500</v>
      </c>
      <c r="H196" s="2">
        <f t="shared" si="85"/>
        <v>5500</v>
      </c>
      <c r="I196" s="1">
        <f t="shared" si="84"/>
        <v>0.57030277892990455</v>
      </c>
      <c r="J196" s="31">
        <v>57048</v>
      </c>
      <c r="K196" s="31">
        <v>10246</v>
      </c>
      <c r="L196" s="31">
        <v>67294</v>
      </c>
      <c r="M196" s="45">
        <f t="shared" ref="M196:M259" si="86">L196/C196</f>
        <v>6.9778100373289096</v>
      </c>
      <c r="N196" s="31">
        <v>5487</v>
      </c>
      <c r="O196" s="31">
        <v>0</v>
      </c>
      <c r="P196" s="31">
        <v>1097</v>
      </c>
      <c r="Q196" s="31">
        <v>6584</v>
      </c>
      <c r="R196" s="45">
        <f t="shared" ref="R196:R259" si="87">Q196/C196</f>
        <v>0.68270427208627127</v>
      </c>
      <c r="S196" s="31">
        <v>17866</v>
      </c>
      <c r="T196" s="31">
        <v>91744</v>
      </c>
      <c r="U196" s="31">
        <v>5128</v>
      </c>
      <c r="V196" s="31">
        <v>96872</v>
      </c>
      <c r="W196" s="45">
        <f t="shared" ref="W196:W259" si="88">V196/C196</f>
        <v>10.044794690999586</v>
      </c>
      <c r="X196" s="4">
        <f t="shared" ref="X196:X259" si="89">L196/V196</f>
        <v>0.69466925427368076</v>
      </c>
      <c r="Y196" s="4">
        <f t="shared" ref="Y196:Y259" si="90">Q196/V196</f>
        <v>6.7965975720538446E-2</v>
      </c>
      <c r="Z196" s="4">
        <f t="shared" ref="Z196:Z259" si="91">S196/V196</f>
        <v>0.18442893715418285</v>
      </c>
      <c r="AA196" s="4">
        <f t="shared" ref="AA196:AA259" si="92">U196/V196</f>
        <v>5.2935832851597982E-2</v>
      </c>
      <c r="AB196" s="31">
        <v>0</v>
      </c>
      <c r="AC196" s="31">
        <v>6584</v>
      </c>
      <c r="AD196" s="31">
        <v>96872</v>
      </c>
      <c r="AE196" s="31">
        <v>94000</v>
      </c>
      <c r="AF196" s="31">
        <v>81357</v>
      </c>
      <c r="AG196" s="31">
        <v>14500</v>
      </c>
      <c r="AH196" s="31">
        <v>0</v>
      </c>
      <c r="AI196" s="31">
        <v>95857</v>
      </c>
      <c r="AJ196" s="45">
        <f t="shared" ref="AJ196:AJ259" si="93">AI196/C196</f>
        <v>9.9395479054334306</v>
      </c>
      <c r="AK196" s="31">
        <v>0</v>
      </c>
      <c r="AL196" s="31">
        <v>0</v>
      </c>
      <c r="AM196" s="31">
        <v>0</v>
      </c>
      <c r="AN196" s="31">
        <v>0</v>
      </c>
      <c r="AO196" s="31">
        <v>0</v>
      </c>
      <c r="AP196" s="31">
        <v>10000</v>
      </c>
      <c r="AQ196" s="31">
        <v>10000</v>
      </c>
      <c r="AR196" s="31">
        <v>105857</v>
      </c>
      <c r="AS196" s="46">
        <f t="shared" ref="AS196:AS259" si="94">AR196/C196</f>
        <v>10.976462048942347</v>
      </c>
      <c r="AT196" s="31">
        <v>0</v>
      </c>
      <c r="AU196" s="31">
        <v>0</v>
      </c>
      <c r="AV196" s="31">
        <v>0</v>
      </c>
      <c r="AW196" s="31">
        <v>0</v>
      </c>
      <c r="AX196" s="31">
        <v>0</v>
      </c>
      <c r="AY196" s="31">
        <v>0</v>
      </c>
      <c r="AZ196" s="31">
        <v>0</v>
      </c>
      <c r="BA196" s="31">
        <v>0</v>
      </c>
      <c r="BB196" s="31">
        <v>0</v>
      </c>
      <c r="BC196" s="33" t="s">
        <v>25</v>
      </c>
      <c r="BD196" s="47">
        <v>0</v>
      </c>
      <c r="BE196" s="47">
        <v>35111</v>
      </c>
      <c r="BF196" s="45">
        <f t="shared" ref="BF196:BF259" si="95">BE196/C196</f>
        <v>3.6407092492741602</v>
      </c>
      <c r="BG196" s="30">
        <v>0</v>
      </c>
      <c r="BH196" s="30">
        <v>488</v>
      </c>
      <c r="BI196" s="30">
        <v>0</v>
      </c>
      <c r="BJ196" s="30">
        <v>0</v>
      </c>
      <c r="BK196" s="30">
        <v>1856</v>
      </c>
      <c r="BL196" s="30">
        <v>0</v>
      </c>
      <c r="BM196" s="30">
        <v>0</v>
      </c>
      <c r="BN196" s="30">
        <v>0</v>
      </c>
      <c r="BO196" s="30">
        <v>51</v>
      </c>
      <c r="BP196" s="30">
        <v>0</v>
      </c>
      <c r="BQ196" s="30">
        <v>51</v>
      </c>
      <c r="BR196" s="47">
        <v>0</v>
      </c>
      <c r="BS196" s="47">
        <v>37455</v>
      </c>
      <c r="BT196" s="1">
        <f t="shared" ref="BT196:BT259" si="96">BS196/C196</f>
        <v>3.8837619245126502</v>
      </c>
      <c r="BU196" s="30">
        <v>20</v>
      </c>
      <c r="BV196" s="30">
        <v>0</v>
      </c>
      <c r="BW196" s="47">
        <v>11286</v>
      </c>
      <c r="BX196" s="52">
        <f t="shared" ref="BX196:BX259" si="97">BW196/C196</f>
        <v>1.1702613023641641</v>
      </c>
      <c r="BY196" s="47">
        <v>4489</v>
      </c>
      <c r="BZ196" s="47">
        <v>0</v>
      </c>
      <c r="CA196" s="47">
        <v>10781</v>
      </c>
      <c r="CB196" s="47">
        <v>0</v>
      </c>
      <c r="CC196" s="47">
        <v>15270</v>
      </c>
      <c r="CD196" s="55">
        <f t="shared" ref="CD196:CD259" si="98">CC196/C196</f>
        <v>1.5833678971381169</v>
      </c>
      <c r="CE196" s="3">
        <f t="shared" ref="CE196:CE259" si="99">CC196/DB196</f>
        <v>7830.7692307692314</v>
      </c>
      <c r="CF196" s="55">
        <f t="shared" ref="CF196:CF259" si="100">CC196/DX196</f>
        <v>7.4560546875</v>
      </c>
      <c r="CG196" s="55">
        <f t="shared" ref="CG196:CG259" si="101">CC196/CR196</f>
        <v>0.61550243863114196</v>
      </c>
      <c r="CH196" s="55">
        <f t="shared" ref="CH196:CH259" si="102">(BY196+CA196)/BS196</f>
        <v>0.407689227072487</v>
      </c>
      <c r="CI196" s="30">
        <v>45</v>
      </c>
      <c r="CJ196" s="30">
        <v>0</v>
      </c>
      <c r="CK196" s="30">
        <v>47</v>
      </c>
      <c r="CL196" s="30">
        <v>92</v>
      </c>
      <c r="CM196" s="30">
        <v>1060</v>
      </c>
      <c r="CN196" s="30">
        <v>0</v>
      </c>
      <c r="CO196" s="30">
        <v>227</v>
      </c>
      <c r="CP196" s="30">
        <v>1287</v>
      </c>
      <c r="CQ196" s="1">
        <f t="shared" si="83"/>
        <v>0.13345085026959769</v>
      </c>
      <c r="CR196" s="47">
        <v>24809</v>
      </c>
      <c r="CS196" s="55">
        <f t="shared" ref="CS196:CS259" si="103">CR196/C196</f>
        <v>2.5724802986312731</v>
      </c>
      <c r="CT196" s="59">
        <v>5260</v>
      </c>
      <c r="CU196" s="29" t="s">
        <v>25</v>
      </c>
      <c r="CV196" s="29" t="s">
        <v>25</v>
      </c>
      <c r="CW196" s="29" t="s">
        <v>25</v>
      </c>
      <c r="CX196" s="35">
        <v>0</v>
      </c>
      <c r="CY196" s="49">
        <v>0</v>
      </c>
      <c r="CZ196" s="35">
        <v>1</v>
      </c>
      <c r="DA196" s="35">
        <v>0.95</v>
      </c>
      <c r="DB196" s="35">
        <v>1.95</v>
      </c>
      <c r="DC196" s="49">
        <f t="shared" ref="DC196:DC259" si="104">C196/DB196</f>
        <v>4945.6410256410254</v>
      </c>
      <c r="DD196" s="30">
        <v>282</v>
      </c>
      <c r="DE196" s="31">
        <v>34980</v>
      </c>
      <c r="DF196" s="35">
        <v>40</v>
      </c>
      <c r="DG196" s="29" t="s">
        <v>25</v>
      </c>
      <c r="DH196" s="29" t="s">
        <v>26</v>
      </c>
      <c r="DI196" s="29" t="s">
        <v>26</v>
      </c>
      <c r="DJ196" s="47">
        <v>0</v>
      </c>
      <c r="DK196" s="47">
        <v>0</v>
      </c>
      <c r="DL196" s="47">
        <v>12</v>
      </c>
      <c r="DM196" s="47">
        <v>4541</v>
      </c>
      <c r="DN196" s="47">
        <v>992</v>
      </c>
      <c r="DO196" s="47">
        <v>1214</v>
      </c>
      <c r="DP196" s="29" t="s">
        <v>2028</v>
      </c>
      <c r="DQ196" s="47">
        <v>0</v>
      </c>
      <c r="DR196" s="47">
        <v>2048</v>
      </c>
      <c r="DS196" s="30">
        <v>52</v>
      </c>
      <c r="DT196" s="30">
        <v>40</v>
      </c>
      <c r="DU196" s="30">
        <v>40</v>
      </c>
      <c r="DV196" s="30">
        <v>40</v>
      </c>
      <c r="DX196" s="2">
        <f t="shared" ref="DX196:DX259" si="105">DR196+DW196</f>
        <v>2048</v>
      </c>
      <c r="DY196" s="33" t="s">
        <v>2182</v>
      </c>
      <c r="DZ196" s="33" t="s">
        <v>582</v>
      </c>
      <c r="EA196" s="33" t="s">
        <v>2030</v>
      </c>
      <c r="EB196" s="33" t="s">
        <v>2027</v>
      </c>
      <c r="EC196" s="36">
        <v>157</v>
      </c>
      <c r="ED196" s="29" t="s">
        <v>580</v>
      </c>
      <c r="EE196" s="29" t="s">
        <v>581</v>
      </c>
      <c r="EF196" s="37">
        <v>41548</v>
      </c>
      <c r="EG196" s="37">
        <v>41912</v>
      </c>
      <c r="EH196" s="29" t="s">
        <v>580</v>
      </c>
      <c r="EI196" s="55">
        <f t="shared" ref="EI196:EI259" si="106">BY196/C196</f>
        <v>0.46547075902115304</v>
      </c>
      <c r="EJ196" s="54">
        <f t="shared" ref="EJ196:EJ259" si="107">BZ196/C196</f>
        <v>0</v>
      </c>
      <c r="EK196" s="55">
        <f t="shared" ref="EK196:EK259" si="108">CA196/C196</f>
        <v>1.117897138116964</v>
      </c>
      <c r="EL196" s="54">
        <f t="shared" ref="EL196:EL259" si="109">CB196/C196</f>
        <v>0</v>
      </c>
    </row>
    <row r="197" spans="1:142" ht="28.8" x14ac:dyDescent="0.3">
      <c r="A197" s="29" t="s">
        <v>585</v>
      </c>
      <c r="B197" s="29"/>
      <c r="C197" s="30">
        <v>8658</v>
      </c>
      <c r="D197" s="30">
        <v>0</v>
      </c>
      <c r="E197" s="30">
        <v>0</v>
      </c>
      <c r="F197" s="30">
        <v>6875</v>
      </c>
      <c r="H197" s="2">
        <f t="shared" si="85"/>
        <v>6875</v>
      </c>
      <c r="I197" s="1">
        <f t="shared" si="84"/>
        <v>0.79406329406329401</v>
      </c>
      <c r="J197" s="31">
        <v>112719</v>
      </c>
      <c r="K197" s="31">
        <v>52414</v>
      </c>
      <c r="L197" s="31">
        <v>165133</v>
      </c>
      <c r="M197" s="45">
        <f t="shared" si="86"/>
        <v>19.072880572880575</v>
      </c>
      <c r="N197" s="31">
        <v>26775</v>
      </c>
      <c r="O197" s="31">
        <v>0</v>
      </c>
      <c r="P197" s="31">
        <v>828</v>
      </c>
      <c r="Q197" s="31">
        <v>27603</v>
      </c>
      <c r="R197" s="45">
        <f t="shared" si="87"/>
        <v>3.188149688149688</v>
      </c>
      <c r="S197" s="31">
        <v>26825</v>
      </c>
      <c r="T197" s="31">
        <v>219561</v>
      </c>
      <c r="U197" s="31">
        <v>0</v>
      </c>
      <c r="V197" s="31">
        <v>219561</v>
      </c>
      <c r="W197" s="45">
        <f t="shared" si="88"/>
        <v>25.35932085932086</v>
      </c>
      <c r="X197" s="4">
        <f t="shared" si="89"/>
        <v>0.75210533746885833</v>
      </c>
      <c r="Y197" s="4">
        <f t="shared" si="90"/>
        <v>0.12571904846489129</v>
      </c>
      <c r="Z197" s="4">
        <f t="shared" si="91"/>
        <v>0.12217561406625038</v>
      </c>
      <c r="AA197" s="4">
        <f t="shared" si="92"/>
        <v>0</v>
      </c>
      <c r="AB197" s="31">
        <v>0</v>
      </c>
      <c r="AC197" s="31">
        <v>27603</v>
      </c>
      <c r="AD197" s="31">
        <v>219561</v>
      </c>
      <c r="AE197" s="31">
        <v>215851</v>
      </c>
      <c r="AF197" s="31">
        <v>0</v>
      </c>
      <c r="AG197" s="31">
        <v>215851</v>
      </c>
      <c r="AH197" s="31">
        <v>0</v>
      </c>
      <c r="AI197" s="31">
        <v>215851</v>
      </c>
      <c r="AJ197" s="45">
        <f t="shared" si="93"/>
        <v>24.930815430815432</v>
      </c>
      <c r="AK197" s="31">
        <v>0</v>
      </c>
      <c r="AL197" s="31">
        <v>0</v>
      </c>
      <c r="AM197" s="31">
        <v>0</v>
      </c>
      <c r="AN197" s="31">
        <v>0</v>
      </c>
      <c r="AO197" s="31">
        <v>0</v>
      </c>
      <c r="AP197" s="31">
        <v>3710</v>
      </c>
      <c r="AQ197" s="31">
        <v>3710</v>
      </c>
      <c r="AR197" s="31">
        <v>219561</v>
      </c>
      <c r="AS197" s="46">
        <f t="shared" si="94"/>
        <v>25.35932085932086</v>
      </c>
      <c r="AT197" s="31">
        <v>0</v>
      </c>
      <c r="AU197" s="31">
        <v>0</v>
      </c>
      <c r="AV197" s="31">
        <v>0</v>
      </c>
      <c r="AW197" s="31">
        <v>0</v>
      </c>
      <c r="AX197" s="31">
        <v>0</v>
      </c>
      <c r="AY197" s="31">
        <v>0</v>
      </c>
      <c r="AZ197" s="31">
        <v>0</v>
      </c>
      <c r="BA197" s="31">
        <v>0</v>
      </c>
      <c r="BB197" s="31">
        <v>0</v>
      </c>
      <c r="BC197" s="33" t="s">
        <v>25</v>
      </c>
      <c r="BD197" s="47">
        <v>46603</v>
      </c>
      <c r="BE197" s="47">
        <v>47494</v>
      </c>
      <c r="BF197" s="45">
        <f t="shared" si="95"/>
        <v>5.4855624855624852</v>
      </c>
      <c r="BG197" s="30">
        <v>738</v>
      </c>
      <c r="BH197" s="30">
        <v>741</v>
      </c>
      <c r="BI197" s="30">
        <v>0</v>
      </c>
      <c r="BJ197" s="30">
        <v>842</v>
      </c>
      <c r="BK197" s="30">
        <v>866</v>
      </c>
      <c r="BL197" s="30">
        <v>0</v>
      </c>
      <c r="BM197" s="30">
        <v>0</v>
      </c>
      <c r="BN197" s="30">
        <v>0</v>
      </c>
      <c r="BO197" s="30">
        <v>51</v>
      </c>
      <c r="BP197" s="30">
        <v>0</v>
      </c>
      <c r="BQ197" s="30">
        <v>51</v>
      </c>
      <c r="BR197" s="47">
        <v>48183</v>
      </c>
      <c r="BS197" s="47">
        <v>49101</v>
      </c>
      <c r="BT197" s="1">
        <f t="shared" si="96"/>
        <v>5.6711711711711708</v>
      </c>
      <c r="BU197" s="30">
        <v>40</v>
      </c>
      <c r="BV197" s="30">
        <v>0</v>
      </c>
      <c r="BW197" s="47">
        <v>3817</v>
      </c>
      <c r="BX197" s="52">
        <f t="shared" si="97"/>
        <v>0.44086394086394087</v>
      </c>
      <c r="BY197" s="47">
        <v>9215</v>
      </c>
      <c r="BZ197" s="47">
        <v>0</v>
      </c>
      <c r="CA197" s="47">
        <v>23695</v>
      </c>
      <c r="CB197" s="47">
        <v>0</v>
      </c>
      <c r="CC197" s="47">
        <v>32910</v>
      </c>
      <c r="CD197" s="55">
        <f t="shared" si="98"/>
        <v>3.8011088011088012</v>
      </c>
      <c r="CE197" s="3">
        <f t="shared" si="99"/>
        <v>10970</v>
      </c>
      <c r="CF197" s="55">
        <f t="shared" si="100"/>
        <v>16.790816326530614</v>
      </c>
      <c r="CG197" s="55">
        <f t="shared" si="101"/>
        <v>1.3584017831345194</v>
      </c>
      <c r="CH197" s="55">
        <f t="shared" si="102"/>
        <v>0.67025111504857338</v>
      </c>
      <c r="CI197" s="30">
        <v>4</v>
      </c>
      <c r="CJ197" s="30">
        <v>0</v>
      </c>
      <c r="CK197" s="30">
        <v>0</v>
      </c>
      <c r="CL197" s="30">
        <v>4</v>
      </c>
      <c r="CM197" s="30">
        <v>315</v>
      </c>
      <c r="CN197" s="30">
        <v>0</v>
      </c>
      <c r="CO197" s="30">
        <v>0</v>
      </c>
      <c r="CP197" s="30">
        <v>315</v>
      </c>
      <c r="CQ197" s="1">
        <f t="shared" ref="CQ197:CQ260" si="110">CP197/C197</f>
        <v>3.6382536382536385E-2</v>
      </c>
      <c r="CR197" s="47">
        <v>24227</v>
      </c>
      <c r="CS197" s="55">
        <f t="shared" si="103"/>
        <v>2.7982212982212982</v>
      </c>
      <c r="CT197" s="59">
        <v>10335</v>
      </c>
      <c r="CU197" s="29" t="s">
        <v>25</v>
      </c>
      <c r="CV197" s="29" t="s">
        <v>25</v>
      </c>
      <c r="CW197" s="29" t="s">
        <v>25</v>
      </c>
      <c r="CX197" s="35">
        <v>0</v>
      </c>
      <c r="CY197" s="49">
        <v>0</v>
      </c>
      <c r="CZ197" s="35">
        <v>1</v>
      </c>
      <c r="DA197" s="35">
        <v>2</v>
      </c>
      <c r="DB197" s="35">
        <v>3</v>
      </c>
      <c r="DC197" s="49">
        <f t="shared" si="104"/>
        <v>2886</v>
      </c>
      <c r="DD197" s="30">
        <v>0</v>
      </c>
      <c r="DE197" s="31">
        <v>42077</v>
      </c>
      <c r="DF197" s="35">
        <v>40</v>
      </c>
      <c r="DG197" s="29" t="s">
        <v>25</v>
      </c>
      <c r="DH197" s="29" t="s">
        <v>26</v>
      </c>
      <c r="DI197" s="29" t="s">
        <v>26</v>
      </c>
      <c r="DJ197" s="47">
        <v>485</v>
      </c>
      <c r="DK197" s="47">
        <v>0</v>
      </c>
      <c r="DL197" s="47">
        <v>8</v>
      </c>
      <c r="DM197" s="47">
        <v>7197</v>
      </c>
      <c r="DN197" s="47">
        <v>17</v>
      </c>
      <c r="DO197" s="47">
        <v>687</v>
      </c>
      <c r="DP197" s="29" t="s">
        <v>83</v>
      </c>
      <c r="DQ197" s="47">
        <v>0</v>
      </c>
      <c r="DR197" s="47">
        <v>1960</v>
      </c>
      <c r="DS197" s="30">
        <v>52</v>
      </c>
      <c r="DT197" s="30">
        <v>40</v>
      </c>
      <c r="DU197" s="30">
        <v>40</v>
      </c>
      <c r="DV197" s="30">
        <v>40</v>
      </c>
      <c r="DX197" s="2">
        <f t="shared" si="105"/>
        <v>1960</v>
      </c>
      <c r="DY197" s="33" t="s">
        <v>2181</v>
      </c>
      <c r="DZ197" s="33" t="s">
        <v>587</v>
      </c>
      <c r="EA197" s="33" t="s">
        <v>2031</v>
      </c>
      <c r="EB197" s="33" t="s">
        <v>2027</v>
      </c>
      <c r="EC197" s="36">
        <v>158</v>
      </c>
      <c r="ED197" s="29" t="s">
        <v>583</v>
      </c>
      <c r="EE197" s="29" t="s">
        <v>584</v>
      </c>
      <c r="EF197" s="37">
        <v>41548</v>
      </c>
      <c r="EG197" s="37">
        <v>41912</v>
      </c>
      <c r="EH197" s="29" t="s">
        <v>583</v>
      </c>
      <c r="EI197" s="55">
        <f t="shared" si="106"/>
        <v>1.0643335643335643</v>
      </c>
      <c r="EJ197" s="54">
        <f t="shared" si="107"/>
        <v>0</v>
      </c>
      <c r="EK197" s="55">
        <f t="shared" si="108"/>
        <v>2.7367752367752369</v>
      </c>
      <c r="EL197" s="54">
        <f t="shared" si="109"/>
        <v>0</v>
      </c>
    </row>
    <row r="198" spans="1:142" ht="28.8" x14ac:dyDescent="0.3">
      <c r="A198" s="29" t="s">
        <v>1466</v>
      </c>
      <c r="B198" s="29"/>
      <c r="C198" s="30">
        <v>4907</v>
      </c>
      <c r="D198" s="30">
        <v>0</v>
      </c>
      <c r="E198" s="30">
        <v>0</v>
      </c>
      <c r="F198" s="30">
        <v>3100</v>
      </c>
      <c r="H198" s="2">
        <f t="shared" si="85"/>
        <v>3100</v>
      </c>
      <c r="I198" s="1">
        <f t="shared" si="84"/>
        <v>0.63175056042388422</v>
      </c>
      <c r="J198" s="31">
        <v>34108</v>
      </c>
      <c r="K198" s="31">
        <v>350</v>
      </c>
      <c r="L198" s="31">
        <v>34458</v>
      </c>
      <c r="M198" s="45">
        <f t="shared" si="86"/>
        <v>7.0222131648665176</v>
      </c>
      <c r="N198" s="31">
        <v>12665</v>
      </c>
      <c r="O198" s="31">
        <v>1500</v>
      </c>
      <c r="P198" s="31">
        <v>950</v>
      </c>
      <c r="Q198" s="31">
        <v>15115</v>
      </c>
      <c r="R198" s="45">
        <f t="shared" si="87"/>
        <v>3.0802934583248422</v>
      </c>
      <c r="S198" s="31">
        <v>15000</v>
      </c>
      <c r="T198" s="31">
        <v>64573</v>
      </c>
      <c r="U198" s="31">
        <v>8894</v>
      </c>
      <c r="V198" s="31">
        <v>73467</v>
      </c>
      <c r="W198" s="45">
        <f t="shared" si="88"/>
        <v>14.971876910535968</v>
      </c>
      <c r="X198" s="4">
        <f t="shared" si="89"/>
        <v>0.46902691004124303</v>
      </c>
      <c r="Y198" s="4">
        <f t="shared" si="90"/>
        <v>0.20573863094995032</v>
      </c>
      <c r="Z198" s="4">
        <f t="shared" si="91"/>
        <v>0.20417330229899139</v>
      </c>
      <c r="AA198" s="4">
        <f t="shared" si="92"/>
        <v>0.12106115670981529</v>
      </c>
      <c r="AB198" s="31">
        <v>0</v>
      </c>
      <c r="AC198" s="31">
        <v>15115</v>
      </c>
      <c r="AD198" s="31">
        <v>73467</v>
      </c>
      <c r="AE198" s="31">
        <v>58000</v>
      </c>
      <c r="AF198" s="31">
        <v>28000</v>
      </c>
      <c r="AG198" s="31">
        <v>30000</v>
      </c>
      <c r="AH198" s="31">
        <v>0</v>
      </c>
      <c r="AI198" s="31">
        <v>58000</v>
      </c>
      <c r="AJ198" s="45">
        <f t="shared" si="93"/>
        <v>11.819849195027512</v>
      </c>
      <c r="AK198" s="31">
        <v>0</v>
      </c>
      <c r="AL198" s="31">
        <v>0</v>
      </c>
      <c r="AM198" s="31">
        <v>0</v>
      </c>
      <c r="AN198" s="31">
        <v>0</v>
      </c>
      <c r="AO198" s="31">
        <v>0</v>
      </c>
      <c r="AP198" s="31">
        <v>0</v>
      </c>
      <c r="AQ198" s="31">
        <v>0</v>
      </c>
      <c r="AR198" s="31">
        <v>58000</v>
      </c>
      <c r="AS198" s="46">
        <f t="shared" si="94"/>
        <v>11.819849195027512</v>
      </c>
      <c r="AT198" s="31">
        <v>0</v>
      </c>
      <c r="AU198" s="31">
        <v>0</v>
      </c>
      <c r="AV198" s="31">
        <v>0</v>
      </c>
      <c r="AW198" s="31">
        <v>0</v>
      </c>
      <c r="AX198" s="31">
        <v>0</v>
      </c>
      <c r="AY198" s="31">
        <v>0</v>
      </c>
      <c r="AZ198" s="31">
        <v>0</v>
      </c>
      <c r="BA198" s="31">
        <v>0</v>
      </c>
      <c r="BB198" s="31">
        <v>0</v>
      </c>
      <c r="BC198" s="33" t="s">
        <v>25</v>
      </c>
      <c r="BD198" s="47">
        <v>11636</v>
      </c>
      <c r="BE198" s="47">
        <v>11656</v>
      </c>
      <c r="BF198" s="45">
        <f t="shared" si="95"/>
        <v>2.3753821071938046</v>
      </c>
      <c r="BG198" s="30">
        <v>215</v>
      </c>
      <c r="BH198" s="30">
        <v>215</v>
      </c>
      <c r="BI198" s="30">
        <v>971</v>
      </c>
      <c r="BJ198" s="30">
        <v>961</v>
      </c>
      <c r="BK198" s="30">
        <v>961</v>
      </c>
      <c r="BL198" s="30">
        <v>75</v>
      </c>
      <c r="BM198" s="30">
        <v>5205</v>
      </c>
      <c r="BN198" s="30">
        <v>0</v>
      </c>
      <c r="BO198" s="30">
        <v>51</v>
      </c>
      <c r="BP198" s="30">
        <v>1</v>
      </c>
      <c r="BQ198" s="30">
        <v>52</v>
      </c>
      <c r="BR198" s="47">
        <v>12812</v>
      </c>
      <c r="BS198" s="47">
        <v>19083</v>
      </c>
      <c r="BT198" s="1">
        <f t="shared" si="96"/>
        <v>3.8889341756674138</v>
      </c>
      <c r="BU198" s="30">
        <v>2</v>
      </c>
      <c r="BV198" s="30">
        <v>0</v>
      </c>
      <c r="BW198" s="47">
        <v>3200</v>
      </c>
      <c r="BX198" s="52">
        <f t="shared" si="97"/>
        <v>0.65212961076013853</v>
      </c>
      <c r="BY198" s="47">
        <v>3723</v>
      </c>
      <c r="BZ198" s="47">
        <v>0</v>
      </c>
      <c r="CA198" s="47">
        <v>7913</v>
      </c>
      <c r="CB198" s="47">
        <v>885</v>
      </c>
      <c r="CC198" s="47">
        <v>12521</v>
      </c>
      <c r="CD198" s="55">
        <f t="shared" si="98"/>
        <v>2.5516608926024049</v>
      </c>
      <c r="CE198" s="3">
        <f t="shared" si="99"/>
        <v>8347.3333333333339</v>
      </c>
      <c r="CF198" s="55">
        <f t="shared" si="100"/>
        <v>7.1507709880068528</v>
      </c>
      <c r="CG198" s="55">
        <f t="shared" si="101"/>
        <v>1.0987188487188486</v>
      </c>
      <c r="CH198" s="55">
        <f t="shared" si="102"/>
        <v>0.60975737567468424</v>
      </c>
      <c r="CI198" s="30">
        <v>35</v>
      </c>
      <c r="CJ198" s="30">
        <v>0</v>
      </c>
      <c r="CK198" s="30">
        <v>11</v>
      </c>
      <c r="CL198" s="30">
        <v>46</v>
      </c>
      <c r="CM198" s="30">
        <v>375</v>
      </c>
      <c r="CN198" s="30">
        <v>0</v>
      </c>
      <c r="CO198" s="30">
        <v>54</v>
      </c>
      <c r="CP198" s="30">
        <v>429</v>
      </c>
      <c r="CQ198" s="1">
        <f t="shared" si="110"/>
        <v>8.7426125942531074E-2</v>
      </c>
      <c r="CR198" s="47">
        <v>11396</v>
      </c>
      <c r="CS198" s="55">
        <f t="shared" si="103"/>
        <v>2.3223965763195435</v>
      </c>
      <c r="CT198" s="59">
        <v>2295</v>
      </c>
      <c r="CU198" s="29" t="s">
        <v>25</v>
      </c>
      <c r="CV198" s="29" t="s">
        <v>25</v>
      </c>
      <c r="CW198" s="29" t="s">
        <v>25</v>
      </c>
      <c r="CX198" s="35">
        <v>0</v>
      </c>
      <c r="CY198" s="49">
        <v>0</v>
      </c>
      <c r="CZ198" s="35">
        <v>0.875</v>
      </c>
      <c r="DA198" s="35">
        <v>0.625</v>
      </c>
      <c r="DB198" s="35">
        <v>1.5</v>
      </c>
      <c r="DC198" s="49">
        <f t="shared" si="104"/>
        <v>3271.3333333333335</v>
      </c>
      <c r="DD198" s="30">
        <v>2107</v>
      </c>
      <c r="DE198" s="31">
        <v>21840</v>
      </c>
      <c r="DF198" s="35">
        <v>35</v>
      </c>
      <c r="DG198" s="29" t="s">
        <v>25</v>
      </c>
      <c r="DH198" s="29" t="s">
        <v>25</v>
      </c>
      <c r="DI198" s="29" t="s">
        <v>25</v>
      </c>
      <c r="DJ198" s="47">
        <v>41</v>
      </c>
      <c r="DK198" s="47">
        <v>15</v>
      </c>
      <c r="DL198" s="47">
        <v>14</v>
      </c>
      <c r="DM198" s="47">
        <v>4911</v>
      </c>
      <c r="DN198" s="47">
        <v>103</v>
      </c>
      <c r="DO198" s="47">
        <v>254</v>
      </c>
      <c r="DP198" s="29" t="s">
        <v>2028</v>
      </c>
      <c r="DQ198" s="47">
        <v>0</v>
      </c>
      <c r="DR198" s="47">
        <v>1751</v>
      </c>
      <c r="DS198" s="30">
        <v>52</v>
      </c>
      <c r="DT198" s="30">
        <v>35</v>
      </c>
      <c r="DU198" s="30">
        <v>35</v>
      </c>
      <c r="DV198" s="30">
        <v>35</v>
      </c>
      <c r="DX198" s="2">
        <f t="shared" si="105"/>
        <v>1751</v>
      </c>
      <c r="DY198" s="33" t="s">
        <v>2186</v>
      </c>
      <c r="DZ198" s="33" t="s">
        <v>1469</v>
      </c>
      <c r="EA198" s="33" t="s">
        <v>2035</v>
      </c>
      <c r="EB198" s="33" t="s">
        <v>2027</v>
      </c>
      <c r="EC198" s="36">
        <v>464</v>
      </c>
      <c r="ED198" s="29" t="s">
        <v>1467</v>
      </c>
      <c r="EE198" s="29" t="s">
        <v>1468</v>
      </c>
      <c r="EF198" s="37">
        <v>41548</v>
      </c>
      <c r="EG198" s="37">
        <v>41912</v>
      </c>
      <c r="EH198" s="29" t="s">
        <v>1467</v>
      </c>
      <c r="EI198" s="55">
        <f t="shared" si="106"/>
        <v>0.7587120440187487</v>
      </c>
      <c r="EJ198" s="54">
        <f t="shared" si="107"/>
        <v>0</v>
      </c>
      <c r="EK198" s="55">
        <f t="shared" si="108"/>
        <v>1.6125942531078052</v>
      </c>
      <c r="EL198" s="54">
        <f t="shared" si="109"/>
        <v>0.18035459547585084</v>
      </c>
    </row>
    <row r="199" spans="1:142" ht="28.8" x14ac:dyDescent="0.3">
      <c r="A199" s="29" t="s">
        <v>1505</v>
      </c>
      <c r="B199" s="29"/>
      <c r="C199" s="30">
        <v>7465</v>
      </c>
      <c r="D199" s="30">
        <v>0</v>
      </c>
      <c r="E199" s="30">
        <v>0</v>
      </c>
      <c r="F199" s="30">
        <v>9000</v>
      </c>
      <c r="H199" s="2">
        <f t="shared" si="85"/>
        <v>9000</v>
      </c>
      <c r="I199" s="1">
        <f t="shared" si="84"/>
        <v>1.2056262558606832</v>
      </c>
      <c r="J199" s="31">
        <v>68615</v>
      </c>
      <c r="K199" s="31">
        <v>26123</v>
      </c>
      <c r="L199" s="31">
        <v>94738</v>
      </c>
      <c r="M199" s="45">
        <f t="shared" si="86"/>
        <v>12.690957803081044</v>
      </c>
      <c r="N199" s="31">
        <v>11516</v>
      </c>
      <c r="O199" s="31">
        <v>1000</v>
      </c>
      <c r="P199" s="31">
        <v>1420</v>
      </c>
      <c r="Q199" s="31">
        <v>13936</v>
      </c>
      <c r="R199" s="45">
        <f t="shared" si="87"/>
        <v>1.8668452779638312</v>
      </c>
      <c r="S199" s="31">
        <v>25292</v>
      </c>
      <c r="T199" s="31">
        <v>133966</v>
      </c>
      <c r="U199" s="31">
        <v>0</v>
      </c>
      <c r="V199" s="31">
        <v>133966</v>
      </c>
      <c r="W199" s="45">
        <f t="shared" si="88"/>
        <v>17.945880776959143</v>
      </c>
      <c r="X199" s="4">
        <f t="shared" si="89"/>
        <v>0.70717943358762669</v>
      </c>
      <c r="Y199" s="4">
        <f t="shared" si="90"/>
        <v>0.10402639475687861</v>
      </c>
      <c r="Z199" s="4">
        <f t="shared" si="91"/>
        <v>0.18879417165549467</v>
      </c>
      <c r="AA199" s="4">
        <f t="shared" si="92"/>
        <v>0</v>
      </c>
      <c r="AB199" s="31">
        <v>0</v>
      </c>
      <c r="AC199" s="31">
        <v>13936</v>
      </c>
      <c r="AD199" s="31">
        <v>133966</v>
      </c>
      <c r="AE199" s="31">
        <v>133966</v>
      </c>
      <c r="AF199" s="31">
        <v>0</v>
      </c>
      <c r="AG199" s="31">
        <v>136715</v>
      </c>
      <c r="AH199" s="31">
        <v>0</v>
      </c>
      <c r="AI199" s="31">
        <v>136715</v>
      </c>
      <c r="AJ199" s="45">
        <f t="shared" si="93"/>
        <v>18.314132618888145</v>
      </c>
      <c r="AK199" s="31">
        <v>0</v>
      </c>
      <c r="AL199" s="31">
        <v>0</v>
      </c>
      <c r="AM199" s="31">
        <v>0</v>
      </c>
      <c r="AN199" s="31">
        <v>0</v>
      </c>
      <c r="AO199" s="31">
        <v>0</v>
      </c>
      <c r="AP199" s="31">
        <v>45588</v>
      </c>
      <c r="AQ199" s="31">
        <v>45588</v>
      </c>
      <c r="AR199" s="31">
        <v>182303</v>
      </c>
      <c r="AS199" s="46">
        <f t="shared" si="94"/>
        <v>24.421031480241126</v>
      </c>
      <c r="AT199" s="31">
        <v>0</v>
      </c>
      <c r="AU199" s="31">
        <v>0</v>
      </c>
      <c r="AV199" s="31">
        <v>0</v>
      </c>
      <c r="AW199" s="31">
        <v>0</v>
      </c>
      <c r="AX199" s="31">
        <v>0</v>
      </c>
      <c r="AY199" s="31">
        <v>0</v>
      </c>
      <c r="AZ199" s="31">
        <v>0</v>
      </c>
      <c r="BA199" s="31">
        <v>0</v>
      </c>
      <c r="BB199" s="31">
        <v>0</v>
      </c>
      <c r="BC199" s="33" t="s">
        <v>25</v>
      </c>
      <c r="BD199" s="47">
        <v>24615</v>
      </c>
      <c r="BE199" s="47">
        <v>24750</v>
      </c>
      <c r="BF199" s="45">
        <f t="shared" si="95"/>
        <v>3.3154722036168787</v>
      </c>
      <c r="BG199" s="30">
        <v>291</v>
      </c>
      <c r="BH199" s="30">
        <v>311</v>
      </c>
      <c r="BI199" s="30">
        <v>311</v>
      </c>
      <c r="BJ199" s="30">
        <v>1570</v>
      </c>
      <c r="BK199" s="30">
        <v>1580</v>
      </c>
      <c r="BL199" s="30">
        <v>1580</v>
      </c>
      <c r="BM199" s="30">
        <v>95</v>
      </c>
      <c r="BN199" s="30">
        <v>0</v>
      </c>
      <c r="BO199" s="30">
        <v>51</v>
      </c>
      <c r="BP199" s="30">
        <v>0</v>
      </c>
      <c r="BQ199" s="30">
        <v>51</v>
      </c>
      <c r="BR199" s="47">
        <v>26476</v>
      </c>
      <c r="BS199" s="47">
        <v>28627</v>
      </c>
      <c r="BT199" s="1">
        <f t="shared" si="96"/>
        <v>3.8348292029470863</v>
      </c>
      <c r="BU199" s="30">
        <v>35</v>
      </c>
      <c r="BV199" s="30">
        <v>0</v>
      </c>
      <c r="BW199" s="47">
        <v>1423</v>
      </c>
      <c r="BX199" s="52">
        <f t="shared" si="97"/>
        <v>0.19062290689886136</v>
      </c>
      <c r="BY199" s="47">
        <v>3662</v>
      </c>
      <c r="BZ199" s="47">
        <v>156</v>
      </c>
      <c r="CA199" s="47">
        <v>11126</v>
      </c>
      <c r="CB199" s="47">
        <v>1666</v>
      </c>
      <c r="CC199" s="47">
        <v>16610</v>
      </c>
      <c r="CD199" s="55">
        <f t="shared" si="98"/>
        <v>2.2250502344273277</v>
      </c>
      <c r="CE199" s="3">
        <f t="shared" si="99"/>
        <v>6327.6190476190477</v>
      </c>
      <c r="CF199" s="55">
        <f t="shared" si="100"/>
        <v>8.3719758064516121</v>
      </c>
      <c r="CG199" s="55">
        <f t="shared" si="101"/>
        <v>0.80257054503285663</v>
      </c>
      <c r="CH199" s="55">
        <f t="shared" si="102"/>
        <v>0.51657526111712715</v>
      </c>
      <c r="CI199" s="30">
        <v>42</v>
      </c>
      <c r="CJ199" s="30">
        <v>13</v>
      </c>
      <c r="CK199" s="30">
        <v>2</v>
      </c>
      <c r="CL199" s="30">
        <v>57</v>
      </c>
      <c r="CM199" s="30">
        <v>1114</v>
      </c>
      <c r="CN199" s="30">
        <v>130</v>
      </c>
      <c r="CO199" s="30">
        <v>150</v>
      </c>
      <c r="CP199" s="30">
        <v>1394</v>
      </c>
      <c r="CQ199" s="1">
        <f t="shared" si="110"/>
        <v>0.18673811118553249</v>
      </c>
      <c r="CR199" s="47">
        <v>20696</v>
      </c>
      <c r="CS199" s="55">
        <f t="shared" si="103"/>
        <v>2.7724045545880776</v>
      </c>
      <c r="CT199" s="59">
        <v>5901</v>
      </c>
      <c r="CU199" s="29" t="s">
        <v>25</v>
      </c>
      <c r="CV199" s="29" t="s">
        <v>25</v>
      </c>
      <c r="CW199" s="29" t="s">
        <v>25</v>
      </c>
      <c r="CX199" s="35">
        <v>0</v>
      </c>
      <c r="CY199" s="49">
        <v>0</v>
      </c>
      <c r="CZ199" s="35">
        <v>1</v>
      </c>
      <c r="DA199" s="35">
        <v>1.625</v>
      </c>
      <c r="DB199" s="35">
        <v>2.625</v>
      </c>
      <c r="DC199" s="49">
        <f t="shared" si="104"/>
        <v>2843.8095238095239</v>
      </c>
      <c r="DD199" s="30">
        <v>461</v>
      </c>
      <c r="DE199" s="31">
        <v>30618</v>
      </c>
      <c r="DF199" s="35">
        <v>40</v>
      </c>
      <c r="DG199" s="29" t="s">
        <v>25</v>
      </c>
      <c r="DH199" s="29" t="s">
        <v>25</v>
      </c>
      <c r="DI199" s="29" t="s">
        <v>25</v>
      </c>
      <c r="DJ199" s="47">
        <v>58</v>
      </c>
      <c r="DK199" s="47">
        <v>49</v>
      </c>
      <c r="DL199" s="47">
        <v>8</v>
      </c>
      <c r="DM199" s="47">
        <v>1867</v>
      </c>
      <c r="DN199" s="47">
        <v>150</v>
      </c>
      <c r="DO199" s="47">
        <v>0</v>
      </c>
      <c r="DP199" s="29" t="s">
        <v>2028</v>
      </c>
      <c r="DQ199" s="47">
        <v>0</v>
      </c>
      <c r="DR199" s="47">
        <v>1984</v>
      </c>
      <c r="DS199" s="30">
        <v>52</v>
      </c>
      <c r="DT199" s="30">
        <v>40</v>
      </c>
      <c r="DU199" s="30">
        <v>40</v>
      </c>
      <c r="DV199" s="30">
        <v>40</v>
      </c>
      <c r="DX199" s="2">
        <f t="shared" si="105"/>
        <v>1984</v>
      </c>
      <c r="DY199" s="33" t="s">
        <v>2180</v>
      </c>
      <c r="DZ199" s="33" t="s">
        <v>1507</v>
      </c>
      <c r="EA199" s="33" t="s">
        <v>2031</v>
      </c>
      <c r="EB199" s="33" t="s">
        <v>2027</v>
      </c>
      <c r="EC199" s="36">
        <v>482</v>
      </c>
      <c r="ED199" s="29" t="s">
        <v>1506</v>
      </c>
      <c r="EE199" s="29" t="s">
        <v>1505</v>
      </c>
      <c r="EF199" s="37">
        <v>41548</v>
      </c>
      <c r="EG199" s="37">
        <v>41912</v>
      </c>
      <c r="EH199" s="29" t="s">
        <v>1506</v>
      </c>
      <c r="EI199" s="55">
        <f t="shared" si="106"/>
        <v>0.49055592766242467</v>
      </c>
      <c r="EJ199" s="54">
        <f t="shared" si="107"/>
        <v>2.0897521768251843E-2</v>
      </c>
      <c r="EK199" s="55">
        <f t="shared" si="108"/>
        <v>1.4904219691895513</v>
      </c>
      <c r="EL199" s="54">
        <f t="shared" si="109"/>
        <v>0.2231748158070998</v>
      </c>
    </row>
    <row r="200" spans="1:142" ht="28.8" x14ac:dyDescent="0.3">
      <c r="A200" s="29" t="s">
        <v>588</v>
      </c>
      <c r="B200" s="29"/>
      <c r="C200" s="30">
        <v>7410</v>
      </c>
      <c r="D200" s="30">
        <v>0</v>
      </c>
      <c r="E200" s="30">
        <v>0</v>
      </c>
      <c r="F200" s="30">
        <v>4200</v>
      </c>
      <c r="H200" s="2">
        <f t="shared" si="85"/>
        <v>4200</v>
      </c>
      <c r="I200" s="1">
        <f t="shared" si="84"/>
        <v>0.5668016194331984</v>
      </c>
      <c r="J200" s="31">
        <v>122263</v>
      </c>
      <c r="K200" s="31">
        <v>33600</v>
      </c>
      <c r="L200" s="31">
        <v>155863</v>
      </c>
      <c r="M200" s="45">
        <f t="shared" si="86"/>
        <v>21.034143049932524</v>
      </c>
      <c r="N200" s="31">
        <v>30027</v>
      </c>
      <c r="O200" s="31">
        <v>2700</v>
      </c>
      <c r="P200" s="31">
        <v>15172</v>
      </c>
      <c r="Q200" s="31">
        <v>47899</v>
      </c>
      <c r="R200" s="45">
        <f t="shared" si="87"/>
        <v>6.4641025641025642</v>
      </c>
      <c r="S200" s="31">
        <v>18346</v>
      </c>
      <c r="T200" s="31">
        <v>222108</v>
      </c>
      <c r="U200" s="31">
        <v>0</v>
      </c>
      <c r="V200" s="31">
        <v>222108</v>
      </c>
      <c r="W200" s="45">
        <f t="shared" si="88"/>
        <v>29.974089068825911</v>
      </c>
      <c r="X200" s="4">
        <f t="shared" si="89"/>
        <v>0.7017441965170097</v>
      </c>
      <c r="Y200" s="4">
        <f t="shared" si="90"/>
        <v>0.21565634736254435</v>
      </c>
      <c r="Z200" s="4">
        <f t="shared" si="91"/>
        <v>8.2599456120445905E-2</v>
      </c>
      <c r="AA200" s="4">
        <f t="shared" si="92"/>
        <v>0</v>
      </c>
      <c r="AB200" s="31">
        <v>0</v>
      </c>
      <c r="AC200" s="31">
        <v>45199</v>
      </c>
      <c r="AD200" s="31">
        <v>197998</v>
      </c>
      <c r="AE200" s="31">
        <v>184864</v>
      </c>
      <c r="AF200" s="31">
        <v>215812</v>
      </c>
      <c r="AG200" s="31">
        <v>0</v>
      </c>
      <c r="AH200" s="31">
        <v>0</v>
      </c>
      <c r="AI200" s="31">
        <v>215812</v>
      </c>
      <c r="AJ200" s="45">
        <f t="shared" si="93"/>
        <v>29.124426450742241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22897</v>
      </c>
      <c r="AQ200" s="31">
        <v>22897</v>
      </c>
      <c r="AR200" s="31">
        <v>238709</v>
      </c>
      <c r="AS200" s="46">
        <f t="shared" si="94"/>
        <v>32.214439946018892</v>
      </c>
      <c r="AT200" s="31">
        <v>0</v>
      </c>
      <c r="AU200" s="31">
        <v>0</v>
      </c>
      <c r="AV200" s="31">
        <v>0</v>
      </c>
      <c r="AW200" s="31">
        <v>0</v>
      </c>
      <c r="AX200" s="31">
        <v>0</v>
      </c>
      <c r="AY200" s="31">
        <v>0</v>
      </c>
      <c r="AZ200" s="31">
        <v>0</v>
      </c>
      <c r="BA200" s="31">
        <v>0</v>
      </c>
      <c r="BB200" s="31">
        <v>0</v>
      </c>
      <c r="BC200" s="33" t="s">
        <v>25</v>
      </c>
      <c r="BD200" s="47">
        <v>0</v>
      </c>
      <c r="BE200" s="47">
        <v>29782</v>
      </c>
      <c r="BF200" s="45">
        <f t="shared" si="95"/>
        <v>4.0191632928475034</v>
      </c>
      <c r="BG200" s="30">
        <v>0</v>
      </c>
      <c r="BH200" s="30">
        <v>808</v>
      </c>
      <c r="BI200" s="30">
        <v>1048</v>
      </c>
      <c r="BJ200" s="30">
        <v>0</v>
      </c>
      <c r="BK200" s="30">
        <v>3464</v>
      </c>
      <c r="BL200" s="30">
        <v>0</v>
      </c>
      <c r="BM200" s="30">
        <v>31931</v>
      </c>
      <c r="BN200" s="30">
        <v>2</v>
      </c>
      <c r="BO200" s="30">
        <v>51</v>
      </c>
      <c r="BP200" s="30">
        <v>1</v>
      </c>
      <c r="BQ200" s="30">
        <v>54</v>
      </c>
      <c r="BR200" s="47">
        <v>0</v>
      </c>
      <c r="BS200" s="47">
        <v>67035</v>
      </c>
      <c r="BT200" s="1">
        <f t="shared" si="96"/>
        <v>9.0465587044534406</v>
      </c>
      <c r="BU200" s="30">
        <v>54</v>
      </c>
      <c r="BV200" s="30">
        <v>0</v>
      </c>
      <c r="BW200" s="47">
        <v>2100</v>
      </c>
      <c r="BX200" s="52">
        <f t="shared" si="97"/>
        <v>0.2834008097165992</v>
      </c>
      <c r="BY200" s="47">
        <v>11347</v>
      </c>
      <c r="BZ200" s="47">
        <v>276</v>
      </c>
      <c r="CA200" s="47">
        <v>40079</v>
      </c>
      <c r="CB200" s="47">
        <v>1347</v>
      </c>
      <c r="CC200" s="47">
        <v>53049</v>
      </c>
      <c r="CD200" s="55">
        <f t="shared" si="98"/>
        <v>7.1591093117408908</v>
      </c>
      <c r="CE200" s="3">
        <f t="shared" si="99"/>
        <v>13430.126582278481</v>
      </c>
      <c r="CF200" s="55">
        <f t="shared" si="100"/>
        <v>24.905633802816901</v>
      </c>
      <c r="CG200" s="55">
        <f t="shared" si="101"/>
        <v>1.6162634818109805</v>
      </c>
      <c r="CH200" s="55">
        <f t="shared" si="102"/>
        <v>0.76715148802864175</v>
      </c>
      <c r="CI200" s="30">
        <v>7</v>
      </c>
      <c r="CJ200" s="30">
        <v>0</v>
      </c>
      <c r="CK200" s="30">
        <v>1</v>
      </c>
      <c r="CL200" s="30">
        <v>8</v>
      </c>
      <c r="CM200" s="30">
        <v>521</v>
      </c>
      <c r="CN200" s="30">
        <v>0</v>
      </c>
      <c r="CO200" s="30">
        <v>15</v>
      </c>
      <c r="CP200" s="30">
        <v>536</v>
      </c>
      <c r="CQ200" s="1">
        <f t="shared" si="110"/>
        <v>7.2334682860998645E-2</v>
      </c>
      <c r="CR200" s="47">
        <v>32822</v>
      </c>
      <c r="CS200" s="55">
        <f t="shared" si="103"/>
        <v>4.429419703103914</v>
      </c>
      <c r="CT200" s="59">
        <v>12840</v>
      </c>
      <c r="CU200" s="29" t="s">
        <v>25</v>
      </c>
      <c r="CV200" s="29" t="s">
        <v>25</v>
      </c>
      <c r="CW200" s="29" t="s">
        <v>25</v>
      </c>
      <c r="CX200" s="35">
        <v>0</v>
      </c>
      <c r="CY200" s="49">
        <v>0</v>
      </c>
      <c r="CZ200" s="35">
        <v>1</v>
      </c>
      <c r="DA200" s="35">
        <v>2.95</v>
      </c>
      <c r="DB200" s="35">
        <v>3.95</v>
      </c>
      <c r="DC200" s="49">
        <f t="shared" si="104"/>
        <v>1875.9493670886075</v>
      </c>
      <c r="DD200" s="30">
        <v>780</v>
      </c>
      <c r="DE200" s="31">
        <v>37200</v>
      </c>
      <c r="DF200" s="35">
        <v>40</v>
      </c>
      <c r="DG200" s="29" t="s">
        <v>25</v>
      </c>
      <c r="DH200" s="29" t="s">
        <v>25</v>
      </c>
      <c r="DI200" s="29" t="s">
        <v>25</v>
      </c>
      <c r="DJ200" s="47">
        <v>48</v>
      </c>
      <c r="DK200" s="47">
        <v>49</v>
      </c>
      <c r="DL200" s="47">
        <v>11</v>
      </c>
      <c r="DM200" s="47">
        <v>10143</v>
      </c>
      <c r="DN200" s="47">
        <v>684</v>
      </c>
      <c r="DO200" s="47">
        <v>5016</v>
      </c>
      <c r="DP200" s="29" t="s">
        <v>2028</v>
      </c>
      <c r="DQ200" s="47">
        <v>0</v>
      </c>
      <c r="DR200" s="47">
        <v>2130</v>
      </c>
      <c r="DS200" s="30">
        <v>52</v>
      </c>
      <c r="DT200" s="30">
        <v>43</v>
      </c>
      <c r="DU200" s="30">
        <v>43</v>
      </c>
      <c r="DV200" s="30">
        <v>43</v>
      </c>
      <c r="DX200" s="2">
        <f t="shared" si="105"/>
        <v>2130</v>
      </c>
      <c r="DY200" s="33" t="s">
        <v>2180</v>
      </c>
      <c r="DZ200" s="33" t="s">
        <v>590</v>
      </c>
      <c r="EA200" s="33" t="s">
        <v>2030</v>
      </c>
      <c r="EB200" s="33" t="s">
        <v>2027</v>
      </c>
      <c r="EC200" s="36">
        <v>159</v>
      </c>
      <c r="ED200" s="29" t="s">
        <v>589</v>
      </c>
      <c r="EE200" s="29" t="s">
        <v>588</v>
      </c>
      <c r="EF200" s="37">
        <v>41640</v>
      </c>
      <c r="EG200" s="37">
        <v>42004</v>
      </c>
      <c r="EH200" s="29" t="s">
        <v>589</v>
      </c>
      <c r="EI200" s="55">
        <f t="shared" si="106"/>
        <v>1.5313090418353577</v>
      </c>
      <c r="EJ200" s="54">
        <f t="shared" si="107"/>
        <v>3.724696356275304E-2</v>
      </c>
      <c r="EK200" s="55">
        <f t="shared" si="108"/>
        <v>5.4087719298245611</v>
      </c>
      <c r="EL200" s="54">
        <f t="shared" si="109"/>
        <v>0.18178137651821863</v>
      </c>
    </row>
    <row r="201" spans="1:142" ht="28.8" x14ac:dyDescent="0.3">
      <c r="A201" s="29" t="s">
        <v>296</v>
      </c>
      <c r="B201" s="29"/>
      <c r="C201" s="30">
        <v>8846</v>
      </c>
      <c r="D201" s="30">
        <v>0</v>
      </c>
      <c r="E201" s="30">
        <v>0</v>
      </c>
      <c r="F201" s="30">
        <v>14000</v>
      </c>
      <c r="H201" s="2">
        <f t="shared" si="85"/>
        <v>14000</v>
      </c>
      <c r="I201" s="1">
        <f t="shared" si="84"/>
        <v>1.5826362197603436</v>
      </c>
      <c r="J201" s="31">
        <v>102889</v>
      </c>
      <c r="K201" s="31">
        <v>41859</v>
      </c>
      <c r="L201" s="31">
        <v>144748</v>
      </c>
      <c r="M201" s="45">
        <f t="shared" si="86"/>
        <v>16.36310196699073</v>
      </c>
      <c r="N201" s="31">
        <v>26540</v>
      </c>
      <c r="O201" s="31">
        <v>3000</v>
      </c>
      <c r="P201" s="31">
        <v>5225</v>
      </c>
      <c r="Q201" s="31">
        <v>34765</v>
      </c>
      <c r="R201" s="45">
        <f t="shared" si="87"/>
        <v>3.9300248699977391</v>
      </c>
      <c r="S201" s="31">
        <v>100620</v>
      </c>
      <c r="T201" s="31">
        <v>280133</v>
      </c>
      <c r="U201" s="31">
        <v>0</v>
      </c>
      <c r="V201" s="31">
        <v>280133</v>
      </c>
      <c r="W201" s="45">
        <f t="shared" si="88"/>
        <v>31.667759439294596</v>
      </c>
      <c r="X201" s="4">
        <f t="shared" si="89"/>
        <v>0.51671170479736406</v>
      </c>
      <c r="Y201" s="4">
        <f t="shared" si="90"/>
        <v>0.12410176594688951</v>
      </c>
      <c r="Z201" s="4">
        <f t="shared" si="91"/>
        <v>0.3591865292557464</v>
      </c>
      <c r="AA201" s="4">
        <f t="shared" si="92"/>
        <v>0</v>
      </c>
      <c r="AB201" s="31">
        <v>0</v>
      </c>
      <c r="AC201" s="31">
        <v>34765</v>
      </c>
      <c r="AD201" s="31">
        <v>280133</v>
      </c>
      <c r="AE201" s="31">
        <v>280133</v>
      </c>
      <c r="AF201" s="31">
        <v>280133</v>
      </c>
      <c r="AG201" s="31">
        <v>0</v>
      </c>
      <c r="AH201" s="31">
        <v>0</v>
      </c>
      <c r="AI201" s="31">
        <v>280133</v>
      </c>
      <c r="AJ201" s="45">
        <f t="shared" si="93"/>
        <v>31.667759439294596</v>
      </c>
      <c r="AK201" s="31">
        <v>0</v>
      </c>
      <c r="AL201" s="31">
        <v>0</v>
      </c>
      <c r="AM201" s="31">
        <v>0</v>
      </c>
      <c r="AN201" s="31">
        <v>0</v>
      </c>
      <c r="AO201" s="31">
        <v>0</v>
      </c>
      <c r="AP201" s="31">
        <v>56348</v>
      </c>
      <c r="AQ201" s="31">
        <v>56348</v>
      </c>
      <c r="AR201" s="31">
        <v>336481</v>
      </c>
      <c r="AS201" s="46">
        <f t="shared" si="94"/>
        <v>38.037644132941445</v>
      </c>
      <c r="AT201" s="31">
        <v>0</v>
      </c>
      <c r="AU201" s="31">
        <v>0</v>
      </c>
      <c r="AV201" s="31">
        <v>0</v>
      </c>
      <c r="AW201" s="31">
        <v>0</v>
      </c>
      <c r="AX201" s="31">
        <v>0</v>
      </c>
      <c r="AY201" s="31">
        <v>0</v>
      </c>
      <c r="AZ201" s="31">
        <v>0</v>
      </c>
      <c r="BA201" s="31">
        <v>0</v>
      </c>
      <c r="BB201" s="31">
        <v>0</v>
      </c>
      <c r="BC201" s="33" t="s">
        <v>25</v>
      </c>
      <c r="BD201" s="47">
        <v>55117</v>
      </c>
      <c r="BE201" s="47">
        <v>57035</v>
      </c>
      <c r="BF201" s="45">
        <f t="shared" si="95"/>
        <v>6.4475469138593713</v>
      </c>
      <c r="BG201" s="30">
        <v>2133</v>
      </c>
      <c r="BH201" s="30">
        <v>2141</v>
      </c>
      <c r="BI201" s="30">
        <v>3616</v>
      </c>
      <c r="BJ201" s="30">
        <v>2310</v>
      </c>
      <c r="BK201" s="30">
        <v>2315</v>
      </c>
      <c r="BL201" s="30">
        <v>0</v>
      </c>
      <c r="BM201" s="30">
        <v>5721</v>
      </c>
      <c r="BN201" s="30">
        <v>0</v>
      </c>
      <c r="BO201" s="30">
        <v>51</v>
      </c>
      <c r="BP201" s="30">
        <v>5</v>
      </c>
      <c r="BQ201" s="30">
        <v>56</v>
      </c>
      <c r="BR201" s="47">
        <v>59560</v>
      </c>
      <c r="BS201" s="47">
        <v>70828</v>
      </c>
      <c r="BT201" s="1">
        <f t="shared" si="96"/>
        <v>8.006782726656116</v>
      </c>
      <c r="BU201" s="30">
        <v>96</v>
      </c>
      <c r="BV201" s="30">
        <v>89</v>
      </c>
      <c r="BW201" s="47">
        <v>1524</v>
      </c>
      <c r="BX201" s="52">
        <f t="shared" si="97"/>
        <v>0.17228125706534025</v>
      </c>
      <c r="BY201" s="47">
        <v>16347</v>
      </c>
      <c r="BZ201" s="47">
        <v>2186</v>
      </c>
      <c r="CA201" s="47">
        <v>55173</v>
      </c>
      <c r="CB201" s="47">
        <v>4465</v>
      </c>
      <c r="CC201" s="47">
        <v>78171</v>
      </c>
      <c r="CD201" s="55">
        <f t="shared" si="98"/>
        <v>8.8368754239204161</v>
      </c>
      <c r="CE201" s="3">
        <f t="shared" si="99"/>
        <v>26057</v>
      </c>
      <c r="CF201" s="55">
        <f t="shared" si="100"/>
        <v>39.964723926380366</v>
      </c>
      <c r="CG201" s="55">
        <f t="shared" si="101"/>
        <v>1.5733003260475789</v>
      </c>
      <c r="CH201" s="55">
        <f t="shared" si="102"/>
        <v>1.0097701473993337</v>
      </c>
      <c r="CI201" s="30">
        <v>46</v>
      </c>
      <c r="CJ201" s="30">
        <v>0</v>
      </c>
      <c r="CK201" s="30">
        <v>0</v>
      </c>
      <c r="CL201" s="30">
        <v>46</v>
      </c>
      <c r="CM201" s="30">
        <v>3787</v>
      </c>
      <c r="CN201" s="30">
        <v>0</v>
      </c>
      <c r="CO201" s="30">
        <v>0</v>
      </c>
      <c r="CP201" s="30">
        <v>3787</v>
      </c>
      <c r="CQ201" s="1">
        <f t="shared" si="110"/>
        <v>0.42810309744517294</v>
      </c>
      <c r="CR201" s="47">
        <v>49686</v>
      </c>
      <c r="CS201" s="55">
        <f t="shared" si="103"/>
        <v>5.6167759439294596</v>
      </c>
      <c r="CT201" s="59">
        <v>8239</v>
      </c>
      <c r="CU201" s="29" t="s">
        <v>25</v>
      </c>
      <c r="CV201" s="29" t="s">
        <v>25</v>
      </c>
      <c r="CW201" s="29" t="s">
        <v>25</v>
      </c>
      <c r="CX201" s="35">
        <v>0</v>
      </c>
      <c r="CY201" s="49">
        <v>0</v>
      </c>
      <c r="CZ201" s="35">
        <v>2</v>
      </c>
      <c r="DA201" s="35">
        <v>1</v>
      </c>
      <c r="DB201" s="35">
        <v>3</v>
      </c>
      <c r="DC201" s="49">
        <f t="shared" si="104"/>
        <v>2948.6666666666665</v>
      </c>
      <c r="DD201" s="30">
        <v>32</v>
      </c>
      <c r="DE201" s="31">
        <v>40000</v>
      </c>
      <c r="DF201" s="35">
        <v>40</v>
      </c>
      <c r="DG201" s="29" t="s">
        <v>25</v>
      </c>
      <c r="DH201" s="29" t="s">
        <v>26</v>
      </c>
      <c r="DI201" s="29" t="s">
        <v>26</v>
      </c>
      <c r="DJ201" s="47">
        <v>157</v>
      </c>
      <c r="DK201" s="47">
        <v>0</v>
      </c>
      <c r="DL201" s="47">
        <v>20</v>
      </c>
      <c r="DM201" s="47">
        <v>9759</v>
      </c>
      <c r="DN201" s="47">
        <v>4</v>
      </c>
      <c r="DO201" s="47">
        <v>1726</v>
      </c>
      <c r="DP201" s="29" t="s">
        <v>25</v>
      </c>
      <c r="DQ201" s="47">
        <v>17022</v>
      </c>
      <c r="DR201" s="47">
        <v>1956</v>
      </c>
      <c r="DS201" s="30">
        <v>52</v>
      </c>
      <c r="DT201" s="30">
        <v>44</v>
      </c>
      <c r="DU201" s="30">
        <v>44</v>
      </c>
      <c r="DV201" s="30">
        <v>44</v>
      </c>
      <c r="DX201" s="2">
        <f t="shared" si="105"/>
        <v>1956</v>
      </c>
      <c r="DY201" s="33" t="s">
        <v>2181</v>
      </c>
      <c r="DZ201" s="33" t="s">
        <v>593</v>
      </c>
      <c r="EA201" s="33" t="s">
        <v>2030</v>
      </c>
      <c r="EB201" s="33" t="s">
        <v>2027</v>
      </c>
      <c r="EC201" s="36">
        <v>160</v>
      </c>
      <c r="ED201" s="29" t="s">
        <v>591</v>
      </c>
      <c r="EE201" s="29" t="s">
        <v>592</v>
      </c>
      <c r="EF201" s="37">
        <v>41548</v>
      </c>
      <c r="EG201" s="37">
        <v>41912</v>
      </c>
      <c r="EH201" s="29" t="s">
        <v>591</v>
      </c>
      <c r="EI201" s="55">
        <f t="shared" si="106"/>
        <v>1.8479538774587385</v>
      </c>
      <c r="EJ201" s="54">
        <f t="shared" si="107"/>
        <v>0.24711734117115081</v>
      </c>
      <c r="EK201" s="55">
        <f t="shared" si="108"/>
        <v>6.2370562966312457</v>
      </c>
      <c r="EL201" s="54">
        <f t="shared" si="109"/>
        <v>0.50474790865928099</v>
      </c>
    </row>
    <row r="202" spans="1:142" ht="28.8" x14ac:dyDescent="0.3">
      <c r="A202" s="29" t="s">
        <v>594</v>
      </c>
      <c r="B202" s="29"/>
      <c r="C202" s="30">
        <v>52905</v>
      </c>
      <c r="D202" s="30">
        <v>0</v>
      </c>
      <c r="E202" s="30">
        <v>0</v>
      </c>
      <c r="F202" s="30">
        <v>12446</v>
      </c>
      <c r="H202" s="2">
        <f t="shared" si="85"/>
        <v>12446</v>
      </c>
      <c r="I202" s="1">
        <f t="shared" si="84"/>
        <v>0.23525186655325583</v>
      </c>
      <c r="J202" s="31">
        <v>241197</v>
      </c>
      <c r="K202" s="31">
        <v>90963</v>
      </c>
      <c r="L202" s="31">
        <v>332160</v>
      </c>
      <c r="M202" s="45">
        <f t="shared" si="86"/>
        <v>6.2784235894527924</v>
      </c>
      <c r="N202" s="31">
        <v>60844</v>
      </c>
      <c r="O202" s="31">
        <v>9955</v>
      </c>
      <c r="P202" s="31">
        <v>7436</v>
      </c>
      <c r="Q202" s="31">
        <v>78235</v>
      </c>
      <c r="R202" s="45">
        <f t="shared" si="87"/>
        <v>1.4787827237501181</v>
      </c>
      <c r="S202" s="31">
        <v>131993</v>
      </c>
      <c r="T202" s="31">
        <v>542388</v>
      </c>
      <c r="U202" s="31">
        <v>19302</v>
      </c>
      <c r="V202" s="31">
        <v>561690</v>
      </c>
      <c r="W202" s="45">
        <f t="shared" si="88"/>
        <v>10.616954919194782</v>
      </c>
      <c r="X202" s="4">
        <f t="shared" si="89"/>
        <v>0.59135822250707681</v>
      </c>
      <c r="Y202" s="4">
        <f t="shared" si="90"/>
        <v>0.13928501486585126</v>
      </c>
      <c r="Z202" s="4">
        <f t="shared" si="91"/>
        <v>0.23499261158290161</v>
      </c>
      <c r="AA202" s="4">
        <f t="shared" si="92"/>
        <v>3.4364151044170274E-2</v>
      </c>
      <c r="AB202" s="31">
        <v>10000</v>
      </c>
      <c r="AC202" s="31">
        <v>78235</v>
      </c>
      <c r="AD202" s="31">
        <v>561690</v>
      </c>
      <c r="AE202" s="31">
        <v>561690</v>
      </c>
      <c r="AF202" s="31">
        <v>0</v>
      </c>
      <c r="AG202" s="31">
        <v>538247</v>
      </c>
      <c r="AH202" s="31">
        <v>0</v>
      </c>
      <c r="AI202" s="31">
        <v>538247</v>
      </c>
      <c r="AJ202" s="45">
        <f t="shared" si="93"/>
        <v>10.173839901710613</v>
      </c>
      <c r="AK202" s="31">
        <v>0</v>
      </c>
      <c r="AL202" s="31">
        <v>0</v>
      </c>
      <c r="AM202" s="31">
        <v>0</v>
      </c>
      <c r="AN202" s="31">
        <v>0</v>
      </c>
      <c r="AO202" s="31">
        <v>0</v>
      </c>
      <c r="AP202" s="31">
        <v>37956</v>
      </c>
      <c r="AQ202" s="31">
        <v>37956</v>
      </c>
      <c r="AR202" s="31">
        <v>576203</v>
      </c>
      <c r="AS202" s="46">
        <f t="shared" si="94"/>
        <v>10.891276816936017</v>
      </c>
      <c r="AT202" s="31">
        <v>0</v>
      </c>
      <c r="AU202" s="31">
        <v>0</v>
      </c>
      <c r="AV202" s="31">
        <v>0</v>
      </c>
      <c r="AW202" s="31">
        <v>0</v>
      </c>
      <c r="AX202" s="31">
        <v>0</v>
      </c>
      <c r="AY202" s="31">
        <v>0</v>
      </c>
      <c r="AZ202" s="31">
        <v>0</v>
      </c>
      <c r="BA202" s="31">
        <v>0</v>
      </c>
      <c r="BB202" s="31">
        <v>0</v>
      </c>
      <c r="BC202" s="33" t="s">
        <v>25</v>
      </c>
      <c r="BD202" s="47">
        <v>43914</v>
      </c>
      <c r="BE202" s="47">
        <v>47351</v>
      </c>
      <c r="BF202" s="45">
        <f t="shared" si="95"/>
        <v>0.89501937435025047</v>
      </c>
      <c r="BG202" s="30">
        <v>1933</v>
      </c>
      <c r="BH202" s="30">
        <v>1967</v>
      </c>
      <c r="BI202" s="30">
        <v>214</v>
      </c>
      <c r="BJ202" s="30">
        <v>7366</v>
      </c>
      <c r="BK202" s="30">
        <v>8184</v>
      </c>
      <c r="BL202" s="30">
        <v>0</v>
      </c>
      <c r="BM202" s="30">
        <v>490</v>
      </c>
      <c r="BN202" s="30">
        <v>2</v>
      </c>
      <c r="BO202" s="30">
        <v>51</v>
      </c>
      <c r="BP202" s="30">
        <v>0</v>
      </c>
      <c r="BQ202" s="30">
        <v>53</v>
      </c>
      <c r="BR202" s="47">
        <v>53213</v>
      </c>
      <c r="BS202" s="47">
        <v>58208</v>
      </c>
      <c r="BT202" s="1">
        <f t="shared" si="96"/>
        <v>1.1002362725640298</v>
      </c>
      <c r="BU202" s="30">
        <v>51</v>
      </c>
      <c r="BV202" s="30">
        <v>0</v>
      </c>
      <c r="BW202" s="47">
        <v>4229</v>
      </c>
      <c r="BX202" s="52">
        <f t="shared" si="97"/>
        <v>7.9935733862583874E-2</v>
      </c>
      <c r="BY202" s="47">
        <v>73859</v>
      </c>
      <c r="BZ202" s="47">
        <v>596</v>
      </c>
      <c r="CA202" s="47">
        <v>142587</v>
      </c>
      <c r="CB202" s="47">
        <v>3764</v>
      </c>
      <c r="CC202" s="47">
        <v>220806</v>
      </c>
      <c r="CD202" s="55">
        <f t="shared" si="98"/>
        <v>4.1736319818542666</v>
      </c>
      <c r="CE202" s="3">
        <f t="shared" si="99"/>
        <v>22646.76923076923</v>
      </c>
      <c r="CF202" s="55">
        <f t="shared" si="100"/>
        <v>79.284021543985631</v>
      </c>
      <c r="CG202" s="55">
        <f t="shared" si="101"/>
        <v>1.8379210747550754</v>
      </c>
      <c r="CH202" s="55">
        <f t="shared" si="102"/>
        <v>3.7184923034634414</v>
      </c>
      <c r="CI202" s="30">
        <v>123</v>
      </c>
      <c r="CJ202" s="30">
        <v>0</v>
      </c>
      <c r="CK202" s="30">
        <v>184</v>
      </c>
      <c r="CL202" s="30">
        <v>307</v>
      </c>
      <c r="CM202" s="30">
        <v>3260</v>
      </c>
      <c r="CN202" s="30">
        <v>0</v>
      </c>
      <c r="CO202" s="30">
        <v>1778</v>
      </c>
      <c r="CP202" s="30">
        <v>5038</v>
      </c>
      <c r="CQ202" s="1">
        <f t="shared" si="110"/>
        <v>9.522729420659673E-2</v>
      </c>
      <c r="CR202" s="47">
        <v>120139</v>
      </c>
      <c r="CS202" s="55">
        <f t="shared" si="103"/>
        <v>2.2708439655987145</v>
      </c>
      <c r="CT202" s="59">
        <v>37787</v>
      </c>
      <c r="CU202" s="29" t="s">
        <v>25</v>
      </c>
      <c r="CV202" s="29" t="s">
        <v>25</v>
      </c>
      <c r="CW202" s="29" t="s">
        <v>25</v>
      </c>
      <c r="CX202" s="35">
        <v>3</v>
      </c>
      <c r="CY202" s="49">
        <f>C202/CX202</f>
        <v>17635</v>
      </c>
      <c r="CZ202" s="35">
        <v>3</v>
      </c>
      <c r="DA202" s="35">
        <v>3.75</v>
      </c>
      <c r="DB202" s="35">
        <v>9.75</v>
      </c>
      <c r="DC202" s="49">
        <f t="shared" si="104"/>
        <v>5426.1538461538457</v>
      </c>
      <c r="DD202" s="30">
        <v>4117</v>
      </c>
      <c r="DE202" s="31">
        <v>56457</v>
      </c>
      <c r="DF202" s="35">
        <v>40</v>
      </c>
      <c r="DG202" s="29" t="s">
        <v>25</v>
      </c>
      <c r="DH202" s="29" t="s">
        <v>25</v>
      </c>
      <c r="DI202" s="29" t="s">
        <v>25</v>
      </c>
      <c r="DJ202" s="47">
        <v>414</v>
      </c>
      <c r="DK202" s="47">
        <v>262</v>
      </c>
      <c r="DL202" s="47">
        <v>16</v>
      </c>
      <c r="DM202" s="47">
        <v>16382</v>
      </c>
      <c r="DN202" s="47">
        <v>2037</v>
      </c>
      <c r="DO202" s="47">
        <v>-1</v>
      </c>
      <c r="DP202" s="29" t="s">
        <v>25</v>
      </c>
      <c r="DQ202" s="47">
        <v>286802</v>
      </c>
      <c r="DR202" s="47">
        <v>2785</v>
      </c>
      <c r="DS202" s="30">
        <v>50</v>
      </c>
      <c r="DT202" s="30">
        <v>52</v>
      </c>
      <c r="DU202" s="30">
        <v>52</v>
      </c>
      <c r="DV202" s="30">
        <v>52</v>
      </c>
      <c r="DX202" s="2">
        <f t="shared" si="105"/>
        <v>2785</v>
      </c>
      <c r="DY202" s="33" t="s">
        <v>2181</v>
      </c>
      <c r="DZ202" s="33" t="s">
        <v>597</v>
      </c>
      <c r="EA202" s="33" t="s">
        <v>2031</v>
      </c>
      <c r="EB202" s="33" t="s">
        <v>2027</v>
      </c>
      <c r="EC202" s="36">
        <v>161</v>
      </c>
      <c r="ED202" s="29" t="s">
        <v>595</v>
      </c>
      <c r="EE202" s="29" t="s">
        <v>596</v>
      </c>
      <c r="EF202" s="37">
        <v>41548</v>
      </c>
      <c r="EG202" s="37">
        <v>41912</v>
      </c>
      <c r="EH202" s="29" t="s">
        <v>595</v>
      </c>
      <c r="EI202" s="55">
        <f t="shared" si="106"/>
        <v>1.3960684245345429</v>
      </c>
      <c r="EJ202" s="54">
        <f t="shared" si="107"/>
        <v>1.1265475852943956E-2</v>
      </c>
      <c r="EK202" s="55">
        <f t="shared" si="108"/>
        <v>2.6951516869861072</v>
      </c>
      <c r="EL202" s="54">
        <f t="shared" si="109"/>
        <v>7.1146394480672906E-2</v>
      </c>
    </row>
    <row r="203" spans="1:142" ht="43.2" x14ac:dyDescent="0.3">
      <c r="A203" s="29" t="s">
        <v>599</v>
      </c>
      <c r="B203" s="29"/>
      <c r="C203" s="30">
        <v>183372</v>
      </c>
      <c r="D203" s="30">
        <v>2</v>
      </c>
      <c r="E203" s="30">
        <v>0</v>
      </c>
      <c r="F203" s="30">
        <v>40000</v>
      </c>
      <c r="G203">
        <v>12760</v>
      </c>
      <c r="H203" s="2">
        <f t="shared" si="85"/>
        <v>52760</v>
      </c>
      <c r="I203" s="1">
        <f t="shared" si="84"/>
        <v>0.2877211351787623</v>
      </c>
      <c r="J203" s="31">
        <v>1129182</v>
      </c>
      <c r="K203" s="31">
        <v>496723</v>
      </c>
      <c r="L203" s="31">
        <v>1625905</v>
      </c>
      <c r="M203" s="45">
        <f t="shared" si="86"/>
        <v>8.8667026590755409</v>
      </c>
      <c r="N203" s="31">
        <v>202631</v>
      </c>
      <c r="O203" s="31">
        <v>71111</v>
      </c>
      <c r="P203" s="31">
        <v>31471</v>
      </c>
      <c r="Q203" s="31">
        <v>305213</v>
      </c>
      <c r="R203" s="45">
        <f t="shared" si="87"/>
        <v>1.6644471347861178</v>
      </c>
      <c r="S203" s="31">
        <v>280338</v>
      </c>
      <c r="T203" s="31">
        <v>2211456</v>
      </c>
      <c r="U203" s="31">
        <v>133068</v>
      </c>
      <c r="V203" s="31">
        <v>2344524</v>
      </c>
      <c r="W203" s="45">
        <f t="shared" si="88"/>
        <v>12.785616124599175</v>
      </c>
      <c r="X203" s="4">
        <f t="shared" si="89"/>
        <v>0.69349044838099327</v>
      </c>
      <c r="Y203" s="4">
        <f t="shared" si="90"/>
        <v>0.13018122228648543</v>
      </c>
      <c r="Z203" s="4">
        <f t="shared" si="91"/>
        <v>0.11957139274326047</v>
      </c>
      <c r="AA203" s="4">
        <f t="shared" si="92"/>
        <v>5.6756936589260759E-2</v>
      </c>
      <c r="AB203" s="31">
        <v>1128275</v>
      </c>
      <c r="AC203" s="31">
        <v>305213</v>
      </c>
      <c r="AD203" s="31">
        <v>2344524</v>
      </c>
      <c r="AE203" s="31">
        <v>2332510</v>
      </c>
      <c r="AF203" s="31">
        <v>2199442</v>
      </c>
      <c r="AG203" s="31">
        <v>0</v>
      </c>
      <c r="AH203" s="31">
        <v>0</v>
      </c>
      <c r="AI203" s="31">
        <v>2199442</v>
      </c>
      <c r="AJ203" s="45">
        <f t="shared" si="93"/>
        <v>11.99442663001985</v>
      </c>
      <c r="AK203" s="31">
        <v>0</v>
      </c>
      <c r="AL203" s="31">
        <v>0</v>
      </c>
      <c r="AM203" s="31">
        <v>0</v>
      </c>
      <c r="AN203" s="31">
        <v>0</v>
      </c>
      <c r="AO203" s="31">
        <v>0</v>
      </c>
      <c r="AP203" s="31">
        <v>12014</v>
      </c>
      <c r="AQ203" s="31">
        <v>12014</v>
      </c>
      <c r="AR203" s="31">
        <v>2211456</v>
      </c>
      <c r="AS203" s="46">
        <f t="shared" si="94"/>
        <v>12.059943720960669</v>
      </c>
      <c r="AT203" s="31">
        <v>1128275</v>
      </c>
      <c r="AU203" s="31">
        <v>0</v>
      </c>
      <c r="AV203" s="31">
        <v>0</v>
      </c>
      <c r="AW203" s="31">
        <v>0</v>
      </c>
      <c r="AX203" s="31">
        <v>0</v>
      </c>
      <c r="AY203" s="31">
        <v>0</v>
      </c>
      <c r="AZ203" s="31">
        <v>0</v>
      </c>
      <c r="BA203" s="31">
        <v>0</v>
      </c>
      <c r="BB203" s="31">
        <v>1128275</v>
      </c>
      <c r="BC203" s="33" t="s">
        <v>25</v>
      </c>
      <c r="BD203" s="47">
        <v>129507</v>
      </c>
      <c r="BE203" s="47">
        <v>144897</v>
      </c>
      <c r="BF203" s="45">
        <f t="shared" si="95"/>
        <v>0.79018061645180293</v>
      </c>
      <c r="BG203" s="30">
        <v>6371</v>
      </c>
      <c r="BH203" s="30">
        <v>7079</v>
      </c>
      <c r="BI203" s="30">
        <v>5377</v>
      </c>
      <c r="BJ203" s="30">
        <v>6366</v>
      </c>
      <c r="BK203" s="30">
        <v>7073</v>
      </c>
      <c r="BL203" s="30">
        <v>0</v>
      </c>
      <c r="BM203" s="30">
        <v>2281</v>
      </c>
      <c r="BN203" s="30">
        <v>14</v>
      </c>
      <c r="BO203" s="30">
        <v>51</v>
      </c>
      <c r="BP203" s="30">
        <v>0</v>
      </c>
      <c r="BQ203" s="30">
        <v>65</v>
      </c>
      <c r="BR203" s="47">
        <v>142244</v>
      </c>
      <c r="BS203" s="47">
        <v>166721</v>
      </c>
      <c r="BT203" s="1">
        <f t="shared" si="96"/>
        <v>0.90919551512771857</v>
      </c>
      <c r="BU203" s="30">
        <v>226</v>
      </c>
      <c r="BV203" s="30">
        <v>65</v>
      </c>
      <c r="BW203" s="47">
        <v>16529</v>
      </c>
      <c r="BX203" s="52">
        <f t="shared" si="97"/>
        <v>9.013917064764522E-2</v>
      </c>
      <c r="BY203" s="47">
        <v>130395</v>
      </c>
      <c r="BZ203" s="47">
        <v>1253</v>
      </c>
      <c r="CA203" s="47">
        <v>123145</v>
      </c>
      <c r="CB203" s="47">
        <v>4072</v>
      </c>
      <c r="CC203" s="47">
        <v>258865</v>
      </c>
      <c r="CD203" s="55">
        <f t="shared" si="98"/>
        <v>1.4116931701677464</v>
      </c>
      <c r="CE203" s="3">
        <f t="shared" si="99"/>
        <v>8217.936507936507</v>
      </c>
      <c r="CF203" s="55">
        <f t="shared" si="100"/>
        <v>33.741527632950991</v>
      </c>
      <c r="CG203" s="55">
        <f t="shared" si="101"/>
        <v>0.74336936295343337</v>
      </c>
      <c r="CH203" s="55">
        <f t="shared" si="102"/>
        <v>1.5207442373786146</v>
      </c>
      <c r="CI203" s="30">
        <v>322</v>
      </c>
      <c r="CJ203" s="30">
        <v>89</v>
      </c>
      <c r="CK203" s="30">
        <v>306</v>
      </c>
      <c r="CL203" s="30">
        <v>717</v>
      </c>
      <c r="CM203" s="30">
        <v>21885</v>
      </c>
      <c r="CN203" s="30">
        <v>1769</v>
      </c>
      <c r="CO203" s="30">
        <v>6935</v>
      </c>
      <c r="CP203" s="30">
        <v>30589</v>
      </c>
      <c r="CQ203" s="1">
        <f t="shared" si="110"/>
        <v>0.16681390833933207</v>
      </c>
      <c r="CR203" s="47">
        <v>348232</v>
      </c>
      <c r="CS203" s="55">
        <f t="shared" si="103"/>
        <v>1.8990467465043737</v>
      </c>
      <c r="CT203" s="59">
        <v>77777</v>
      </c>
      <c r="CU203" s="29" t="s">
        <v>25</v>
      </c>
      <c r="CV203" s="29" t="s">
        <v>25</v>
      </c>
      <c r="CW203" s="29" t="s">
        <v>25</v>
      </c>
      <c r="CX203" s="35">
        <v>13</v>
      </c>
      <c r="CY203" s="49">
        <f>C203/CX203</f>
        <v>14105.538461538461</v>
      </c>
      <c r="CZ203" s="35">
        <v>1</v>
      </c>
      <c r="DA203" s="35">
        <v>17.5</v>
      </c>
      <c r="DB203" s="35">
        <v>31.5</v>
      </c>
      <c r="DC203" s="49">
        <f t="shared" si="104"/>
        <v>5821.333333333333</v>
      </c>
      <c r="DD203" s="30">
        <v>2163</v>
      </c>
      <c r="DE203" s="31">
        <v>125000</v>
      </c>
      <c r="DF203" s="35">
        <v>40</v>
      </c>
      <c r="DG203" s="29" t="s">
        <v>25</v>
      </c>
      <c r="DH203" s="29" t="s">
        <v>25</v>
      </c>
      <c r="DI203" s="29" t="s">
        <v>25</v>
      </c>
      <c r="DJ203" s="47">
        <v>243</v>
      </c>
      <c r="DK203" s="47">
        <v>90</v>
      </c>
      <c r="DL203" s="47">
        <v>32</v>
      </c>
      <c r="DM203" s="47">
        <v>71992</v>
      </c>
      <c r="DN203" s="47">
        <v>11985</v>
      </c>
      <c r="DO203" s="47">
        <v>0</v>
      </c>
      <c r="DP203" s="29" t="s">
        <v>25</v>
      </c>
      <c r="DQ203" s="47">
        <v>268324</v>
      </c>
      <c r="DR203" s="47">
        <v>3328</v>
      </c>
      <c r="DS203" s="30">
        <v>52</v>
      </c>
      <c r="DT203" s="30">
        <v>64</v>
      </c>
      <c r="DU203" s="30">
        <v>64</v>
      </c>
      <c r="DV203" s="30">
        <v>64</v>
      </c>
      <c r="DW203">
        <f>VLOOKUP(EC203,branch!$I$4:$K$77,3,0)</f>
        <v>4344</v>
      </c>
      <c r="DX203" s="2">
        <f t="shared" si="105"/>
        <v>7672</v>
      </c>
      <c r="DY203" s="33" t="s">
        <v>2182</v>
      </c>
      <c r="DZ203" s="33" t="s">
        <v>600</v>
      </c>
      <c r="EA203" s="33" t="s">
        <v>2030</v>
      </c>
      <c r="EB203" s="33" t="s">
        <v>2027</v>
      </c>
      <c r="EC203" s="36">
        <v>162</v>
      </c>
      <c r="ED203" s="29" t="s">
        <v>598</v>
      </c>
      <c r="EE203" s="29" t="s">
        <v>269</v>
      </c>
      <c r="EF203" s="37">
        <v>41548</v>
      </c>
      <c r="EG203" s="37">
        <v>41912</v>
      </c>
      <c r="EH203" s="29" t="s">
        <v>598</v>
      </c>
      <c r="EI203" s="55">
        <f t="shared" si="106"/>
        <v>0.71109547804463058</v>
      </c>
      <c r="EJ203" s="54">
        <f t="shared" si="107"/>
        <v>6.833104290731409E-3</v>
      </c>
      <c r="EK203" s="55">
        <f t="shared" si="108"/>
        <v>0.67155836223632837</v>
      </c>
      <c r="EL203" s="54">
        <f t="shared" si="109"/>
        <v>2.2206225596056103E-2</v>
      </c>
    </row>
    <row r="204" spans="1:142" ht="28.8" x14ac:dyDescent="0.3">
      <c r="A204" s="29" t="s">
        <v>602</v>
      </c>
      <c r="B204" s="29"/>
      <c r="C204" s="30">
        <v>6722</v>
      </c>
      <c r="D204" s="30">
        <v>0</v>
      </c>
      <c r="E204" s="30">
        <v>0</v>
      </c>
      <c r="F204" s="30">
        <v>3240</v>
      </c>
      <c r="H204" s="2">
        <f t="shared" si="85"/>
        <v>3240</v>
      </c>
      <c r="I204" s="1">
        <f t="shared" si="84"/>
        <v>0.48199940493900623</v>
      </c>
      <c r="J204" s="31">
        <v>15825</v>
      </c>
      <c r="K204" s="31">
        <v>10597</v>
      </c>
      <c r="L204" s="31">
        <v>26422</v>
      </c>
      <c r="M204" s="45">
        <f t="shared" si="86"/>
        <v>3.9306753942279085</v>
      </c>
      <c r="N204" s="31">
        <v>8428</v>
      </c>
      <c r="O204" s="31">
        <v>1000</v>
      </c>
      <c r="P204" s="31">
        <v>2085</v>
      </c>
      <c r="Q204" s="31">
        <v>11513</v>
      </c>
      <c r="R204" s="45">
        <f t="shared" si="87"/>
        <v>1.7127343052662898</v>
      </c>
      <c r="S204" s="31">
        <v>25148</v>
      </c>
      <c r="T204" s="31">
        <v>63083</v>
      </c>
      <c r="U204" s="31">
        <v>0</v>
      </c>
      <c r="V204" s="31">
        <v>63083</v>
      </c>
      <c r="W204" s="45">
        <f t="shared" si="88"/>
        <v>9.3845581672121394</v>
      </c>
      <c r="X204" s="4">
        <f t="shared" si="89"/>
        <v>0.41884501371209359</v>
      </c>
      <c r="Y204" s="4">
        <f t="shared" si="90"/>
        <v>0.18250558787628995</v>
      </c>
      <c r="Z204" s="4">
        <f t="shared" si="91"/>
        <v>0.39864939841161645</v>
      </c>
      <c r="AA204" s="4">
        <f t="shared" si="92"/>
        <v>0</v>
      </c>
      <c r="AB204" s="31">
        <v>0</v>
      </c>
      <c r="AC204" s="31">
        <v>5708</v>
      </c>
      <c r="AD204" s="31">
        <v>51112</v>
      </c>
      <c r="AE204" s="31">
        <v>38487</v>
      </c>
      <c r="AF204" s="31">
        <v>32686</v>
      </c>
      <c r="AG204" s="31">
        <v>10500</v>
      </c>
      <c r="AH204" s="31">
        <v>0</v>
      </c>
      <c r="AI204" s="31">
        <v>43186</v>
      </c>
      <c r="AJ204" s="45">
        <f t="shared" si="93"/>
        <v>6.4245760190419521</v>
      </c>
      <c r="AK204" s="31">
        <v>0</v>
      </c>
      <c r="AL204" s="31">
        <v>0</v>
      </c>
      <c r="AM204" s="31">
        <v>0</v>
      </c>
      <c r="AN204" s="31">
        <v>0</v>
      </c>
      <c r="AO204" s="31">
        <v>18677</v>
      </c>
      <c r="AP204" s="31">
        <v>17467</v>
      </c>
      <c r="AQ204" s="31">
        <v>36144</v>
      </c>
      <c r="AR204" s="31">
        <v>79330</v>
      </c>
      <c r="AS204" s="46">
        <f t="shared" si="94"/>
        <v>11.801547158583755</v>
      </c>
      <c r="AT204" s="31">
        <v>0</v>
      </c>
      <c r="AU204" s="31">
        <v>0</v>
      </c>
      <c r="AV204" s="31">
        <v>0</v>
      </c>
      <c r="AW204" s="31">
        <v>0</v>
      </c>
      <c r="AX204" s="31">
        <v>0</v>
      </c>
      <c r="AY204" s="31">
        <v>0</v>
      </c>
      <c r="AZ204" s="31">
        <v>0</v>
      </c>
      <c r="BA204" s="31">
        <v>0</v>
      </c>
      <c r="BB204" s="31">
        <v>0</v>
      </c>
      <c r="BC204" s="33" t="s">
        <v>25</v>
      </c>
      <c r="BD204" s="47">
        <v>16311</v>
      </c>
      <c r="BE204" s="47">
        <v>16551</v>
      </c>
      <c r="BF204" s="45">
        <f t="shared" si="95"/>
        <v>2.4622136268967569</v>
      </c>
      <c r="BG204" s="30">
        <v>498</v>
      </c>
      <c r="BH204" s="30">
        <v>499</v>
      </c>
      <c r="BI204" s="30">
        <v>0</v>
      </c>
      <c r="BJ204" s="30">
        <v>795</v>
      </c>
      <c r="BK204" s="30">
        <v>796</v>
      </c>
      <c r="BL204" s="30">
        <v>0</v>
      </c>
      <c r="BM204" s="30">
        <v>100</v>
      </c>
      <c r="BN204" s="30">
        <v>0</v>
      </c>
      <c r="BO204" s="30">
        <v>51</v>
      </c>
      <c r="BP204" s="30">
        <v>0</v>
      </c>
      <c r="BQ204" s="30">
        <v>51</v>
      </c>
      <c r="BR204" s="47">
        <v>17604</v>
      </c>
      <c r="BS204" s="47">
        <v>17946</v>
      </c>
      <c r="BT204" s="1">
        <f t="shared" si="96"/>
        <v>2.6697411484677178</v>
      </c>
      <c r="BU204" s="30">
        <v>5</v>
      </c>
      <c r="BV204" s="30">
        <v>0</v>
      </c>
      <c r="BW204" s="47">
        <v>1220</v>
      </c>
      <c r="BX204" s="52">
        <f t="shared" si="97"/>
        <v>0.18149360309431717</v>
      </c>
      <c r="BY204" s="47">
        <v>3791</v>
      </c>
      <c r="BZ204" s="47">
        <v>0</v>
      </c>
      <c r="CA204" s="47">
        <v>12123</v>
      </c>
      <c r="CB204" s="47">
        <v>69</v>
      </c>
      <c r="CC204" s="47">
        <v>15983</v>
      </c>
      <c r="CD204" s="55">
        <f t="shared" si="98"/>
        <v>2.3777149657839929</v>
      </c>
      <c r="CE204" s="3">
        <f t="shared" si="99"/>
        <v>19978.75</v>
      </c>
      <c r="CF204" s="55">
        <f t="shared" si="100"/>
        <v>10.090277777777779</v>
      </c>
      <c r="CG204" s="55">
        <f t="shared" si="101"/>
        <v>1.5815357213536514</v>
      </c>
      <c r="CH204" s="55">
        <f t="shared" si="102"/>
        <v>0.88677142538727294</v>
      </c>
      <c r="CI204" s="30">
        <v>50</v>
      </c>
      <c r="CJ204" s="30">
        <v>6</v>
      </c>
      <c r="CK204" s="30">
        <v>10</v>
      </c>
      <c r="CL204" s="30">
        <v>66</v>
      </c>
      <c r="CM204" s="30">
        <v>1512</v>
      </c>
      <c r="CN204" s="30">
        <v>30</v>
      </c>
      <c r="CO204" s="30">
        <v>249</v>
      </c>
      <c r="CP204" s="30">
        <v>1791</v>
      </c>
      <c r="CQ204" s="1">
        <f t="shared" si="110"/>
        <v>0.26643855995239513</v>
      </c>
      <c r="CR204" s="47">
        <v>10106</v>
      </c>
      <c r="CS204" s="55">
        <f t="shared" si="103"/>
        <v>1.5034216007140733</v>
      </c>
      <c r="CT204" s="59">
        <v>4253</v>
      </c>
      <c r="CU204" s="29" t="s">
        <v>25</v>
      </c>
      <c r="CV204" s="29" t="s">
        <v>25</v>
      </c>
      <c r="CW204" s="29" t="s">
        <v>25</v>
      </c>
      <c r="CX204" s="35">
        <v>0</v>
      </c>
      <c r="CY204" s="49">
        <v>0</v>
      </c>
      <c r="CZ204" s="35">
        <v>0.8</v>
      </c>
      <c r="DA204" s="35">
        <v>0</v>
      </c>
      <c r="DB204" s="35">
        <v>0.8</v>
      </c>
      <c r="DC204" s="49">
        <f t="shared" si="104"/>
        <v>8402.5</v>
      </c>
      <c r="DD204" s="30">
        <v>1122</v>
      </c>
      <c r="DE204" s="31">
        <v>15425</v>
      </c>
      <c r="DF204" s="35">
        <v>32</v>
      </c>
      <c r="DG204" s="29" t="s">
        <v>25</v>
      </c>
      <c r="DH204" s="29" t="s">
        <v>25</v>
      </c>
      <c r="DI204" s="29" t="s">
        <v>25</v>
      </c>
      <c r="DJ204" s="47">
        <v>4</v>
      </c>
      <c r="DK204" s="47">
        <v>0</v>
      </c>
      <c r="DL204" s="47">
        <v>7</v>
      </c>
      <c r="DM204" s="47">
        <v>2418</v>
      </c>
      <c r="DN204" s="47">
        <v>72</v>
      </c>
      <c r="DO204" s="47">
        <v>5400</v>
      </c>
      <c r="DP204" s="29" t="s">
        <v>2028</v>
      </c>
      <c r="DQ204" s="47">
        <v>0</v>
      </c>
      <c r="DR204" s="47">
        <v>1584</v>
      </c>
      <c r="DS204" s="30">
        <v>52</v>
      </c>
      <c r="DT204" s="30">
        <v>32</v>
      </c>
      <c r="DU204" s="30">
        <v>32</v>
      </c>
      <c r="DV204" s="30">
        <v>32</v>
      </c>
      <c r="DX204" s="2">
        <f t="shared" si="105"/>
        <v>1584</v>
      </c>
      <c r="DY204" s="33" t="s">
        <v>2182</v>
      </c>
      <c r="DZ204" s="33" t="s">
        <v>603</v>
      </c>
      <c r="EA204" s="33" t="s">
        <v>2030</v>
      </c>
      <c r="EB204" s="33" t="s">
        <v>2027</v>
      </c>
      <c r="EC204" s="36">
        <v>163</v>
      </c>
      <c r="ED204" s="29" t="s">
        <v>601</v>
      </c>
      <c r="EE204" s="29" t="s">
        <v>252</v>
      </c>
      <c r="EF204" s="37">
        <v>41548</v>
      </c>
      <c r="EG204" s="37">
        <v>41912</v>
      </c>
      <c r="EH204" s="29" t="s">
        <v>601</v>
      </c>
      <c r="EI204" s="55">
        <f t="shared" si="106"/>
        <v>0.56396905682832488</v>
      </c>
      <c r="EJ204" s="54">
        <f t="shared" si="107"/>
        <v>0</v>
      </c>
      <c r="EK204" s="55">
        <f t="shared" si="108"/>
        <v>1.8034811068134484</v>
      </c>
      <c r="EL204" s="54">
        <f t="shared" si="109"/>
        <v>1.0264802142219578E-2</v>
      </c>
    </row>
    <row r="205" spans="1:142" ht="28.8" x14ac:dyDescent="0.3">
      <c r="A205" s="29" t="s">
        <v>2025</v>
      </c>
      <c r="B205" s="29"/>
      <c r="C205" s="30">
        <v>1568</v>
      </c>
      <c r="D205" s="30">
        <v>0</v>
      </c>
      <c r="E205" s="30">
        <v>0</v>
      </c>
      <c r="F205" s="30">
        <v>2094</v>
      </c>
      <c r="H205" s="2">
        <f t="shared" si="85"/>
        <v>2094</v>
      </c>
      <c r="I205" s="1">
        <f t="shared" si="84"/>
        <v>1.3354591836734695</v>
      </c>
      <c r="J205" s="31">
        <v>12373</v>
      </c>
      <c r="K205" s="31">
        <v>1025</v>
      </c>
      <c r="L205" s="31">
        <v>13398</v>
      </c>
      <c r="M205" s="45">
        <f t="shared" si="86"/>
        <v>8.5446428571428577</v>
      </c>
      <c r="N205" s="31">
        <v>119</v>
      </c>
      <c r="O205" s="31">
        <v>0</v>
      </c>
      <c r="P205" s="31">
        <v>0</v>
      </c>
      <c r="Q205" s="31">
        <v>119</v>
      </c>
      <c r="R205" s="45">
        <f t="shared" si="87"/>
        <v>7.5892857142857137E-2</v>
      </c>
      <c r="S205" s="31">
        <v>9763</v>
      </c>
      <c r="T205" s="31">
        <v>23280</v>
      </c>
      <c r="U205" s="31">
        <v>0</v>
      </c>
      <c r="V205" s="31">
        <v>23280</v>
      </c>
      <c r="W205" s="45">
        <f t="shared" si="88"/>
        <v>14.846938775510203</v>
      </c>
      <c r="X205" s="4">
        <f t="shared" si="89"/>
        <v>0.57551546391752573</v>
      </c>
      <c r="Y205" s="4">
        <f t="shared" si="90"/>
        <v>5.1116838487972509E-3</v>
      </c>
      <c r="Z205" s="4">
        <f t="shared" si="91"/>
        <v>0.41937285223367698</v>
      </c>
      <c r="AA205" s="4">
        <f t="shared" si="92"/>
        <v>0</v>
      </c>
      <c r="AB205" s="31">
        <v>0</v>
      </c>
      <c r="AC205" s="31">
        <v>119</v>
      </c>
      <c r="AD205" s="31">
        <v>23280</v>
      </c>
      <c r="AE205" s="31">
        <v>1000</v>
      </c>
      <c r="AF205" s="31">
        <v>1000</v>
      </c>
      <c r="AG205" s="31">
        <v>0</v>
      </c>
      <c r="AH205" s="31">
        <v>0</v>
      </c>
      <c r="AI205" s="31">
        <v>1000</v>
      </c>
      <c r="AJ205" s="45">
        <f t="shared" si="93"/>
        <v>0.63775510204081631</v>
      </c>
      <c r="AK205" s="31">
        <v>0</v>
      </c>
      <c r="AL205" s="31">
        <v>0</v>
      </c>
      <c r="AM205" s="31">
        <v>0</v>
      </c>
      <c r="AN205" s="31">
        <v>0</v>
      </c>
      <c r="AO205" s="31">
        <v>0</v>
      </c>
      <c r="AP205" s="31">
        <v>26621</v>
      </c>
      <c r="AQ205" s="31">
        <v>26621</v>
      </c>
      <c r="AR205" s="31">
        <v>27621</v>
      </c>
      <c r="AS205" s="46">
        <f t="shared" si="94"/>
        <v>17.615433673469386</v>
      </c>
      <c r="AT205" s="31">
        <v>0</v>
      </c>
      <c r="AU205" s="31">
        <v>0</v>
      </c>
      <c r="AV205" s="31">
        <v>0</v>
      </c>
      <c r="AW205" s="31">
        <v>0</v>
      </c>
      <c r="AX205" s="31">
        <v>0</v>
      </c>
      <c r="AY205" s="31">
        <v>0</v>
      </c>
      <c r="AZ205" s="31">
        <v>0</v>
      </c>
      <c r="BA205" s="31">
        <v>0</v>
      </c>
      <c r="BB205" s="31">
        <v>0</v>
      </c>
      <c r="BC205" s="33" t="s">
        <v>25</v>
      </c>
      <c r="BD205" s="47">
        <v>11521</v>
      </c>
      <c r="BE205" s="47">
        <v>11553</v>
      </c>
      <c r="BF205" s="45">
        <f t="shared" si="95"/>
        <v>7.3679846938775508</v>
      </c>
      <c r="BG205" s="30">
        <v>127</v>
      </c>
      <c r="BH205" s="30">
        <v>127</v>
      </c>
      <c r="BI205" s="30">
        <v>0</v>
      </c>
      <c r="BJ205" s="30">
        <v>417</v>
      </c>
      <c r="BK205" s="30">
        <v>417</v>
      </c>
      <c r="BL205" s="30">
        <v>0</v>
      </c>
      <c r="BM205" s="30">
        <v>0</v>
      </c>
      <c r="BN205" s="30">
        <v>0</v>
      </c>
      <c r="BO205" s="30">
        <v>51</v>
      </c>
      <c r="BP205" s="30">
        <v>0</v>
      </c>
      <c r="BQ205" s="30">
        <v>51</v>
      </c>
      <c r="BR205" s="47">
        <v>12065</v>
      </c>
      <c r="BS205" s="47">
        <v>12097</v>
      </c>
      <c r="BT205" s="1">
        <f t="shared" si="96"/>
        <v>7.7149234693877551</v>
      </c>
      <c r="BU205" s="30">
        <v>2</v>
      </c>
      <c r="BV205" s="30">
        <v>0</v>
      </c>
      <c r="BW205" s="47">
        <v>260</v>
      </c>
      <c r="BX205" s="52">
        <f t="shared" si="97"/>
        <v>0.16581632653061223</v>
      </c>
      <c r="BY205" s="47">
        <v>478</v>
      </c>
      <c r="BZ205" s="47">
        <v>0</v>
      </c>
      <c r="CA205" s="47">
        <v>1742</v>
      </c>
      <c r="CB205" s="47">
        <v>0</v>
      </c>
      <c r="CC205" s="47">
        <v>2220</v>
      </c>
      <c r="CD205" s="55">
        <f t="shared" si="98"/>
        <v>1.4158163265306123</v>
      </c>
      <c r="CE205" s="3">
        <f t="shared" si="99"/>
        <v>4440</v>
      </c>
      <c r="CF205" s="55">
        <f t="shared" si="100"/>
        <v>2.1346153846153846</v>
      </c>
      <c r="CG205" s="55">
        <f t="shared" si="101"/>
        <v>1.2570781426953568</v>
      </c>
      <c r="CH205" s="55">
        <f t="shared" si="102"/>
        <v>0.18351657435727867</v>
      </c>
      <c r="CI205" s="30">
        <v>1</v>
      </c>
      <c r="CJ205" s="30">
        <v>0</v>
      </c>
      <c r="CK205" s="30">
        <v>1</v>
      </c>
      <c r="CL205" s="30">
        <v>2</v>
      </c>
      <c r="CM205" s="30">
        <v>17</v>
      </c>
      <c r="CN205" s="30">
        <v>0</v>
      </c>
      <c r="CO205" s="30">
        <v>6</v>
      </c>
      <c r="CP205" s="30">
        <v>23</v>
      </c>
      <c r="CQ205" s="1">
        <f t="shared" si="110"/>
        <v>1.4668367346938776E-2</v>
      </c>
      <c r="CR205" s="47">
        <v>1766</v>
      </c>
      <c r="CS205" s="55">
        <f t="shared" si="103"/>
        <v>1.1262755102040816</v>
      </c>
      <c r="CT205" s="59">
        <v>1571</v>
      </c>
      <c r="CU205" s="29" t="s">
        <v>25</v>
      </c>
      <c r="CV205" s="29" t="s">
        <v>25</v>
      </c>
      <c r="CW205" s="29" t="s">
        <v>25</v>
      </c>
      <c r="CX205" s="35">
        <v>0</v>
      </c>
      <c r="CY205" s="49">
        <v>0</v>
      </c>
      <c r="CZ205" s="35">
        <v>0.5</v>
      </c>
      <c r="DA205" s="35">
        <v>0</v>
      </c>
      <c r="DB205" s="35">
        <v>0.5</v>
      </c>
      <c r="DC205" s="49">
        <f t="shared" si="104"/>
        <v>3136</v>
      </c>
      <c r="DD205" s="30">
        <v>242</v>
      </c>
      <c r="DE205" s="31">
        <v>13398</v>
      </c>
      <c r="DF205" s="35">
        <v>20</v>
      </c>
      <c r="DG205" s="29" t="s">
        <v>25</v>
      </c>
      <c r="DH205" s="29" t="s">
        <v>26</v>
      </c>
      <c r="DI205" s="29" t="s">
        <v>26</v>
      </c>
      <c r="DJ205" s="47">
        <v>0</v>
      </c>
      <c r="DK205" s="47">
        <v>0</v>
      </c>
      <c r="DL205" s="47">
        <v>8</v>
      </c>
      <c r="DM205" s="47">
        <v>821</v>
      </c>
      <c r="DN205" s="47">
        <v>5</v>
      </c>
      <c r="DO205" s="47">
        <v>9</v>
      </c>
      <c r="DP205" s="29" t="s">
        <v>2028</v>
      </c>
      <c r="DQ205" s="47">
        <v>0</v>
      </c>
      <c r="DR205" s="47">
        <v>1040</v>
      </c>
      <c r="DS205" s="30">
        <v>52</v>
      </c>
      <c r="DT205" s="30">
        <v>20</v>
      </c>
      <c r="DU205" s="30">
        <v>20</v>
      </c>
      <c r="DV205" s="30">
        <v>20</v>
      </c>
      <c r="DX205" s="2">
        <f t="shared" si="105"/>
        <v>1040</v>
      </c>
      <c r="DY205" s="33" t="s">
        <v>2181</v>
      </c>
      <c r="DZ205" s="33" t="s">
        <v>2029</v>
      </c>
      <c r="EA205" s="33" t="s">
        <v>2032</v>
      </c>
      <c r="EB205" s="33" t="s">
        <v>2026</v>
      </c>
      <c r="EC205" s="36">
        <v>574</v>
      </c>
      <c r="ED205" s="29" t="s">
        <v>2037</v>
      </c>
      <c r="EE205" s="29" t="s">
        <v>236</v>
      </c>
      <c r="EF205" s="37">
        <v>41640</v>
      </c>
      <c r="EG205" s="37">
        <v>42004</v>
      </c>
      <c r="EH205" s="29" t="s">
        <v>2037</v>
      </c>
      <c r="EI205" s="55">
        <f t="shared" si="106"/>
        <v>0.30484693877551022</v>
      </c>
      <c r="EJ205" s="54">
        <f t="shared" si="107"/>
        <v>0</v>
      </c>
      <c r="EK205" s="55">
        <f t="shared" si="108"/>
        <v>1.1109693877551021</v>
      </c>
      <c r="EL205" s="54">
        <f t="shared" si="109"/>
        <v>0</v>
      </c>
    </row>
    <row r="206" spans="1:142" ht="28.8" x14ac:dyDescent="0.3">
      <c r="A206" s="29" t="s">
        <v>1739</v>
      </c>
      <c r="B206" s="29"/>
      <c r="C206" s="30">
        <v>1431</v>
      </c>
      <c r="D206" s="30">
        <v>0</v>
      </c>
      <c r="E206" s="30">
        <v>0</v>
      </c>
      <c r="F206" s="30">
        <v>7000</v>
      </c>
      <c r="H206" s="2">
        <f t="shared" si="85"/>
        <v>7000</v>
      </c>
      <c r="I206" s="1">
        <f t="shared" si="84"/>
        <v>4.8916841369671555</v>
      </c>
      <c r="J206" s="31">
        <v>10400</v>
      </c>
      <c r="K206" s="31">
        <v>644</v>
      </c>
      <c r="L206" s="31">
        <v>11044</v>
      </c>
      <c r="M206" s="45">
        <f t="shared" si="86"/>
        <v>7.7176799440950381</v>
      </c>
      <c r="N206" s="31">
        <v>9219</v>
      </c>
      <c r="O206" s="31">
        <v>1139</v>
      </c>
      <c r="P206" s="31">
        <v>1408</v>
      </c>
      <c r="Q206" s="31">
        <v>11766</v>
      </c>
      <c r="R206" s="45">
        <f t="shared" si="87"/>
        <v>8.2222222222222214</v>
      </c>
      <c r="S206" s="31">
        <v>29637</v>
      </c>
      <c r="T206" s="31">
        <v>52447</v>
      </c>
      <c r="U206" s="31">
        <v>0</v>
      </c>
      <c r="V206" s="31">
        <v>52447</v>
      </c>
      <c r="W206" s="45">
        <f t="shared" si="88"/>
        <v>36.650593990216635</v>
      </c>
      <c r="X206" s="4">
        <f t="shared" si="89"/>
        <v>0.21057448471790569</v>
      </c>
      <c r="Y206" s="4">
        <f t="shared" si="90"/>
        <v>0.22434076305603753</v>
      </c>
      <c r="Z206" s="4">
        <f t="shared" si="91"/>
        <v>0.56508475222605681</v>
      </c>
      <c r="AA206" s="4">
        <f t="shared" si="92"/>
        <v>0</v>
      </c>
      <c r="AB206" s="31">
        <v>8380</v>
      </c>
      <c r="AC206" s="31">
        <v>3771</v>
      </c>
      <c r="AD206" s="31">
        <v>42127</v>
      </c>
      <c r="AE206" s="31">
        <v>5325</v>
      </c>
      <c r="AF206" s="31">
        <v>5325</v>
      </c>
      <c r="AG206" s="31">
        <v>0</v>
      </c>
      <c r="AH206" s="31">
        <v>0</v>
      </c>
      <c r="AI206" s="31">
        <v>5325</v>
      </c>
      <c r="AJ206" s="45">
        <f t="shared" si="93"/>
        <v>3.7211740041928723</v>
      </c>
      <c r="AK206" s="31">
        <v>0</v>
      </c>
      <c r="AL206" s="31">
        <v>0</v>
      </c>
      <c r="AM206" s="31">
        <v>0</v>
      </c>
      <c r="AN206" s="31">
        <v>0</v>
      </c>
      <c r="AO206" s="31">
        <v>10320</v>
      </c>
      <c r="AP206" s="31">
        <v>38898</v>
      </c>
      <c r="AQ206" s="31">
        <v>49218</v>
      </c>
      <c r="AR206" s="31">
        <v>54543</v>
      </c>
      <c r="AS206" s="46">
        <f t="shared" si="94"/>
        <v>38.115303983228515</v>
      </c>
      <c r="AT206" s="31">
        <v>0</v>
      </c>
      <c r="AU206" s="31">
        <v>0</v>
      </c>
      <c r="AV206" s="31">
        <v>0</v>
      </c>
      <c r="AW206" s="31">
        <v>0</v>
      </c>
      <c r="AX206" s="31">
        <v>0</v>
      </c>
      <c r="AY206" s="31">
        <v>0</v>
      </c>
      <c r="AZ206" s="31">
        <v>0</v>
      </c>
      <c r="BA206" s="31">
        <v>8380</v>
      </c>
      <c r="BB206" s="31">
        <v>8380</v>
      </c>
      <c r="BC206" s="33" t="s">
        <v>25</v>
      </c>
      <c r="BD206" s="47">
        <v>9486</v>
      </c>
      <c r="BE206" s="47">
        <v>9544</v>
      </c>
      <c r="BF206" s="45">
        <f t="shared" si="95"/>
        <v>6.6694619147449332</v>
      </c>
      <c r="BG206" s="30">
        <v>345</v>
      </c>
      <c r="BH206" s="30">
        <v>345</v>
      </c>
      <c r="BI206" s="30">
        <v>0</v>
      </c>
      <c r="BJ206" s="30">
        <v>730</v>
      </c>
      <c r="BK206" s="30">
        <v>747</v>
      </c>
      <c r="BL206" s="30">
        <v>0</v>
      </c>
      <c r="BM206" s="30">
        <v>0</v>
      </c>
      <c r="BN206" s="30">
        <v>1</v>
      </c>
      <c r="BO206" s="30">
        <v>51</v>
      </c>
      <c r="BP206" s="30">
        <v>0</v>
      </c>
      <c r="BQ206" s="30">
        <v>52</v>
      </c>
      <c r="BR206" s="47">
        <v>10561</v>
      </c>
      <c r="BS206" s="47">
        <v>10637</v>
      </c>
      <c r="BT206" s="1">
        <f t="shared" si="96"/>
        <v>7.433263452131377</v>
      </c>
      <c r="BU206" s="30">
        <v>5</v>
      </c>
      <c r="BV206" s="30">
        <v>0</v>
      </c>
      <c r="BW206" s="47">
        <v>525</v>
      </c>
      <c r="BX206" s="52">
        <f t="shared" si="97"/>
        <v>0.3668763102725367</v>
      </c>
      <c r="BY206" s="47">
        <v>2665</v>
      </c>
      <c r="BZ206" s="47">
        <v>0</v>
      </c>
      <c r="CA206" s="47">
        <v>2687</v>
      </c>
      <c r="CB206" s="47">
        <v>0</v>
      </c>
      <c r="CC206" s="47">
        <v>5352</v>
      </c>
      <c r="CD206" s="55">
        <f t="shared" si="98"/>
        <v>3.7400419287211739</v>
      </c>
      <c r="CE206" s="3">
        <f t="shared" si="99"/>
        <v>10704</v>
      </c>
      <c r="CF206" s="55">
        <f t="shared" si="100"/>
        <v>5.3520000000000003</v>
      </c>
      <c r="CG206" s="55">
        <f t="shared" si="101"/>
        <v>0.91051378019734608</v>
      </c>
      <c r="CH206" s="55">
        <f t="shared" si="102"/>
        <v>0.50314938422487543</v>
      </c>
      <c r="CI206" s="30">
        <v>72</v>
      </c>
      <c r="CJ206" s="30">
        <v>0</v>
      </c>
      <c r="CK206" s="30">
        <v>16</v>
      </c>
      <c r="CL206" s="30">
        <v>88</v>
      </c>
      <c r="CM206" s="30">
        <v>790</v>
      </c>
      <c r="CN206" s="30">
        <v>0</v>
      </c>
      <c r="CO206" s="30">
        <v>96</v>
      </c>
      <c r="CP206" s="30">
        <v>886</v>
      </c>
      <c r="CQ206" s="1">
        <f t="shared" si="110"/>
        <v>0.61914744933612853</v>
      </c>
      <c r="CR206" s="47">
        <v>5878</v>
      </c>
      <c r="CS206" s="55">
        <f t="shared" si="103"/>
        <v>4.1076170510132775</v>
      </c>
      <c r="CT206" s="59">
        <v>1446</v>
      </c>
      <c r="CU206" s="29" t="s">
        <v>25</v>
      </c>
      <c r="CV206" s="29" t="s">
        <v>25</v>
      </c>
      <c r="CW206" s="29" t="s">
        <v>25</v>
      </c>
      <c r="CX206" s="35">
        <v>0</v>
      </c>
      <c r="CY206" s="49">
        <v>0</v>
      </c>
      <c r="CZ206" s="35">
        <v>0.5</v>
      </c>
      <c r="DA206" s="35">
        <v>0</v>
      </c>
      <c r="DB206" s="35">
        <v>0.5</v>
      </c>
      <c r="DC206" s="49">
        <f t="shared" si="104"/>
        <v>2862</v>
      </c>
      <c r="DD206" s="30">
        <v>2156</v>
      </c>
      <c r="DE206" s="31">
        <v>10400</v>
      </c>
      <c r="DF206" s="35">
        <v>20</v>
      </c>
      <c r="DG206" s="29" t="s">
        <v>25</v>
      </c>
      <c r="DH206" s="29" t="s">
        <v>25</v>
      </c>
      <c r="DI206" s="29" t="s">
        <v>25</v>
      </c>
      <c r="DJ206" s="47">
        <v>2</v>
      </c>
      <c r="DK206" s="47">
        <v>0</v>
      </c>
      <c r="DL206" s="47">
        <v>12</v>
      </c>
      <c r="DM206" s="47">
        <v>2798</v>
      </c>
      <c r="DN206" s="47">
        <v>125</v>
      </c>
      <c r="DO206" s="47">
        <v>0</v>
      </c>
      <c r="DP206" s="29" t="s">
        <v>25</v>
      </c>
      <c r="DQ206" s="47">
        <v>-6</v>
      </c>
      <c r="DR206" s="47">
        <v>1000</v>
      </c>
      <c r="DS206" s="30">
        <v>50</v>
      </c>
      <c r="DT206" s="30">
        <v>20</v>
      </c>
      <c r="DU206" s="30">
        <v>20</v>
      </c>
      <c r="DV206" s="30">
        <v>20</v>
      </c>
      <c r="DX206" s="2">
        <f t="shared" si="105"/>
        <v>1000</v>
      </c>
      <c r="DY206" s="33" t="s">
        <v>2185</v>
      </c>
      <c r="DZ206" s="33" t="s">
        <v>1741</v>
      </c>
      <c r="EA206" s="33" t="s">
        <v>2032</v>
      </c>
      <c r="EB206" s="33" t="s">
        <v>2027</v>
      </c>
      <c r="EC206" s="36">
        <v>603</v>
      </c>
      <c r="ED206" s="29" t="s">
        <v>1740</v>
      </c>
      <c r="EE206" s="29" t="s">
        <v>374</v>
      </c>
      <c r="EF206" s="37">
        <v>41640</v>
      </c>
      <c r="EG206" s="37">
        <v>42004</v>
      </c>
      <c r="EH206" s="29" t="s">
        <v>1740</v>
      </c>
      <c r="EI206" s="55">
        <f t="shared" si="106"/>
        <v>1.862334032145353</v>
      </c>
      <c r="EJ206" s="54">
        <f t="shared" si="107"/>
        <v>0</v>
      </c>
      <c r="EK206" s="55">
        <f t="shared" si="108"/>
        <v>1.8777078965758212</v>
      </c>
      <c r="EL206" s="54">
        <f t="shared" si="109"/>
        <v>0</v>
      </c>
    </row>
    <row r="207" spans="1:142" ht="28.8" x14ac:dyDescent="0.3">
      <c r="A207" s="29" t="s">
        <v>604</v>
      </c>
      <c r="B207" s="29"/>
      <c r="C207" s="30">
        <v>50195</v>
      </c>
      <c r="D207" s="30">
        <v>0</v>
      </c>
      <c r="E207" s="30">
        <v>0</v>
      </c>
      <c r="F207" s="30">
        <v>53000</v>
      </c>
      <c r="H207" s="2">
        <f t="shared" si="85"/>
        <v>53000</v>
      </c>
      <c r="I207" s="1">
        <f t="shared" si="84"/>
        <v>1.055882059966132</v>
      </c>
      <c r="J207" s="31">
        <v>1070238</v>
      </c>
      <c r="K207" s="31">
        <v>207139</v>
      </c>
      <c r="L207" s="31">
        <v>1277377</v>
      </c>
      <c r="M207" s="45">
        <f t="shared" si="86"/>
        <v>25.448291662516187</v>
      </c>
      <c r="N207" s="31">
        <v>198370</v>
      </c>
      <c r="O207" s="31">
        <v>95647</v>
      </c>
      <c r="P207" s="31">
        <v>33747</v>
      </c>
      <c r="Q207" s="31">
        <v>327764</v>
      </c>
      <c r="R207" s="45">
        <f t="shared" si="87"/>
        <v>6.5298137264667799</v>
      </c>
      <c r="S207" s="31">
        <v>85072</v>
      </c>
      <c r="T207" s="31">
        <v>1690213</v>
      </c>
      <c r="U207" s="31">
        <v>0</v>
      </c>
      <c r="V207" s="31">
        <v>1690213</v>
      </c>
      <c r="W207" s="45">
        <f t="shared" si="88"/>
        <v>33.672935551349738</v>
      </c>
      <c r="X207" s="4">
        <f t="shared" si="89"/>
        <v>0.75574912747683276</v>
      </c>
      <c r="Y207" s="4">
        <f t="shared" si="90"/>
        <v>0.19391875461850075</v>
      </c>
      <c r="Z207" s="4">
        <f t="shared" si="91"/>
        <v>5.0332117904666455E-2</v>
      </c>
      <c r="AA207" s="4">
        <f t="shared" si="92"/>
        <v>0</v>
      </c>
      <c r="AB207" s="31">
        <v>0</v>
      </c>
      <c r="AC207" s="31">
        <v>327764</v>
      </c>
      <c r="AD207" s="31">
        <v>1690213</v>
      </c>
      <c r="AE207" s="31">
        <v>1690213</v>
      </c>
      <c r="AF207" s="31">
        <v>1690213</v>
      </c>
      <c r="AG207" s="31">
        <v>0</v>
      </c>
      <c r="AH207" s="31">
        <v>0</v>
      </c>
      <c r="AI207" s="31">
        <v>1690213</v>
      </c>
      <c r="AJ207" s="45">
        <f t="shared" si="93"/>
        <v>33.672935551349738</v>
      </c>
      <c r="AK207" s="31">
        <v>0</v>
      </c>
      <c r="AL207" s="31">
        <v>0</v>
      </c>
      <c r="AM207" s="31">
        <v>0</v>
      </c>
      <c r="AN207" s="31">
        <v>0</v>
      </c>
      <c r="AO207" s="31">
        <v>0</v>
      </c>
      <c r="AP207" s="31">
        <v>0</v>
      </c>
      <c r="AQ207" s="31">
        <v>0</v>
      </c>
      <c r="AR207" s="31">
        <v>1690213</v>
      </c>
      <c r="AS207" s="46">
        <f t="shared" si="94"/>
        <v>33.672935551349738</v>
      </c>
      <c r="AT207" s="31">
        <v>0</v>
      </c>
      <c r="AU207" s="31">
        <v>0</v>
      </c>
      <c r="AV207" s="31">
        <v>0</v>
      </c>
      <c r="AW207" s="31">
        <v>0</v>
      </c>
      <c r="AX207" s="31">
        <v>0</v>
      </c>
      <c r="AY207" s="31">
        <v>0</v>
      </c>
      <c r="AZ207" s="31">
        <v>0</v>
      </c>
      <c r="BA207" s="31">
        <v>0</v>
      </c>
      <c r="BB207" s="31">
        <v>0</v>
      </c>
      <c r="BC207" s="33" t="s">
        <v>25</v>
      </c>
      <c r="BD207" s="47">
        <v>118629</v>
      </c>
      <c r="BE207" s="47">
        <v>134317</v>
      </c>
      <c r="BF207" s="45">
        <f t="shared" si="95"/>
        <v>2.6759039744994522</v>
      </c>
      <c r="BG207" s="30">
        <v>13890</v>
      </c>
      <c r="BH207" s="30">
        <v>15523</v>
      </c>
      <c r="BI207" s="30">
        <v>6800</v>
      </c>
      <c r="BJ207" s="30">
        <v>8631</v>
      </c>
      <c r="BK207" s="30">
        <v>10277</v>
      </c>
      <c r="BL207" s="30">
        <v>0</v>
      </c>
      <c r="BM207" s="30">
        <v>9300</v>
      </c>
      <c r="BN207" s="30">
        <v>30</v>
      </c>
      <c r="BO207" s="30">
        <v>51</v>
      </c>
      <c r="BP207" s="30">
        <v>0</v>
      </c>
      <c r="BQ207" s="30">
        <v>81</v>
      </c>
      <c r="BR207" s="47">
        <v>141150</v>
      </c>
      <c r="BS207" s="47">
        <v>176247</v>
      </c>
      <c r="BT207" s="1">
        <f t="shared" si="96"/>
        <v>3.5112461400537902</v>
      </c>
      <c r="BU207" s="30">
        <v>103</v>
      </c>
      <c r="BV207" s="30">
        <v>90</v>
      </c>
      <c r="BW207" s="47">
        <v>12032</v>
      </c>
      <c r="BX207" s="52">
        <f t="shared" si="97"/>
        <v>0.23970514991533021</v>
      </c>
      <c r="BY207" s="47">
        <v>155686</v>
      </c>
      <c r="BZ207" s="47">
        <v>8321</v>
      </c>
      <c r="CA207" s="47">
        <v>113308</v>
      </c>
      <c r="CB207" s="47">
        <v>16119</v>
      </c>
      <c r="CC207" s="47">
        <v>293434</v>
      </c>
      <c r="CD207" s="55">
        <f t="shared" si="98"/>
        <v>5.8458810638509808</v>
      </c>
      <c r="CE207" s="3">
        <f t="shared" si="99"/>
        <v>11775.040128410914</v>
      </c>
      <c r="CF207" s="55">
        <f t="shared" si="100"/>
        <v>91.985579937304081</v>
      </c>
      <c r="CG207" s="55">
        <f t="shared" si="101"/>
        <v>2.1115980512798371</v>
      </c>
      <c r="CH207" s="55">
        <f t="shared" si="102"/>
        <v>1.5262330706338263</v>
      </c>
      <c r="CI207" s="30">
        <v>464</v>
      </c>
      <c r="CJ207" s="30">
        <v>25</v>
      </c>
      <c r="CK207" s="30">
        <v>98</v>
      </c>
      <c r="CL207" s="30">
        <v>587</v>
      </c>
      <c r="CM207" s="30">
        <v>12193</v>
      </c>
      <c r="CN207" s="30">
        <v>333</v>
      </c>
      <c r="CO207" s="30">
        <v>1978</v>
      </c>
      <c r="CP207" s="30">
        <v>14504</v>
      </c>
      <c r="CQ207" s="1">
        <f t="shared" si="110"/>
        <v>0.28895308297639205</v>
      </c>
      <c r="CR207" s="47">
        <v>138963</v>
      </c>
      <c r="CS207" s="55">
        <f t="shared" si="103"/>
        <v>2.7684629943221437</v>
      </c>
      <c r="CT207" s="59">
        <v>27056</v>
      </c>
      <c r="CU207" s="29" t="s">
        <v>25</v>
      </c>
      <c r="CV207" s="29" t="s">
        <v>25</v>
      </c>
      <c r="CW207" s="29" t="s">
        <v>25</v>
      </c>
      <c r="CX207" s="35">
        <v>9</v>
      </c>
      <c r="CY207" s="49">
        <f>C207/CX207</f>
        <v>5577.2222222222226</v>
      </c>
      <c r="CZ207" s="35">
        <v>1</v>
      </c>
      <c r="DA207" s="35">
        <v>14.92</v>
      </c>
      <c r="DB207" s="35">
        <v>24.92</v>
      </c>
      <c r="DC207" s="49">
        <f t="shared" si="104"/>
        <v>2014.2455858747992</v>
      </c>
      <c r="DD207" s="30">
        <v>7002</v>
      </c>
      <c r="DE207" s="31">
        <v>137000</v>
      </c>
      <c r="DF207" s="35">
        <v>40</v>
      </c>
      <c r="DG207" s="29" t="s">
        <v>25</v>
      </c>
      <c r="DH207" s="29" t="s">
        <v>25</v>
      </c>
      <c r="DI207" s="29" t="s">
        <v>25</v>
      </c>
      <c r="DJ207" s="47">
        <v>227</v>
      </c>
      <c r="DK207" s="47">
        <v>0</v>
      </c>
      <c r="DL207" s="47">
        <v>36</v>
      </c>
      <c r="DM207" s="47">
        <v>19149</v>
      </c>
      <c r="DN207" s="47">
        <v>3000</v>
      </c>
      <c r="DO207" s="47">
        <v>0</v>
      </c>
      <c r="DP207" s="29" t="s">
        <v>25</v>
      </c>
      <c r="DQ207" s="47">
        <v>75769</v>
      </c>
      <c r="DR207" s="47">
        <v>3190</v>
      </c>
      <c r="DS207" s="30">
        <v>52</v>
      </c>
      <c r="DT207" s="30">
        <v>63</v>
      </c>
      <c r="DU207" s="30">
        <v>63</v>
      </c>
      <c r="DV207" s="30">
        <v>63</v>
      </c>
      <c r="DX207" s="2">
        <f t="shared" si="105"/>
        <v>3190</v>
      </c>
      <c r="DY207" s="33" t="s">
        <v>2181</v>
      </c>
      <c r="DZ207" s="33" t="s">
        <v>606</v>
      </c>
      <c r="EA207" s="33" t="s">
        <v>2030</v>
      </c>
      <c r="EB207" s="33" t="s">
        <v>2027</v>
      </c>
      <c r="EC207" s="36">
        <v>164</v>
      </c>
      <c r="ED207" s="29" t="s">
        <v>605</v>
      </c>
      <c r="EE207" s="29" t="s">
        <v>91</v>
      </c>
      <c r="EF207" s="37">
        <v>41548</v>
      </c>
      <c r="EG207" s="37">
        <v>41912</v>
      </c>
      <c r="EH207" s="29" t="s">
        <v>605</v>
      </c>
      <c r="EI207" s="55">
        <f t="shared" si="106"/>
        <v>3.1016236676959856</v>
      </c>
      <c r="EJ207" s="54">
        <f t="shared" si="107"/>
        <v>0.16577348341468273</v>
      </c>
      <c r="EK207" s="55">
        <f t="shared" si="108"/>
        <v>2.2573563103894809</v>
      </c>
      <c r="EL207" s="54">
        <f t="shared" si="109"/>
        <v>0.32112760235083176</v>
      </c>
    </row>
    <row r="208" spans="1:142" ht="43.2" x14ac:dyDescent="0.3">
      <c r="A208" s="29" t="s">
        <v>607</v>
      </c>
      <c r="B208" s="29"/>
      <c r="C208" s="30">
        <v>25917</v>
      </c>
      <c r="D208" s="30">
        <v>0</v>
      </c>
      <c r="E208" s="30">
        <v>0</v>
      </c>
      <c r="F208" s="30">
        <v>24000</v>
      </c>
      <c r="H208" s="2">
        <f t="shared" si="85"/>
        <v>24000</v>
      </c>
      <c r="I208" s="1">
        <f t="shared" si="84"/>
        <v>0.92603310568352815</v>
      </c>
      <c r="J208" s="31">
        <v>305772</v>
      </c>
      <c r="K208" s="31">
        <v>105090</v>
      </c>
      <c r="L208" s="31">
        <v>410862</v>
      </c>
      <c r="M208" s="45">
        <f t="shared" si="86"/>
        <v>15.852992244472739</v>
      </c>
      <c r="N208" s="31">
        <v>36089</v>
      </c>
      <c r="O208" s="31">
        <v>6103</v>
      </c>
      <c r="P208" s="31">
        <v>2317</v>
      </c>
      <c r="Q208" s="31">
        <v>44509</v>
      </c>
      <c r="R208" s="45">
        <f t="shared" si="87"/>
        <v>1.7173669792028399</v>
      </c>
      <c r="S208" s="31">
        <v>75461</v>
      </c>
      <c r="T208" s="31">
        <v>530832</v>
      </c>
      <c r="U208" s="31">
        <v>0</v>
      </c>
      <c r="V208" s="31">
        <v>530832</v>
      </c>
      <c r="W208" s="45">
        <f t="shared" si="88"/>
        <v>20.482000231508277</v>
      </c>
      <c r="X208" s="4">
        <f t="shared" si="89"/>
        <v>0.77399629261235192</v>
      </c>
      <c r="Y208" s="4">
        <f t="shared" si="90"/>
        <v>8.3847620339391749E-2</v>
      </c>
      <c r="Z208" s="4">
        <f t="shared" si="91"/>
        <v>0.14215608704825633</v>
      </c>
      <c r="AA208" s="4">
        <f t="shared" si="92"/>
        <v>0</v>
      </c>
      <c r="AB208" s="31">
        <v>0</v>
      </c>
      <c r="AC208" s="31">
        <v>44509</v>
      </c>
      <c r="AD208" s="31">
        <v>530832</v>
      </c>
      <c r="AE208" s="31">
        <v>523294</v>
      </c>
      <c r="AF208" s="31">
        <v>544186</v>
      </c>
      <c r="AG208" s="31">
        <v>0</v>
      </c>
      <c r="AH208" s="31">
        <v>0</v>
      </c>
      <c r="AI208" s="31">
        <v>544186</v>
      </c>
      <c r="AJ208" s="45">
        <f t="shared" si="93"/>
        <v>20.997260485395685</v>
      </c>
      <c r="AK208" s="31">
        <v>0</v>
      </c>
      <c r="AL208" s="31">
        <v>0</v>
      </c>
      <c r="AM208" s="31">
        <v>0</v>
      </c>
      <c r="AN208" s="31">
        <v>0</v>
      </c>
      <c r="AO208" s="31">
        <v>0</v>
      </c>
      <c r="AP208" s="31">
        <v>11892</v>
      </c>
      <c r="AQ208" s="31">
        <v>11892</v>
      </c>
      <c r="AR208" s="31">
        <v>556078</v>
      </c>
      <c r="AS208" s="46">
        <f t="shared" si="94"/>
        <v>21.456109889261874</v>
      </c>
      <c r="AT208" s="31">
        <v>0</v>
      </c>
      <c r="AU208" s="31">
        <v>0</v>
      </c>
      <c r="AV208" s="31">
        <v>0</v>
      </c>
      <c r="AW208" s="31">
        <v>0</v>
      </c>
      <c r="AX208" s="31">
        <v>0</v>
      </c>
      <c r="AY208" s="31">
        <v>0</v>
      </c>
      <c r="AZ208" s="31">
        <v>0</v>
      </c>
      <c r="BA208" s="31">
        <v>0</v>
      </c>
      <c r="BB208" s="31">
        <v>0</v>
      </c>
      <c r="BC208" s="33" t="s">
        <v>25</v>
      </c>
      <c r="BD208" s="47">
        <v>59741</v>
      </c>
      <c r="BE208" s="47">
        <v>66720</v>
      </c>
      <c r="BF208" s="45">
        <f t="shared" si="95"/>
        <v>2.5743720338002083</v>
      </c>
      <c r="BG208" s="30">
        <v>2358</v>
      </c>
      <c r="BH208" s="30">
        <v>2422</v>
      </c>
      <c r="BI208" s="30">
        <v>1447</v>
      </c>
      <c r="BJ208" s="30">
        <v>3151</v>
      </c>
      <c r="BK208" s="30">
        <v>3600</v>
      </c>
      <c r="BL208" s="30">
        <v>24</v>
      </c>
      <c r="BM208" s="30">
        <v>9045</v>
      </c>
      <c r="BN208" s="30">
        <v>3</v>
      </c>
      <c r="BO208" s="30">
        <v>51</v>
      </c>
      <c r="BP208" s="30">
        <v>0</v>
      </c>
      <c r="BQ208" s="30">
        <v>54</v>
      </c>
      <c r="BR208" s="47">
        <v>65250</v>
      </c>
      <c r="BS208" s="47">
        <v>83261</v>
      </c>
      <c r="BT208" s="1">
        <f t="shared" si="96"/>
        <v>3.2126017671798435</v>
      </c>
      <c r="BU208" s="30">
        <v>51</v>
      </c>
      <c r="BV208" s="30">
        <v>0</v>
      </c>
      <c r="BW208" s="47">
        <v>40525</v>
      </c>
      <c r="BX208" s="52">
        <f t="shared" si="97"/>
        <v>1.5636454836593741</v>
      </c>
      <c r="BY208" s="47">
        <v>33654</v>
      </c>
      <c r="BZ208" s="47">
        <v>206</v>
      </c>
      <c r="CA208" s="47">
        <v>80825</v>
      </c>
      <c r="CB208" s="47">
        <v>6900</v>
      </c>
      <c r="CC208" s="47">
        <v>121585</v>
      </c>
      <c r="CD208" s="55">
        <f t="shared" si="98"/>
        <v>4.691322298105491</v>
      </c>
      <c r="CE208" s="3">
        <f t="shared" si="99"/>
        <v>15893.464052287582</v>
      </c>
      <c r="CF208" s="55">
        <f t="shared" si="100"/>
        <v>46.620015337423311</v>
      </c>
      <c r="CG208" s="55">
        <f t="shared" si="101"/>
        <v>1.0446613453392561</v>
      </c>
      <c r="CH208" s="55">
        <f t="shared" si="102"/>
        <v>1.3749414491778864</v>
      </c>
      <c r="CI208" s="30">
        <v>321</v>
      </c>
      <c r="CJ208" s="30">
        <v>17</v>
      </c>
      <c r="CK208" s="30">
        <v>321</v>
      </c>
      <c r="CL208" s="30">
        <v>659</v>
      </c>
      <c r="CM208" s="30">
        <v>13986</v>
      </c>
      <c r="CN208" s="30">
        <v>326</v>
      </c>
      <c r="CO208" s="30">
        <v>3699</v>
      </c>
      <c r="CP208" s="30">
        <v>18011</v>
      </c>
      <c r="CQ208" s="1">
        <f t="shared" si="110"/>
        <v>0.69494926110275113</v>
      </c>
      <c r="CR208" s="47">
        <v>116387</v>
      </c>
      <c r="CS208" s="55">
        <f t="shared" si="103"/>
        <v>4.4907589612995329</v>
      </c>
      <c r="CT208" s="59">
        <v>8847</v>
      </c>
      <c r="CU208" s="29" t="s">
        <v>25</v>
      </c>
      <c r="CV208" s="29" t="s">
        <v>25</v>
      </c>
      <c r="CW208" s="29" t="s">
        <v>25</v>
      </c>
      <c r="CX208" s="35">
        <v>2</v>
      </c>
      <c r="CY208" s="49">
        <f>C208/CX208</f>
        <v>12958.5</v>
      </c>
      <c r="CZ208" s="35">
        <v>1</v>
      </c>
      <c r="DA208" s="35">
        <v>4.6500000000000004</v>
      </c>
      <c r="DB208" s="35">
        <v>7.65</v>
      </c>
      <c r="DC208" s="49">
        <f t="shared" si="104"/>
        <v>3387.8431372549016</v>
      </c>
      <c r="DD208" s="30">
        <v>602</v>
      </c>
      <c r="DE208" s="31">
        <v>76080</v>
      </c>
      <c r="DF208" s="35">
        <v>40</v>
      </c>
      <c r="DG208" s="29" t="s">
        <v>25</v>
      </c>
      <c r="DH208" s="29" t="s">
        <v>25</v>
      </c>
      <c r="DI208" s="29" t="s">
        <v>25</v>
      </c>
      <c r="DJ208" s="47">
        <v>582</v>
      </c>
      <c r="DK208" s="47">
        <v>17</v>
      </c>
      <c r="DL208" s="47">
        <v>34</v>
      </c>
      <c r="DM208" s="47">
        <v>33032</v>
      </c>
      <c r="DN208" s="47">
        <v>353</v>
      </c>
      <c r="DO208" s="47">
        <v>7500</v>
      </c>
      <c r="DP208" s="29" t="s">
        <v>2028</v>
      </c>
      <c r="DQ208" s="47">
        <v>0</v>
      </c>
      <c r="DR208" s="47">
        <v>2608</v>
      </c>
      <c r="DS208" s="30">
        <v>52</v>
      </c>
      <c r="DT208" s="30">
        <v>52</v>
      </c>
      <c r="DU208" s="30">
        <v>52</v>
      </c>
      <c r="DV208" s="30">
        <v>52</v>
      </c>
      <c r="DX208" s="2">
        <f t="shared" si="105"/>
        <v>2608</v>
      </c>
      <c r="DY208" s="33" t="s">
        <v>2182</v>
      </c>
      <c r="DZ208" s="33" t="s">
        <v>609</v>
      </c>
      <c r="EA208" s="33" t="s">
        <v>2030</v>
      </c>
      <c r="EB208" s="33" t="s">
        <v>2027</v>
      </c>
      <c r="EC208" s="36">
        <v>165</v>
      </c>
      <c r="ED208" s="29" t="s">
        <v>608</v>
      </c>
      <c r="EE208" s="29" t="s">
        <v>341</v>
      </c>
      <c r="EF208" s="37">
        <v>41548</v>
      </c>
      <c r="EG208" s="37">
        <v>41912</v>
      </c>
      <c r="EH208" s="29" t="s">
        <v>608</v>
      </c>
      <c r="EI208" s="55">
        <f t="shared" si="106"/>
        <v>1.2985299224447273</v>
      </c>
      <c r="EJ208" s="54">
        <f t="shared" si="107"/>
        <v>7.948450823783617E-3</v>
      </c>
      <c r="EK208" s="55">
        <f t="shared" si="108"/>
        <v>3.1186094069529653</v>
      </c>
      <c r="EL208" s="54">
        <f t="shared" si="109"/>
        <v>0.26623451788401437</v>
      </c>
    </row>
    <row r="209" spans="1:142" ht="28.8" x14ac:dyDescent="0.3">
      <c r="A209" s="29" t="s">
        <v>610</v>
      </c>
      <c r="B209" s="29"/>
      <c r="C209" s="30">
        <v>8551</v>
      </c>
      <c r="D209" s="30">
        <v>0</v>
      </c>
      <c r="E209" s="30">
        <v>0</v>
      </c>
      <c r="F209" s="30">
        <v>4100</v>
      </c>
      <c r="H209" s="2">
        <f t="shared" si="85"/>
        <v>4100</v>
      </c>
      <c r="I209" s="1">
        <f t="shared" si="84"/>
        <v>0.47947608466845981</v>
      </c>
      <c r="J209" s="31">
        <v>56000</v>
      </c>
      <c r="K209" s="31">
        <v>7200</v>
      </c>
      <c r="L209" s="31">
        <v>63200</v>
      </c>
      <c r="M209" s="45">
        <f t="shared" si="86"/>
        <v>7.3909484270845516</v>
      </c>
      <c r="N209" s="31">
        <v>10900</v>
      </c>
      <c r="O209" s="31">
        <v>3388</v>
      </c>
      <c r="P209" s="31">
        <v>1000</v>
      </c>
      <c r="Q209" s="31">
        <v>15288</v>
      </c>
      <c r="R209" s="45">
        <f t="shared" si="87"/>
        <v>1.7878610688808327</v>
      </c>
      <c r="S209" s="31">
        <v>16330</v>
      </c>
      <c r="T209" s="31">
        <v>94818</v>
      </c>
      <c r="U209" s="31">
        <v>0</v>
      </c>
      <c r="V209" s="31">
        <v>94818</v>
      </c>
      <c r="W209" s="45">
        <f t="shared" si="88"/>
        <v>11.088527657583908</v>
      </c>
      <c r="X209" s="4">
        <f t="shared" si="89"/>
        <v>0.66654010841823286</v>
      </c>
      <c r="Y209" s="4">
        <f t="shared" si="90"/>
        <v>0.16123520850471429</v>
      </c>
      <c r="Z209" s="4">
        <f t="shared" si="91"/>
        <v>0.17222468307705288</v>
      </c>
      <c r="AA209" s="4">
        <f t="shared" si="92"/>
        <v>0</v>
      </c>
      <c r="AB209" s="31">
        <v>90000</v>
      </c>
      <c r="AC209" s="31">
        <v>15288</v>
      </c>
      <c r="AD209" s="31">
        <v>94818</v>
      </c>
      <c r="AE209" s="31">
        <v>89085</v>
      </c>
      <c r="AF209" s="31">
        <v>95663</v>
      </c>
      <c r="AG209" s="31">
        <v>8000</v>
      </c>
      <c r="AH209" s="31">
        <v>0</v>
      </c>
      <c r="AI209" s="31">
        <v>103663</v>
      </c>
      <c r="AJ209" s="45">
        <f t="shared" si="93"/>
        <v>12.122909601216232</v>
      </c>
      <c r="AK209" s="31">
        <v>0</v>
      </c>
      <c r="AL209" s="31">
        <v>0</v>
      </c>
      <c r="AM209" s="31">
        <v>0</v>
      </c>
      <c r="AN209" s="31">
        <v>0</v>
      </c>
      <c r="AO209" s="31">
        <v>0</v>
      </c>
      <c r="AP209" s="31">
        <v>0</v>
      </c>
      <c r="AQ209" s="31">
        <v>0</v>
      </c>
      <c r="AR209" s="31">
        <v>103663</v>
      </c>
      <c r="AS209" s="46">
        <f t="shared" si="94"/>
        <v>12.122909601216232</v>
      </c>
      <c r="AT209" s="31">
        <v>90000</v>
      </c>
      <c r="AU209" s="31">
        <v>0</v>
      </c>
      <c r="AV209" s="31">
        <v>0</v>
      </c>
      <c r="AW209" s="31">
        <v>0</v>
      </c>
      <c r="AX209" s="31">
        <v>0</v>
      </c>
      <c r="AY209" s="31">
        <v>0</v>
      </c>
      <c r="AZ209" s="31">
        <v>0</v>
      </c>
      <c r="BA209" s="31">
        <v>0</v>
      </c>
      <c r="BB209" s="31">
        <v>90000</v>
      </c>
      <c r="BC209" s="33" t="s">
        <v>25</v>
      </c>
      <c r="BD209" s="47">
        <v>33107</v>
      </c>
      <c r="BE209" s="47">
        <v>33117</v>
      </c>
      <c r="BF209" s="45">
        <f t="shared" si="95"/>
        <v>3.872880364869606</v>
      </c>
      <c r="BG209" s="30">
        <v>465</v>
      </c>
      <c r="BH209" s="30">
        <v>2000</v>
      </c>
      <c r="BI209" s="30">
        <v>420</v>
      </c>
      <c r="BJ209" s="30">
        <v>450</v>
      </c>
      <c r="BK209" s="30">
        <v>525</v>
      </c>
      <c r="BL209" s="30">
        <v>85</v>
      </c>
      <c r="BM209" s="30">
        <v>1334</v>
      </c>
      <c r="BN209" s="30">
        <v>3</v>
      </c>
      <c r="BO209" s="30">
        <v>51</v>
      </c>
      <c r="BP209" s="30">
        <v>1</v>
      </c>
      <c r="BQ209" s="30">
        <v>55</v>
      </c>
      <c r="BR209" s="47">
        <v>34022</v>
      </c>
      <c r="BS209" s="47">
        <v>37484</v>
      </c>
      <c r="BT209" s="1">
        <f t="shared" si="96"/>
        <v>4.3835808677347678</v>
      </c>
      <c r="BU209" s="30">
        <v>42</v>
      </c>
      <c r="BV209" s="30">
        <v>21</v>
      </c>
      <c r="BW209" s="47">
        <v>45000</v>
      </c>
      <c r="BX209" s="52">
        <f t="shared" si="97"/>
        <v>5.262542392702608</v>
      </c>
      <c r="BY209" s="47">
        <v>5425</v>
      </c>
      <c r="BZ209" s="47">
        <v>356</v>
      </c>
      <c r="CA209" s="47">
        <v>23175</v>
      </c>
      <c r="CB209" s="47">
        <v>3767</v>
      </c>
      <c r="CC209" s="47">
        <v>32723</v>
      </c>
      <c r="CD209" s="55">
        <f t="shared" si="98"/>
        <v>3.826803882586832</v>
      </c>
      <c r="CE209" s="3">
        <f t="shared" si="99"/>
        <v>54538.333333333336</v>
      </c>
      <c r="CF209" s="55">
        <f t="shared" si="100"/>
        <v>34.086458333333333</v>
      </c>
      <c r="CG209" s="55">
        <f t="shared" si="101"/>
        <v>0.48122058823529412</v>
      </c>
      <c r="CH209" s="55">
        <f t="shared" si="102"/>
        <v>0.76299221000960404</v>
      </c>
      <c r="CI209" s="30">
        <v>200</v>
      </c>
      <c r="CJ209" s="30">
        <v>50</v>
      </c>
      <c r="CK209" s="30">
        <v>75</v>
      </c>
      <c r="CL209" s="30">
        <v>325</v>
      </c>
      <c r="CM209" s="30">
        <v>850</v>
      </c>
      <c r="CN209" s="30">
        <v>225</v>
      </c>
      <c r="CO209" s="30">
        <v>320</v>
      </c>
      <c r="CP209" s="30">
        <v>1395</v>
      </c>
      <c r="CQ209" s="1">
        <f t="shared" si="110"/>
        <v>0.16313881417378084</v>
      </c>
      <c r="CR209" s="47">
        <v>68000</v>
      </c>
      <c r="CS209" s="55">
        <f t="shared" si="103"/>
        <v>7.9522862823061633</v>
      </c>
      <c r="CT209" s="59">
        <v>8602</v>
      </c>
      <c r="CU209" s="29" t="s">
        <v>25</v>
      </c>
      <c r="CV209" s="29" t="s">
        <v>25</v>
      </c>
      <c r="CW209" s="29" t="s">
        <v>25</v>
      </c>
      <c r="CX209" s="35">
        <v>0</v>
      </c>
      <c r="CY209" s="49">
        <v>0</v>
      </c>
      <c r="CZ209" s="35">
        <v>0</v>
      </c>
      <c r="DA209" s="35">
        <v>0.6</v>
      </c>
      <c r="DB209" s="35">
        <v>0.6</v>
      </c>
      <c r="DC209" s="49">
        <f t="shared" si="104"/>
        <v>14251.666666666668</v>
      </c>
      <c r="DD209" s="30">
        <v>1610</v>
      </c>
      <c r="DE209" s="31">
        <v>35870</v>
      </c>
      <c r="DF209" s="35">
        <v>40</v>
      </c>
      <c r="DG209" s="29" t="s">
        <v>25</v>
      </c>
      <c r="DH209" s="29" t="s">
        <v>25</v>
      </c>
      <c r="DI209" s="29" t="s">
        <v>25</v>
      </c>
      <c r="DJ209" s="47">
        <v>3</v>
      </c>
      <c r="DK209" s="47">
        <v>3</v>
      </c>
      <c r="DL209" s="47">
        <v>14</v>
      </c>
      <c r="DM209" s="47">
        <v>3967</v>
      </c>
      <c r="DN209" s="47">
        <v>750</v>
      </c>
      <c r="DO209" s="47">
        <v>816</v>
      </c>
      <c r="DP209" s="29" t="s">
        <v>83</v>
      </c>
      <c r="DQ209" s="47">
        <v>0</v>
      </c>
      <c r="DR209" s="47">
        <v>960</v>
      </c>
      <c r="DS209" s="30">
        <v>52</v>
      </c>
      <c r="DT209" s="30">
        <v>33</v>
      </c>
      <c r="DU209" s="30">
        <v>33</v>
      </c>
      <c r="DV209" s="30">
        <v>33</v>
      </c>
      <c r="DX209" s="2">
        <f t="shared" si="105"/>
        <v>960</v>
      </c>
      <c r="DY209" s="33" t="s">
        <v>2186</v>
      </c>
      <c r="DZ209" s="33" t="s">
        <v>613</v>
      </c>
      <c r="EA209" s="33" t="s">
        <v>2030</v>
      </c>
      <c r="EB209" s="33" t="s">
        <v>2027</v>
      </c>
      <c r="EC209" s="36">
        <v>167</v>
      </c>
      <c r="ED209" s="29" t="s">
        <v>611</v>
      </c>
      <c r="EE209" s="29" t="s">
        <v>612</v>
      </c>
      <c r="EF209" s="37">
        <v>41365</v>
      </c>
      <c r="EG209" s="37">
        <v>41729</v>
      </c>
      <c r="EH209" s="29" t="s">
        <v>611</v>
      </c>
      <c r="EI209" s="55">
        <f t="shared" si="106"/>
        <v>0.63442872178692555</v>
      </c>
      <c r="EJ209" s="54">
        <f t="shared" si="107"/>
        <v>4.1632557595602852E-2</v>
      </c>
      <c r="EK209" s="55">
        <f t="shared" si="108"/>
        <v>2.7102093322418432</v>
      </c>
      <c r="EL209" s="54">
        <f t="shared" si="109"/>
        <v>0.44053327096246053</v>
      </c>
    </row>
    <row r="210" spans="1:142" ht="28.8" x14ac:dyDescent="0.3">
      <c r="A210" s="29" t="s">
        <v>614</v>
      </c>
      <c r="B210" s="29"/>
      <c r="C210" s="30">
        <v>15804</v>
      </c>
      <c r="D210" s="30">
        <v>0</v>
      </c>
      <c r="E210" s="30">
        <v>0</v>
      </c>
      <c r="F210" s="30">
        <v>10176</v>
      </c>
      <c r="H210" s="2">
        <f t="shared" si="85"/>
        <v>10176</v>
      </c>
      <c r="I210" s="1">
        <f t="shared" si="84"/>
        <v>0.64388762338648442</v>
      </c>
      <c r="J210" s="31">
        <v>172068</v>
      </c>
      <c r="K210" s="31">
        <v>58103</v>
      </c>
      <c r="L210" s="31">
        <v>230171</v>
      </c>
      <c r="M210" s="45">
        <f t="shared" si="86"/>
        <v>14.564097696785623</v>
      </c>
      <c r="N210" s="31">
        <v>18417</v>
      </c>
      <c r="O210" s="31">
        <v>1118</v>
      </c>
      <c r="P210" s="31">
        <v>5970</v>
      </c>
      <c r="Q210" s="31">
        <v>25505</v>
      </c>
      <c r="R210" s="45">
        <f t="shared" si="87"/>
        <v>1.6138319412806885</v>
      </c>
      <c r="S210" s="31">
        <v>43808</v>
      </c>
      <c r="T210" s="31">
        <v>299484</v>
      </c>
      <c r="U210" s="31">
        <v>0</v>
      </c>
      <c r="V210" s="31">
        <v>299484</v>
      </c>
      <c r="W210" s="45">
        <f t="shared" si="88"/>
        <v>18.949886104783598</v>
      </c>
      <c r="X210" s="4">
        <f t="shared" si="89"/>
        <v>0.7685585874370584</v>
      </c>
      <c r="Y210" s="4">
        <f t="shared" si="90"/>
        <v>8.5163147279988249E-2</v>
      </c>
      <c r="Z210" s="4">
        <f t="shared" si="91"/>
        <v>0.14627826528295335</v>
      </c>
      <c r="AA210" s="4">
        <f t="shared" si="92"/>
        <v>0</v>
      </c>
      <c r="AB210" s="31">
        <v>0</v>
      </c>
      <c r="AC210" s="31">
        <v>25505</v>
      </c>
      <c r="AD210" s="31">
        <v>299484</v>
      </c>
      <c r="AE210" s="31">
        <v>299484</v>
      </c>
      <c r="AF210" s="31">
        <v>299484</v>
      </c>
      <c r="AG210" s="31">
        <v>0</v>
      </c>
      <c r="AH210" s="31">
        <v>0</v>
      </c>
      <c r="AI210" s="31">
        <v>299484</v>
      </c>
      <c r="AJ210" s="45">
        <f t="shared" si="93"/>
        <v>18.949886104783598</v>
      </c>
      <c r="AK210" s="31">
        <v>0</v>
      </c>
      <c r="AL210" s="31">
        <v>0</v>
      </c>
      <c r="AM210" s="31">
        <v>0</v>
      </c>
      <c r="AN210" s="31">
        <v>0</v>
      </c>
      <c r="AO210" s="31">
        <v>12500</v>
      </c>
      <c r="AP210" s="31">
        <v>11543</v>
      </c>
      <c r="AQ210" s="31">
        <v>24043</v>
      </c>
      <c r="AR210" s="31">
        <v>323527</v>
      </c>
      <c r="AS210" s="46">
        <f t="shared" si="94"/>
        <v>20.471209820298657</v>
      </c>
      <c r="AT210" s="31">
        <v>10000</v>
      </c>
      <c r="AU210" s="31">
        <v>0</v>
      </c>
      <c r="AV210" s="31">
        <v>0</v>
      </c>
      <c r="AW210" s="31">
        <v>0</v>
      </c>
      <c r="AX210" s="31">
        <v>0</v>
      </c>
      <c r="AY210" s="31">
        <v>0</v>
      </c>
      <c r="AZ210" s="31">
        <v>0</v>
      </c>
      <c r="BA210" s="31">
        <v>0</v>
      </c>
      <c r="BB210" s="31">
        <v>10000</v>
      </c>
      <c r="BC210" s="33" t="s">
        <v>25</v>
      </c>
      <c r="BD210" s="47">
        <v>27245</v>
      </c>
      <c r="BE210" s="47">
        <v>27500</v>
      </c>
      <c r="BF210" s="45">
        <f t="shared" si="95"/>
        <v>1.7400658061250316</v>
      </c>
      <c r="BG210" s="30">
        <v>715</v>
      </c>
      <c r="BH210" s="30">
        <v>720</v>
      </c>
      <c r="BI210" s="30">
        <v>0</v>
      </c>
      <c r="BJ210" s="30">
        <v>1951</v>
      </c>
      <c r="BK210" s="30">
        <v>1954</v>
      </c>
      <c r="BL210" s="30">
        <v>0</v>
      </c>
      <c r="BM210" s="30">
        <v>4808</v>
      </c>
      <c r="BN210" s="30">
        <v>0</v>
      </c>
      <c r="BO210" s="30">
        <v>51</v>
      </c>
      <c r="BP210" s="30">
        <v>0</v>
      </c>
      <c r="BQ210" s="30">
        <v>51</v>
      </c>
      <c r="BR210" s="47">
        <v>29911</v>
      </c>
      <c r="BS210" s="47">
        <v>34982</v>
      </c>
      <c r="BT210" s="1">
        <f t="shared" si="96"/>
        <v>2.2134902556314855</v>
      </c>
      <c r="BU210" s="30">
        <v>14</v>
      </c>
      <c r="BV210" s="30">
        <v>0</v>
      </c>
      <c r="BW210" s="47">
        <v>2597</v>
      </c>
      <c r="BX210" s="52">
        <f t="shared" si="97"/>
        <v>0.16432548721842571</v>
      </c>
      <c r="BY210" s="47">
        <v>17002</v>
      </c>
      <c r="BZ210" s="47">
        <v>0</v>
      </c>
      <c r="CA210" s="47">
        <v>31165</v>
      </c>
      <c r="CB210" s="47">
        <v>1878</v>
      </c>
      <c r="CC210" s="47">
        <v>50045</v>
      </c>
      <c r="CD210" s="55">
        <f t="shared" si="98"/>
        <v>3.166603391546444</v>
      </c>
      <c r="CE210" s="3">
        <f t="shared" si="99"/>
        <v>12132.121212121212</v>
      </c>
      <c r="CF210" s="55">
        <f t="shared" si="100"/>
        <v>20.426530612244896</v>
      </c>
      <c r="CG210" s="55">
        <f t="shared" si="101"/>
        <v>1.0362785496862899</v>
      </c>
      <c r="CH210" s="55">
        <f t="shared" si="102"/>
        <v>1.3769081241781487</v>
      </c>
      <c r="CI210" s="30">
        <v>34</v>
      </c>
      <c r="CJ210" s="30">
        <v>4</v>
      </c>
      <c r="CK210" s="30">
        <v>16</v>
      </c>
      <c r="CL210" s="30">
        <v>54</v>
      </c>
      <c r="CM210" s="30">
        <v>1171</v>
      </c>
      <c r="CN210" s="30">
        <v>79</v>
      </c>
      <c r="CO210" s="30">
        <v>320</v>
      </c>
      <c r="CP210" s="30">
        <v>1570</v>
      </c>
      <c r="CQ210" s="1">
        <f t="shared" si="110"/>
        <v>9.9341938749683625E-2</v>
      </c>
      <c r="CR210" s="47">
        <v>48293</v>
      </c>
      <c r="CS210" s="55">
        <f t="shared" si="103"/>
        <v>3.0557453809162238</v>
      </c>
      <c r="CT210" s="59">
        <v>2536</v>
      </c>
      <c r="CU210" s="29" t="s">
        <v>25</v>
      </c>
      <c r="CV210" s="29" t="s">
        <v>25</v>
      </c>
      <c r="CW210" s="29" t="s">
        <v>25</v>
      </c>
      <c r="CX210" s="35">
        <v>0</v>
      </c>
      <c r="CY210" s="49">
        <v>0</v>
      </c>
      <c r="CZ210" s="35">
        <v>1.125</v>
      </c>
      <c r="DA210" s="35">
        <v>3</v>
      </c>
      <c r="DB210" s="35">
        <v>4.125</v>
      </c>
      <c r="DC210" s="49">
        <f t="shared" si="104"/>
        <v>3831.2727272727275</v>
      </c>
      <c r="DD210" s="30">
        <v>1533</v>
      </c>
      <c r="DE210" s="31">
        <v>68763</v>
      </c>
      <c r="DF210" s="35">
        <v>40</v>
      </c>
      <c r="DG210" s="29" t="s">
        <v>25</v>
      </c>
      <c r="DH210" s="29" t="s">
        <v>25</v>
      </c>
      <c r="DI210" s="29" t="s">
        <v>25</v>
      </c>
      <c r="DJ210" s="47">
        <v>17</v>
      </c>
      <c r="DK210" s="47">
        <v>39</v>
      </c>
      <c r="DL210" s="47">
        <v>22</v>
      </c>
      <c r="DM210" s="47">
        <v>9121</v>
      </c>
      <c r="DN210" s="47">
        <v>2076</v>
      </c>
      <c r="DO210" s="47">
        <v>1265</v>
      </c>
      <c r="DP210" s="29" t="s">
        <v>25</v>
      </c>
      <c r="DQ210" s="47">
        <v>4421</v>
      </c>
      <c r="DR210" s="47">
        <v>2450</v>
      </c>
      <c r="DS210" s="30">
        <v>50</v>
      </c>
      <c r="DT210" s="30">
        <v>51</v>
      </c>
      <c r="DU210" s="30">
        <v>51</v>
      </c>
      <c r="DV210" s="30">
        <v>51</v>
      </c>
      <c r="DX210" s="2">
        <f t="shared" si="105"/>
        <v>2450</v>
      </c>
      <c r="DY210" s="33" t="s">
        <v>2185</v>
      </c>
      <c r="DZ210" s="33" t="s">
        <v>617</v>
      </c>
      <c r="EA210" s="33" t="s">
        <v>2030</v>
      </c>
      <c r="EB210" s="33" t="s">
        <v>2027</v>
      </c>
      <c r="EC210" s="36">
        <v>168</v>
      </c>
      <c r="ED210" s="29" t="s">
        <v>615</v>
      </c>
      <c r="EE210" s="29" t="s">
        <v>144</v>
      </c>
      <c r="EF210" s="37">
        <v>41548</v>
      </c>
      <c r="EG210" s="37">
        <v>41912</v>
      </c>
      <c r="EH210" s="29" t="s">
        <v>615</v>
      </c>
      <c r="EI210" s="55">
        <f t="shared" si="106"/>
        <v>1.0758035940268287</v>
      </c>
      <c r="EJ210" s="54">
        <f t="shared" si="107"/>
        <v>0</v>
      </c>
      <c r="EK210" s="55">
        <f t="shared" si="108"/>
        <v>1.9719691217413313</v>
      </c>
      <c r="EL210" s="54">
        <f t="shared" si="109"/>
        <v>0.11883067577828398</v>
      </c>
    </row>
    <row r="211" spans="1:142" ht="28.8" x14ac:dyDescent="0.3">
      <c r="A211" s="29" t="s">
        <v>618</v>
      </c>
      <c r="B211" s="29"/>
      <c r="C211" s="30">
        <v>1042</v>
      </c>
      <c r="D211" s="30">
        <v>0</v>
      </c>
      <c r="E211" s="30">
        <v>0</v>
      </c>
      <c r="F211" s="30">
        <v>1020</v>
      </c>
      <c r="H211" s="2">
        <f t="shared" si="85"/>
        <v>1020</v>
      </c>
      <c r="I211" s="1">
        <f t="shared" si="84"/>
        <v>0.97888675623800381</v>
      </c>
      <c r="J211" s="31">
        <v>15983</v>
      </c>
      <c r="K211" s="31">
        <v>2467</v>
      </c>
      <c r="L211" s="31">
        <v>18450</v>
      </c>
      <c r="M211" s="45">
        <f t="shared" si="86"/>
        <v>17.706333973128597</v>
      </c>
      <c r="N211" s="31">
        <v>379</v>
      </c>
      <c r="O211" s="31">
        <v>0</v>
      </c>
      <c r="P211" s="31">
        <v>0</v>
      </c>
      <c r="Q211" s="31">
        <v>379</v>
      </c>
      <c r="R211" s="45">
        <f t="shared" si="87"/>
        <v>0.3637236084452975</v>
      </c>
      <c r="S211" s="31">
        <v>2443</v>
      </c>
      <c r="T211" s="31">
        <v>21272</v>
      </c>
      <c r="U211" s="31">
        <v>0</v>
      </c>
      <c r="V211" s="31">
        <v>21272</v>
      </c>
      <c r="W211" s="45">
        <f t="shared" si="88"/>
        <v>20.414587332053742</v>
      </c>
      <c r="X211" s="4">
        <f t="shared" si="89"/>
        <v>0.86733734486649117</v>
      </c>
      <c r="Y211" s="4">
        <f t="shared" si="90"/>
        <v>1.7816848439262879E-2</v>
      </c>
      <c r="Z211" s="4">
        <f t="shared" si="91"/>
        <v>0.11484580669424596</v>
      </c>
      <c r="AA211" s="4">
        <f t="shared" si="92"/>
        <v>0</v>
      </c>
      <c r="AB211" s="31">
        <v>0</v>
      </c>
      <c r="AC211" s="31">
        <v>379</v>
      </c>
      <c r="AD211" s="31">
        <v>21272</v>
      </c>
      <c r="AE211" s="31">
        <v>21272</v>
      </c>
      <c r="AF211" s="31">
        <v>21272</v>
      </c>
      <c r="AG211" s="31">
        <v>0</v>
      </c>
      <c r="AH211" s="31">
        <v>0</v>
      </c>
      <c r="AI211" s="31">
        <v>21272</v>
      </c>
      <c r="AJ211" s="45">
        <f t="shared" si="93"/>
        <v>20.414587332053742</v>
      </c>
      <c r="AK211" s="31">
        <v>0</v>
      </c>
      <c r="AL211" s="31">
        <v>0</v>
      </c>
      <c r="AM211" s="31">
        <v>0</v>
      </c>
      <c r="AN211" s="31">
        <v>0</v>
      </c>
      <c r="AO211" s="31">
        <v>0</v>
      </c>
      <c r="AP211" s="31">
        <v>215</v>
      </c>
      <c r="AQ211" s="31">
        <v>215</v>
      </c>
      <c r="AR211" s="31">
        <v>21487</v>
      </c>
      <c r="AS211" s="46">
        <f t="shared" si="94"/>
        <v>20.620921305182343</v>
      </c>
      <c r="AT211" s="31">
        <v>0</v>
      </c>
      <c r="AU211" s="31">
        <v>0</v>
      </c>
      <c r="AV211" s="31">
        <v>0</v>
      </c>
      <c r="AW211" s="31">
        <v>0</v>
      </c>
      <c r="AX211" s="31">
        <v>0</v>
      </c>
      <c r="AY211" s="31">
        <v>0</v>
      </c>
      <c r="AZ211" s="31">
        <v>0</v>
      </c>
      <c r="BA211" s="31">
        <v>0</v>
      </c>
      <c r="BB211" s="31">
        <v>0</v>
      </c>
      <c r="BC211" s="33" t="s">
        <v>25</v>
      </c>
      <c r="BD211" s="47">
        <v>5257</v>
      </c>
      <c r="BE211" s="47">
        <v>5480</v>
      </c>
      <c r="BF211" s="45">
        <f t="shared" si="95"/>
        <v>5.2591170825335896</v>
      </c>
      <c r="BG211" s="30">
        <v>38</v>
      </c>
      <c r="BH211" s="30">
        <v>43</v>
      </c>
      <c r="BI211" s="30">
        <v>0</v>
      </c>
      <c r="BJ211" s="30">
        <v>383</v>
      </c>
      <c r="BK211" s="30">
        <v>392</v>
      </c>
      <c r="BL211" s="30">
        <v>0</v>
      </c>
      <c r="BM211" s="30">
        <v>0</v>
      </c>
      <c r="BN211" s="30">
        <v>0</v>
      </c>
      <c r="BO211" s="30">
        <v>0</v>
      </c>
      <c r="BP211" s="30">
        <v>0</v>
      </c>
      <c r="BQ211" s="30">
        <v>0</v>
      </c>
      <c r="BR211" s="47">
        <v>5678</v>
      </c>
      <c r="BS211" s="47">
        <v>5915</v>
      </c>
      <c r="BT211" s="1">
        <f t="shared" si="96"/>
        <v>5.6765834932821493</v>
      </c>
      <c r="BU211" s="30">
        <v>5</v>
      </c>
      <c r="BV211" s="30">
        <v>0</v>
      </c>
      <c r="BW211" s="47">
        <v>312</v>
      </c>
      <c r="BX211" s="52">
        <f t="shared" si="97"/>
        <v>0.29942418426103645</v>
      </c>
      <c r="BY211" s="47">
        <v>139</v>
      </c>
      <c r="BZ211" s="47">
        <v>0</v>
      </c>
      <c r="CA211" s="47">
        <v>5059</v>
      </c>
      <c r="CB211" s="47">
        <v>0</v>
      </c>
      <c r="CC211" s="47">
        <v>5198</v>
      </c>
      <c r="CD211" s="55">
        <f t="shared" si="98"/>
        <v>4.9884836852207295</v>
      </c>
      <c r="CE211" s="3">
        <f t="shared" si="99"/>
        <v>5198</v>
      </c>
      <c r="CF211" s="55">
        <f t="shared" si="100"/>
        <v>2.4990384615384613</v>
      </c>
      <c r="CG211" s="55">
        <f t="shared" si="101"/>
        <v>1</v>
      </c>
      <c r="CH211" s="55">
        <f t="shared" si="102"/>
        <v>0.87878275570583264</v>
      </c>
      <c r="CI211" s="30">
        <v>0</v>
      </c>
      <c r="CJ211" s="30">
        <v>0</v>
      </c>
      <c r="CK211" s="30">
        <v>0</v>
      </c>
      <c r="CL211" s="30">
        <v>0</v>
      </c>
      <c r="CM211" s="30">
        <v>0</v>
      </c>
      <c r="CN211" s="30">
        <v>0</v>
      </c>
      <c r="CO211" s="30">
        <v>0</v>
      </c>
      <c r="CP211" s="30">
        <v>0</v>
      </c>
      <c r="CQ211" s="1">
        <f t="shared" si="110"/>
        <v>0</v>
      </c>
      <c r="CR211" s="47">
        <v>5198</v>
      </c>
      <c r="CS211" s="55">
        <f t="shared" si="103"/>
        <v>4.9884836852207295</v>
      </c>
      <c r="CT211" s="59">
        <v>631</v>
      </c>
      <c r="CU211" s="29" t="s">
        <v>26</v>
      </c>
      <c r="CV211" s="29" t="s">
        <v>25</v>
      </c>
      <c r="CW211" s="29" t="s">
        <v>25</v>
      </c>
      <c r="CX211" s="35">
        <v>0</v>
      </c>
      <c r="CY211" s="49">
        <v>0</v>
      </c>
      <c r="CZ211" s="35">
        <v>0.5</v>
      </c>
      <c r="DA211" s="35">
        <v>0.5</v>
      </c>
      <c r="DB211" s="35">
        <v>1</v>
      </c>
      <c r="DC211" s="49">
        <f t="shared" si="104"/>
        <v>1042</v>
      </c>
      <c r="DD211" s="30">
        <v>0</v>
      </c>
      <c r="DE211" s="31">
        <v>8256</v>
      </c>
      <c r="DF211" s="35">
        <v>20</v>
      </c>
      <c r="DG211" s="29" t="s">
        <v>26</v>
      </c>
      <c r="DH211" s="29" t="s">
        <v>26</v>
      </c>
      <c r="DI211" s="29" t="s">
        <v>26</v>
      </c>
      <c r="DJ211" s="47">
        <v>0</v>
      </c>
      <c r="DK211" s="47">
        <v>0</v>
      </c>
      <c r="DL211" s="47">
        <v>2</v>
      </c>
      <c r="DM211" s="47">
        <v>1715</v>
      </c>
      <c r="DN211" s="47">
        <v>2</v>
      </c>
      <c r="DO211" s="47">
        <v>0</v>
      </c>
      <c r="DP211" s="29" t="s">
        <v>83</v>
      </c>
      <c r="DQ211" s="47">
        <v>0</v>
      </c>
      <c r="DR211" s="47">
        <v>2080</v>
      </c>
      <c r="DS211" s="30">
        <v>52</v>
      </c>
      <c r="DT211" s="30">
        <v>40</v>
      </c>
      <c r="DU211" s="30">
        <v>40</v>
      </c>
      <c r="DV211" s="30">
        <v>40</v>
      </c>
      <c r="DX211" s="2">
        <f t="shared" si="105"/>
        <v>2080</v>
      </c>
      <c r="DY211" s="33" t="s">
        <v>2185</v>
      </c>
      <c r="DZ211" s="33" t="s">
        <v>621</v>
      </c>
      <c r="EA211" s="33" t="s">
        <v>2030</v>
      </c>
      <c r="EB211" s="33" t="s">
        <v>2026</v>
      </c>
      <c r="EC211" s="36">
        <v>169</v>
      </c>
      <c r="ED211" s="29" t="s">
        <v>619</v>
      </c>
      <c r="EE211" s="29" t="s">
        <v>620</v>
      </c>
      <c r="EF211" s="37">
        <v>41640</v>
      </c>
      <c r="EG211" s="37">
        <v>42004</v>
      </c>
      <c r="EH211" s="29" t="s">
        <v>619</v>
      </c>
      <c r="EI211" s="55">
        <f t="shared" si="106"/>
        <v>0.13339731285988485</v>
      </c>
      <c r="EJ211" s="54">
        <f t="shared" si="107"/>
        <v>0</v>
      </c>
      <c r="EK211" s="55">
        <f t="shared" si="108"/>
        <v>4.8550863723608444</v>
      </c>
      <c r="EL211" s="54">
        <f t="shared" si="109"/>
        <v>0</v>
      </c>
    </row>
    <row r="212" spans="1:142" ht="28.8" x14ac:dyDescent="0.3">
      <c r="A212" s="29" t="s">
        <v>622</v>
      </c>
      <c r="B212" s="29"/>
      <c r="C212" s="30">
        <v>1454</v>
      </c>
      <c r="D212" s="30">
        <v>0</v>
      </c>
      <c r="E212" s="30">
        <v>0</v>
      </c>
      <c r="F212" s="30">
        <v>2400</v>
      </c>
      <c r="H212" s="2">
        <f t="shared" si="85"/>
        <v>2400</v>
      </c>
      <c r="I212" s="1">
        <f t="shared" si="84"/>
        <v>1.6506189821182944</v>
      </c>
      <c r="J212" s="31">
        <v>14545</v>
      </c>
      <c r="K212" s="31">
        <v>1642</v>
      </c>
      <c r="L212" s="31">
        <v>16187</v>
      </c>
      <c r="M212" s="45">
        <f t="shared" si="86"/>
        <v>11.132737276478679</v>
      </c>
      <c r="N212" s="31">
        <v>1009</v>
      </c>
      <c r="O212" s="31">
        <v>0</v>
      </c>
      <c r="P212" s="31">
        <v>0</v>
      </c>
      <c r="Q212" s="31">
        <v>1009</v>
      </c>
      <c r="R212" s="45">
        <f t="shared" si="87"/>
        <v>0.69394773039889956</v>
      </c>
      <c r="S212" s="31">
        <v>658</v>
      </c>
      <c r="T212" s="31">
        <v>17854</v>
      </c>
      <c r="U212" s="31">
        <v>0</v>
      </c>
      <c r="V212" s="31">
        <v>17854</v>
      </c>
      <c r="W212" s="45">
        <f t="shared" si="88"/>
        <v>12.279229711141678</v>
      </c>
      <c r="X212" s="4">
        <f t="shared" si="89"/>
        <v>0.90663156715581938</v>
      </c>
      <c r="Y212" s="4">
        <f t="shared" si="90"/>
        <v>5.6513946454576004E-2</v>
      </c>
      <c r="Z212" s="4">
        <f t="shared" si="91"/>
        <v>3.685448638960457E-2</v>
      </c>
      <c r="AA212" s="4">
        <f t="shared" si="92"/>
        <v>0</v>
      </c>
      <c r="AB212" s="31">
        <v>0</v>
      </c>
      <c r="AC212" s="31">
        <v>1009</v>
      </c>
      <c r="AD212" s="31">
        <v>17280</v>
      </c>
      <c r="AE212" s="31">
        <v>14520</v>
      </c>
      <c r="AF212" s="31">
        <v>7200</v>
      </c>
      <c r="AG212" s="31">
        <v>9720</v>
      </c>
      <c r="AH212" s="31">
        <v>0</v>
      </c>
      <c r="AI212" s="31">
        <v>16920</v>
      </c>
      <c r="AJ212" s="45">
        <f t="shared" si="93"/>
        <v>11.636863823933975</v>
      </c>
      <c r="AK212" s="31">
        <v>0</v>
      </c>
      <c r="AL212" s="31">
        <v>0</v>
      </c>
      <c r="AM212" s="31">
        <v>0</v>
      </c>
      <c r="AN212" s="31">
        <v>0</v>
      </c>
      <c r="AO212" s="31">
        <v>0</v>
      </c>
      <c r="AP212" s="31">
        <v>405</v>
      </c>
      <c r="AQ212" s="31">
        <v>405</v>
      </c>
      <c r="AR212" s="31">
        <v>17325</v>
      </c>
      <c r="AS212" s="46">
        <f t="shared" si="94"/>
        <v>11.915405777166438</v>
      </c>
      <c r="AT212" s="31">
        <v>0</v>
      </c>
      <c r="AU212" s="31">
        <v>0</v>
      </c>
      <c r="AV212" s="31">
        <v>0</v>
      </c>
      <c r="AW212" s="31">
        <v>0</v>
      </c>
      <c r="AX212" s="31">
        <v>0</v>
      </c>
      <c r="AY212" s="31">
        <v>0</v>
      </c>
      <c r="AZ212" s="31">
        <v>0</v>
      </c>
      <c r="BA212" s="31">
        <v>0</v>
      </c>
      <c r="BB212" s="31">
        <v>0</v>
      </c>
      <c r="BC212" s="33" t="s">
        <v>25</v>
      </c>
      <c r="BD212" s="47">
        <v>10250</v>
      </c>
      <c r="BE212" s="47">
        <v>10790</v>
      </c>
      <c r="BF212" s="45">
        <f t="shared" si="95"/>
        <v>7.4209078404401652</v>
      </c>
      <c r="BG212" s="30">
        <v>0</v>
      </c>
      <c r="BH212" s="30">
        <v>0</v>
      </c>
      <c r="BI212" s="30">
        <v>0</v>
      </c>
      <c r="BJ212" s="30">
        <v>0</v>
      </c>
      <c r="BK212" s="30">
        <v>0</v>
      </c>
      <c r="BL212" s="30">
        <v>0</v>
      </c>
      <c r="BM212" s="30">
        <v>0</v>
      </c>
      <c r="BN212" s="30">
        <v>0</v>
      </c>
      <c r="BO212" s="30">
        <v>51</v>
      </c>
      <c r="BP212" s="30">
        <v>0</v>
      </c>
      <c r="BQ212" s="30">
        <v>51</v>
      </c>
      <c r="BR212" s="47">
        <v>10250</v>
      </c>
      <c r="BS212" s="47">
        <v>10790</v>
      </c>
      <c r="BT212" s="1">
        <f t="shared" si="96"/>
        <v>7.4209078404401652</v>
      </c>
      <c r="BU212" s="30">
        <v>4</v>
      </c>
      <c r="BV212" s="30">
        <v>0</v>
      </c>
      <c r="BW212" s="47">
        <v>152</v>
      </c>
      <c r="BX212" s="52">
        <f t="shared" si="97"/>
        <v>0.10453920220082531</v>
      </c>
      <c r="BY212" s="47">
        <v>560</v>
      </c>
      <c r="BZ212" s="47">
        <v>0</v>
      </c>
      <c r="CA212" s="47">
        <v>1025</v>
      </c>
      <c r="CB212" s="47">
        <v>0</v>
      </c>
      <c r="CC212" s="47">
        <v>1585</v>
      </c>
      <c r="CD212" s="55">
        <f t="shared" si="98"/>
        <v>1.0900962861072903</v>
      </c>
      <c r="CE212" s="3">
        <f t="shared" si="99"/>
        <v>3170</v>
      </c>
      <c r="CF212" s="55">
        <f t="shared" si="100"/>
        <v>1.5240384615384615</v>
      </c>
      <c r="CG212" s="55">
        <f t="shared" si="101"/>
        <v>2.4765625</v>
      </c>
      <c r="CH212" s="55">
        <f t="shared" si="102"/>
        <v>0.14689527340129749</v>
      </c>
      <c r="CI212" s="30">
        <v>26</v>
      </c>
      <c r="CJ212" s="30">
        <v>0</v>
      </c>
      <c r="CK212" s="30">
        <v>26</v>
      </c>
      <c r="CL212" s="30">
        <v>52</v>
      </c>
      <c r="CM212" s="30">
        <v>214</v>
      </c>
      <c r="CN212" s="30">
        <v>0</v>
      </c>
      <c r="CO212" s="30">
        <v>140</v>
      </c>
      <c r="CP212" s="30">
        <v>354</v>
      </c>
      <c r="CQ212" s="1">
        <f t="shared" si="110"/>
        <v>0.24346629986244842</v>
      </c>
      <c r="CR212" s="47">
        <v>640</v>
      </c>
      <c r="CS212" s="55">
        <f t="shared" si="103"/>
        <v>0.44016506189821181</v>
      </c>
      <c r="CT212" s="59">
        <v>310</v>
      </c>
      <c r="CU212" s="29" t="s">
        <v>25</v>
      </c>
      <c r="CV212" s="29" t="s">
        <v>25</v>
      </c>
      <c r="CW212" s="29" t="s">
        <v>25</v>
      </c>
      <c r="CX212" s="35">
        <v>0</v>
      </c>
      <c r="CY212" s="49">
        <v>0</v>
      </c>
      <c r="CZ212" s="35">
        <v>0.5</v>
      </c>
      <c r="DA212" s="35">
        <v>0</v>
      </c>
      <c r="DB212" s="35">
        <v>0.5</v>
      </c>
      <c r="DC212" s="49">
        <f t="shared" si="104"/>
        <v>2908</v>
      </c>
      <c r="DD212" s="30">
        <v>98</v>
      </c>
      <c r="DE212" s="31">
        <v>12741</v>
      </c>
      <c r="DF212" s="35">
        <v>20</v>
      </c>
      <c r="DG212" s="29" t="s">
        <v>25</v>
      </c>
      <c r="DH212" s="29" t="s">
        <v>26</v>
      </c>
      <c r="DI212" s="29" t="s">
        <v>26</v>
      </c>
      <c r="DJ212" s="47">
        <v>12</v>
      </c>
      <c r="DK212" s="47">
        <v>10</v>
      </c>
      <c r="DL212" s="47">
        <v>3</v>
      </c>
      <c r="DM212" s="47">
        <v>340</v>
      </c>
      <c r="DN212" s="47">
        <v>12</v>
      </c>
      <c r="DO212" s="47">
        <v>0</v>
      </c>
      <c r="DP212" s="29" t="s">
        <v>2028</v>
      </c>
      <c r="DQ212" s="47">
        <v>0</v>
      </c>
      <c r="DR212" s="47">
        <v>1040</v>
      </c>
      <c r="DS212" s="30">
        <v>52</v>
      </c>
      <c r="DT212" s="30">
        <v>20</v>
      </c>
      <c r="DU212" s="30">
        <v>20</v>
      </c>
      <c r="DV212" s="30">
        <v>20</v>
      </c>
      <c r="DX212" s="2">
        <f t="shared" si="105"/>
        <v>1040</v>
      </c>
      <c r="DY212" s="33" t="s">
        <v>2184</v>
      </c>
      <c r="DZ212" s="33" t="s">
        <v>625</v>
      </c>
      <c r="EA212" s="33" t="s">
        <v>2030</v>
      </c>
      <c r="EB212" s="33" t="s">
        <v>2027</v>
      </c>
      <c r="EC212" s="36">
        <v>170</v>
      </c>
      <c r="ED212" s="29" t="s">
        <v>623</v>
      </c>
      <c r="EE212" s="29" t="s">
        <v>624</v>
      </c>
      <c r="EF212" s="37">
        <v>41548</v>
      </c>
      <c r="EG212" s="37">
        <v>41912</v>
      </c>
      <c r="EH212" s="29" t="s">
        <v>623</v>
      </c>
      <c r="EI212" s="55">
        <f t="shared" si="106"/>
        <v>0.38514442916093533</v>
      </c>
      <c r="EJ212" s="54">
        <f t="shared" si="107"/>
        <v>0</v>
      </c>
      <c r="EK212" s="55">
        <f t="shared" si="108"/>
        <v>0.70495185694635487</v>
      </c>
      <c r="EL212" s="54">
        <f t="shared" si="109"/>
        <v>0</v>
      </c>
    </row>
    <row r="213" spans="1:142" ht="28.8" x14ac:dyDescent="0.3">
      <c r="A213" s="29" t="s">
        <v>1780</v>
      </c>
      <c r="B213" s="29"/>
      <c r="C213" s="30">
        <v>2250</v>
      </c>
      <c r="D213" s="30">
        <v>0</v>
      </c>
      <c r="E213" s="30">
        <v>0</v>
      </c>
      <c r="F213" s="30">
        <v>800</v>
      </c>
      <c r="H213" s="2">
        <f t="shared" si="85"/>
        <v>800</v>
      </c>
      <c r="I213" s="1">
        <f t="shared" si="84"/>
        <v>0.35555555555555557</v>
      </c>
      <c r="J213" s="31">
        <v>3</v>
      </c>
      <c r="K213" s="31">
        <v>0</v>
      </c>
      <c r="L213" s="31">
        <v>3</v>
      </c>
      <c r="M213" s="45">
        <f t="shared" si="86"/>
        <v>1.3333333333333333E-3</v>
      </c>
      <c r="N213" s="31">
        <v>929</v>
      </c>
      <c r="O213" s="31">
        <v>450</v>
      </c>
      <c r="P213" s="31">
        <v>50</v>
      </c>
      <c r="Q213" s="31">
        <v>1429</v>
      </c>
      <c r="R213" s="45">
        <f t="shared" si="87"/>
        <v>0.63511111111111107</v>
      </c>
      <c r="S213" s="31">
        <v>7159</v>
      </c>
      <c r="T213" s="31">
        <v>8591</v>
      </c>
      <c r="U213" s="31">
        <v>0</v>
      </c>
      <c r="V213" s="31">
        <v>8591</v>
      </c>
      <c r="W213" s="45">
        <f t="shared" si="88"/>
        <v>3.8182222222222224</v>
      </c>
      <c r="X213" s="4">
        <f t="shared" si="89"/>
        <v>3.4920265394016993E-4</v>
      </c>
      <c r="Y213" s="4">
        <f t="shared" si="90"/>
        <v>0.16633686416016763</v>
      </c>
      <c r="Z213" s="4">
        <f t="shared" si="91"/>
        <v>0.8333139331858922</v>
      </c>
      <c r="AA213" s="4">
        <f t="shared" si="92"/>
        <v>0</v>
      </c>
      <c r="AB213" s="31">
        <v>0</v>
      </c>
      <c r="AC213" s="31">
        <v>1429</v>
      </c>
      <c r="AD213" s="31">
        <v>7159</v>
      </c>
      <c r="AE213" s="31">
        <v>2280</v>
      </c>
      <c r="AF213" s="31">
        <v>0</v>
      </c>
      <c r="AG213" s="31">
        <v>2280</v>
      </c>
      <c r="AH213" s="31">
        <v>0</v>
      </c>
      <c r="AI213" s="31">
        <v>2280</v>
      </c>
      <c r="AJ213" s="45">
        <f t="shared" si="93"/>
        <v>1.0133333333333334</v>
      </c>
      <c r="AK213" s="31">
        <v>0</v>
      </c>
      <c r="AL213" s="31">
        <v>0</v>
      </c>
      <c r="AM213" s="31">
        <v>0</v>
      </c>
      <c r="AN213" s="31">
        <v>0</v>
      </c>
      <c r="AO213" s="31">
        <v>1865</v>
      </c>
      <c r="AP213" s="31">
        <v>3014</v>
      </c>
      <c r="AQ213" s="31">
        <v>4879</v>
      </c>
      <c r="AR213" s="31">
        <v>7159</v>
      </c>
      <c r="AS213" s="46">
        <f t="shared" si="94"/>
        <v>3.1817777777777776</v>
      </c>
      <c r="AT213" s="31">
        <v>0</v>
      </c>
      <c r="AU213" s="31">
        <v>0</v>
      </c>
      <c r="AV213" s="31">
        <v>0</v>
      </c>
      <c r="AW213" s="31">
        <v>0</v>
      </c>
      <c r="AX213" s="31">
        <v>0</v>
      </c>
      <c r="AY213" s="31">
        <v>0</v>
      </c>
      <c r="AZ213" s="31">
        <v>0</v>
      </c>
      <c r="BA213" s="31">
        <v>0</v>
      </c>
      <c r="BB213" s="31">
        <v>0</v>
      </c>
      <c r="BC213" s="33" t="s">
        <v>25</v>
      </c>
      <c r="BD213" s="47">
        <v>8000</v>
      </c>
      <c r="BE213" s="47">
        <v>8090</v>
      </c>
      <c r="BF213" s="45">
        <f t="shared" si="95"/>
        <v>3.5955555555555554</v>
      </c>
      <c r="BG213" s="30">
        <v>72</v>
      </c>
      <c r="BH213" s="30">
        <v>75</v>
      </c>
      <c r="BI213" s="30">
        <v>20</v>
      </c>
      <c r="BJ213" s="30">
        <v>164</v>
      </c>
      <c r="BK213" s="30">
        <v>165</v>
      </c>
      <c r="BL213" s="30">
        <v>0</v>
      </c>
      <c r="BM213" s="30">
        <v>0</v>
      </c>
      <c r="BN213" s="30">
        <v>1</v>
      </c>
      <c r="BO213" s="30">
        <v>0</v>
      </c>
      <c r="BP213" s="30">
        <v>1</v>
      </c>
      <c r="BQ213" s="30">
        <v>2</v>
      </c>
      <c r="BR213" s="47">
        <v>8236</v>
      </c>
      <c r="BS213" s="47">
        <v>8351</v>
      </c>
      <c r="BT213" s="1">
        <f t="shared" si="96"/>
        <v>3.7115555555555555</v>
      </c>
      <c r="BU213" s="30">
        <v>5</v>
      </c>
      <c r="BV213" s="30">
        <v>0</v>
      </c>
      <c r="BW213" s="47">
        <v>81</v>
      </c>
      <c r="BX213" s="52">
        <f t="shared" si="97"/>
        <v>3.5999999999999997E-2</v>
      </c>
      <c r="BY213" s="47">
        <v>455</v>
      </c>
      <c r="BZ213" s="47">
        <v>0</v>
      </c>
      <c r="CA213" s="47">
        <v>1225</v>
      </c>
      <c r="CB213" s="47">
        <v>0</v>
      </c>
      <c r="CC213" s="47">
        <v>1680</v>
      </c>
      <c r="CD213" s="55">
        <f t="shared" si="98"/>
        <v>0.7466666666666667</v>
      </c>
      <c r="CE213" s="3">
        <f t="shared" si="99"/>
        <v>2240</v>
      </c>
      <c r="CF213" s="55">
        <f t="shared" si="100"/>
        <v>1.037037037037037</v>
      </c>
      <c r="CG213" s="55">
        <f t="shared" si="101"/>
        <v>0.72041166380789023</v>
      </c>
      <c r="CH213" s="55">
        <f t="shared" si="102"/>
        <v>0.20117351215423301</v>
      </c>
      <c r="CI213" s="30">
        <v>28</v>
      </c>
      <c r="CJ213" s="30">
        <v>3</v>
      </c>
      <c r="CK213" s="30">
        <v>13</v>
      </c>
      <c r="CL213" s="30">
        <v>44</v>
      </c>
      <c r="CM213" s="30">
        <v>397</v>
      </c>
      <c r="CN213" s="30">
        <v>23</v>
      </c>
      <c r="CO213" s="30">
        <v>52</v>
      </c>
      <c r="CP213" s="30">
        <v>472</v>
      </c>
      <c r="CQ213" s="1">
        <f t="shared" si="110"/>
        <v>0.20977777777777779</v>
      </c>
      <c r="CR213" s="47">
        <v>2332</v>
      </c>
      <c r="CS213" s="55">
        <f t="shared" si="103"/>
        <v>1.0364444444444445</v>
      </c>
      <c r="CT213" s="59">
        <v>843</v>
      </c>
      <c r="CU213" s="29" t="s">
        <v>25</v>
      </c>
      <c r="CV213" s="29" t="s">
        <v>25</v>
      </c>
      <c r="CW213" s="29" t="s">
        <v>25</v>
      </c>
      <c r="CX213" s="35">
        <v>0.25</v>
      </c>
      <c r="CY213" s="49">
        <f>C213/CX213</f>
        <v>9000</v>
      </c>
      <c r="CZ213" s="35">
        <v>0.5</v>
      </c>
      <c r="DA213" s="35">
        <v>0</v>
      </c>
      <c r="DB213" s="35">
        <v>0.75</v>
      </c>
      <c r="DC213" s="49">
        <f t="shared" si="104"/>
        <v>3000</v>
      </c>
      <c r="DD213" s="30">
        <v>2076</v>
      </c>
      <c r="DE213" s="31">
        <v>1</v>
      </c>
      <c r="DF213" s="35">
        <v>10</v>
      </c>
      <c r="DG213" s="29" t="s">
        <v>25</v>
      </c>
      <c r="DH213" s="29" t="s">
        <v>25</v>
      </c>
      <c r="DI213" s="29" t="s">
        <v>25</v>
      </c>
      <c r="DJ213" s="47">
        <v>0</v>
      </c>
      <c r="DK213" s="47">
        <v>0</v>
      </c>
      <c r="DL213" s="47">
        <v>4</v>
      </c>
      <c r="DM213" s="47">
        <v>728</v>
      </c>
      <c r="DN213" s="47">
        <v>22</v>
      </c>
      <c r="DO213" s="47">
        <v>181</v>
      </c>
      <c r="DP213" s="29" t="s">
        <v>2028</v>
      </c>
      <c r="DQ213" s="47">
        <v>0</v>
      </c>
      <c r="DR213" s="47">
        <v>1620</v>
      </c>
      <c r="DS213" s="30">
        <v>49</v>
      </c>
      <c r="DT213" s="30">
        <v>33</v>
      </c>
      <c r="DU213" s="30">
        <v>33</v>
      </c>
      <c r="DV213" s="30">
        <v>33</v>
      </c>
      <c r="DX213" s="2">
        <f t="shared" si="105"/>
        <v>1620</v>
      </c>
      <c r="DY213" s="33" t="s">
        <v>2182</v>
      </c>
      <c r="DZ213" s="33" t="s">
        <v>1782</v>
      </c>
      <c r="EA213" s="33" t="s">
        <v>2030</v>
      </c>
      <c r="EB213" s="33" t="s">
        <v>2026</v>
      </c>
      <c r="EC213" s="36">
        <v>625</v>
      </c>
      <c r="ED213" s="29" t="s">
        <v>1781</v>
      </c>
      <c r="EE213" s="29" t="s">
        <v>421</v>
      </c>
      <c r="EF213" s="37">
        <v>41640</v>
      </c>
      <c r="EG213" s="37">
        <v>42004</v>
      </c>
      <c r="EH213" s="29" t="s">
        <v>1781</v>
      </c>
      <c r="EI213" s="55">
        <f t="shared" si="106"/>
        <v>0.20222222222222222</v>
      </c>
      <c r="EJ213" s="54">
        <f t="shared" si="107"/>
        <v>0</v>
      </c>
      <c r="EK213" s="55">
        <f t="shared" si="108"/>
        <v>0.5444444444444444</v>
      </c>
      <c r="EL213" s="54">
        <f t="shared" si="109"/>
        <v>0</v>
      </c>
    </row>
    <row r="214" spans="1:142" ht="57.6" x14ac:dyDescent="0.3">
      <c r="A214" s="29" t="s">
        <v>1062</v>
      </c>
      <c r="B214" s="29"/>
      <c r="C214" s="30">
        <v>285</v>
      </c>
      <c r="D214" s="30">
        <v>0</v>
      </c>
      <c r="E214" s="30">
        <v>0</v>
      </c>
      <c r="F214" s="30">
        <v>1350</v>
      </c>
      <c r="H214" s="2">
        <f t="shared" si="85"/>
        <v>1350</v>
      </c>
      <c r="I214" s="1">
        <f t="shared" si="84"/>
        <v>4.7368421052631575</v>
      </c>
      <c r="J214" s="31">
        <v>29260</v>
      </c>
      <c r="K214" s="31">
        <v>425</v>
      </c>
      <c r="L214" s="31">
        <v>29685</v>
      </c>
      <c r="M214" s="45">
        <f t="shared" si="86"/>
        <v>104.15789473684211</v>
      </c>
      <c r="N214" s="31">
        <v>7836</v>
      </c>
      <c r="O214" s="31">
        <v>12</v>
      </c>
      <c r="P214" s="31">
        <v>812</v>
      </c>
      <c r="Q214" s="31">
        <v>8660</v>
      </c>
      <c r="R214" s="45">
        <f t="shared" si="87"/>
        <v>30.385964912280702</v>
      </c>
      <c r="S214" s="31">
        <v>6654</v>
      </c>
      <c r="T214" s="31">
        <v>44999</v>
      </c>
      <c r="U214" s="31">
        <v>0</v>
      </c>
      <c r="V214" s="31">
        <v>44999</v>
      </c>
      <c r="W214" s="45">
        <f t="shared" si="88"/>
        <v>157.89122807017543</v>
      </c>
      <c r="X214" s="4">
        <f t="shared" si="89"/>
        <v>0.65968132625169451</v>
      </c>
      <c r="Y214" s="4">
        <f t="shared" si="90"/>
        <v>0.19244872108269073</v>
      </c>
      <c r="Z214" s="4">
        <f t="shared" si="91"/>
        <v>0.14786995266561478</v>
      </c>
      <c r="AA214" s="4">
        <f t="shared" si="92"/>
        <v>0</v>
      </c>
      <c r="AB214" s="31">
        <v>0</v>
      </c>
      <c r="AC214" s="31">
        <v>8660</v>
      </c>
      <c r="AD214" s="31">
        <v>38114</v>
      </c>
      <c r="AE214" s="31">
        <v>38114</v>
      </c>
      <c r="AF214" s="31">
        <v>0</v>
      </c>
      <c r="AG214" s="31">
        <v>41435</v>
      </c>
      <c r="AH214" s="31">
        <v>0</v>
      </c>
      <c r="AI214" s="31">
        <v>41435</v>
      </c>
      <c r="AJ214" s="45">
        <f t="shared" si="93"/>
        <v>145.38596491228071</v>
      </c>
      <c r="AK214" s="31">
        <v>0</v>
      </c>
      <c r="AL214" s="31">
        <v>0</v>
      </c>
      <c r="AM214" s="31">
        <v>0</v>
      </c>
      <c r="AN214" s="31">
        <v>0</v>
      </c>
      <c r="AO214" s="31">
        <v>0</v>
      </c>
      <c r="AP214" s="31">
        <v>230</v>
      </c>
      <c r="AQ214" s="31">
        <v>230</v>
      </c>
      <c r="AR214" s="31">
        <v>41665</v>
      </c>
      <c r="AS214" s="46">
        <f t="shared" si="94"/>
        <v>146.19298245614036</v>
      </c>
      <c r="AT214" s="31">
        <v>0</v>
      </c>
      <c r="AU214" s="31">
        <v>0</v>
      </c>
      <c r="AV214" s="31">
        <v>0</v>
      </c>
      <c r="AW214" s="31">
        <v>0</v>
      </c>
      <c r="AX214" s="31">
        <v>0</v>
      </c>
      <c r="AY214" s="31">
        <v>0</v>
      </c>
      <c r="AZ214" s="31">
        <v>0</v>
      </c>
      <c r="BA214" s="31">
        <v>0</v>
      </c>
      <c r="BB214" s="31">
        <v>0</v>
      </c>
      <c r="BC214" s="33" t="s">
        <v>25</v>
      </c>
      <c r="BD214" s="47">
        <v>18687</v>
      </c>
      <c r="BE214" s="47">
        <v>18690</v>
      </c>
      <c r="BF214" s="45">
        <f t="shared" si="95"/>
        <v>65.578947368421055</v>
      </c>
      <c r="BG214" s="30">
        <v>205</v>
      </c>
      <c r="BH214" s="30">
        <v>205</v>
      </c>
      <c r="BI214" s="30">
        <v>0</v>
      </c>
      <c r="BJ214" s="30">
        <v>3161</v>
      </c>
      <c r="BK214" s="30">
        <v>3165</v>
      </c>
      <c r="BL214" s="30">
        <v>0</v>
      </c>
      <c r="BM214" s="30">
        <v>19</v>
      </c>
      <c r="BN214" s="30">
        <v>0</v>
      </c>
      <c r="BO214" s="30">
        <v>51</v>
      </c>
      <c r="BP214" s="30">
        <v>8</v>
      </c>
      <c r="BQ214" s="30">
        <v>59</v>
      </c>
      <c r="BR214" s="47">
        <v>22053</v>
      </c>
      <c r="BS214" s="47">
        <v>22079</v>
      </c>
      <c r="BT214" s="1">
        <f t="shared" si="96"/>
        <v>77.470175438596485</v>
      </c>
      <c r="BU214" s="30">
        <v>0</v>
      </c>
      <c r="BV214" s="30">
        <v>0</v>
      </c>
      <c r="BW214" s="47">
        <v>5454</v>
      </c>
      <c r="BX214" s="52">
        <f t="shared" si="97"/>
        <v>19.13684210526316</v>
      </c>
      <c r="BY214" s="47">
        <v>9534</v>
      </c>
      <c r="BZ214" s="47">
        <v>0</v>
      </c>
      <c r="CA214" s="47">
        <v>1768</v>
      </c>
      <c r="CB214" s="47">
        <v>0</v>
      </c>
      <c r="CC214" s="47">
        <v>11302</v>
      </c>
      <c r="CD214" s="55">
        <f t="shared" si="98"/>
        <v>39.656140350877195</v>
      </c>
      <c r="CE214" s="3">
        <f t="shared" si="99"/>
        <v>11302</v>
      </c>
      <c r="CF214" s="55">
        <f t="shared" si="100"/>
        <v>11.212301587301587</v>
      </c>
      <c r="CG214" s="55">
        <f t="shared" si="101"/>
        <v>0.42490319184931763</v>
      </c>
      <c r="CH214" s="55">
        <f t="shared" si="102"/>
        <v>0.51188912541328868</v>
      </c>
      <c r="CI214" s="30">
        <v>398</v>
      </c>
      <c r="CJ214" s="30">
        <v>0</v>
      </c>
      <c r="CK214" s="30">
        <v>0</v>
      </c>
      <c r="CL214" s="30">
        <v>398</v>
      </c>
      <c r="CM214" s="30">
        <v>11800</v>
      </c>
      <c r="CN214" s="30">
        <v>0</v>
      </c>
      <c r="CO214" s="30">
        <v>0</v>
      </c>
      <c r="CP214" s="30">
        <v>11800</v>
      </c>
      <c r="CQ214" s="1">
        <f t="shared" si="110"/>
        <v>41.403508771929822</v>
      </c>
      <c r="CR214" s="47">
        <v>26599</v>
      </c>
      <c r="CS214" s="55">
        <f t="shared" si="103"/>
        <v>93.329824561403512</v>
      </c>
      <c r="CT214" s="59">
        <v>272</v>
      </c>
      <c r="CU214" s="29" t="s">
        <v>25</v>
      </c>
      <c r="CV214" s="29" t="s">
        <v>25</v>
      </c>
      <c r="CW214" s="29" t="s">
        <v>25</v>
      </c>
      <c r="CX214" s="35">
        <v>0</v>
      </c>
      <c r="CY214" s="49">
        <v>0</v>
      </c>
      <c r="CZ214" s="35">
        <v>0.5</v>
      </c>
      <c r="DA214" s="35">
        <v>0.5</v>
      </c>
      <c r="DB214" s="35">
        <v>1</v>
      </c>
      <c r="DC214" s="49">
        <f t="shared" si="104"/>
        <v>285</v>
      </c>
      <c r="DD214" s="30">
        <v>184</v>
      </c>
      <c r="DE214" s="31">
        <v>27922</v>
      </c>
      <c r="DF214" s="35">
        <v>40</v>
      </c>
      <c r="DG214" s="29" t="s">
        <v>25</v>
      </c>
      <c r="DH214" s="29" t="s">
        <v>25</v>
      </c>
      <c r="DI214" s="29" t="s">
        <v>25</v>
      </c>
      <c r="DJ214" s="47">
        <v>104</v>
      </c>
      <c r="DK214" s="47">
        <v>0</v>
      </c>
      <c r="DL214" s="47">
        <v>3</v>
      </c>
      <c r="DM214" s="47">
        <v>2325</v>
      </c>
      <c r="DN214" s="47">
        <v>110</v>
      </c>
      <c r="DO214" s="47">
        <v>540</v>
      </c>
      <c r="DP214" s="29" t="s">
        <v>2028</v>
      </c>
      <c r="DQ214" s="47">
        <v>0</v>
      </c>
      <c r="DR214" s="47">
        <v>1008</v>
      </c>
      <c r="DS214" s="30">
        <v>51</v>
      </c>
      <c r="DT214" s="30">
        <v>20</v>
      </c>
      <c r="DU214" s="30">
        <v>20</v>
      </c>
      <c r="DV214" s="30">
        <v>20</v>
      </c>
      <c r="DX214" s="2">
        <f t="shared" si="105"/>
        <v>1008</v>
      </c>
      <c r="DY214" s="33" t="s">
        <v>2178</v>
      </c>
      <c r="DZ214" s="33" t="s">
        <v>1529</v>
      </c>
      <c r="EA214" s="33" t="s">
        <v>2031</v>
      </c>
      <c r="EB214" s="33" t="s">
        <v>2027</v>
      </c>
      <c r="EC214" s="36">
        <v>492</v>
      </c>
      <c r="ED214" s="29" t="s">
        <v>1528</v>
      </c>
      <c r="EE214" s="29" t="s">
        <v>394</v>
      </c>
      <c r="EF214" s="37">
        <v>41548</v>
      </c>
      <c r="EG214" s="37">
        <v>41912</v>
      </c>
      <c r="EH214" s="29" t="s">
        <v>1528</v>
      </c>
      <c r="EI214" s="55">
        <f t="shared" si="106"/>
        <v>33.452631578947368</v>
      </c>
      <c r="EJ214" s="54">
        <f t="shared" si="107"/>
        <v>0</v>
      </c>
      <c r="EK214" s="55">
        <f t="shared" si="108"/>
        <v>6.2035087719298243</v>
      </c>
      <c r="EL214" s="54">
        <f t="shared" si="109"/>
        <v>0</v>
      </c>
    </row>
    <row r="215" spans="1:142" ht="28.8" x14ac:dyDescent="0.3">
      <c r="A215" s="29" t="s">
        <v>627</v>
      </c>
      <c r="B215" s="29"/>
      <c r="C215" s="30">
        <v>3014</v>
      </c>
      <c r="D215" s="30">
        <v>0</v>
      </c>
      <c r="E215" s="30">
        <v>0</v>
      </c>
      <c r="F215" s="30">
        <v>1760</v>
      </c>
      <c r="H215" s="2">
        <f t="shared" si="85"/>
        <v>1760</v>
      </c>
      <c r="I215" s="1">
        <f t="shared" si="84"/>
        <v>0.58394160583941601</v>
      </c>
      <c r="J215" s="31">
        <v>8183</v>
      </c>
      <c r="K215" s="31">
        <v>469</v>
      </c>
      <c r="L215" s="31">
        <v>8652</v>
      </c>
      <c r="M215" s="45">
        <f t="shared" si="86"/>
        <v>2.8706038487060384</v>
      </c>
      <c r="N215" s="31">
        <v>773</v>
      </c>
      <c r="O215" s="31">
        <v>0</v>
      </c>
      <c r="P215" s="31">
        <v>0</v>
      </c>
      <c r="Q215" s="31">
        <v>773</v>
      </c>
      <c r="R215" s="45">
        <f t="shared" si="87"/>
        <v>0.25646980756469806</v>
      </c>
      <c r="S215" s="31">
        <v>10126</v>
      </c>
      <c r="T215" s="31">
        <v>19551</v>
      </c>
      <c r="U215" s="31">
        <v>0</v>
      </c>
      <c r="V215" s="31">
        <v>19551</v>
      </c>
      <c r="W215" s="45">
        <f t="shared" si="88"/>
        <v>6.4867285998672859</v>
      </c>
      <c r="X215" s="4">
        <f t="shared" si="89"/>
        <v>0.44253490870032225</v>
      </c>
      <c r="Y215" s="4">
        <f t="shared" si="90"/>
        <v>3.9537619559101837E-2</v>
      </c>
      <c r="Z215" s="4">
        <f t="shared" si="91"/>
        <v>0.51792747174057596</v>
      </c>
      <c r="AA215" s="4">
        <f t="shared" si="92"/>
        <v>0</v>
      </c>
      <c r="AB215" s="31">
        <v>12750</v>
      </c>
      <c r="AC215" s="31">
        <v>773</v>
      </c>
      <c r="AD215" s="31">
        <v>19551</v>
      </c>
      <c r="AE215" s="31">
        <v>7700</v>
      </c>
      <c r="AF215" s="31">
        <v>4200</v>
      </c>
      <c r="AG215" s="31">
        <v>3500</v>
      </c>
      <c r="AH215" s="31">
        <v>0</v>
      </c>
      <c r="AI215" s="31">
        <v>7700</v>
      </c>
      <c r="AJ215" s="45">
        <f t="shared" si="93"/>
        <v>2.5547445255474455</v>
      </c>
      <c r="AK215" s="31">
        <v>0</v>
      </c>
      <c r="AL215" s="31">
        <v>0</v>
      </c>
      <c r="AM215" s="31">
        <v>0</v>
      </c>
      <c r="AN215" s="31">
        <v>0</v>
      </c>
      <c r="AO215" s="31">
        <v>0</v>
      </c>
      <c r="AP215" s="31">
        <v>11013</v>
      </c>
      <c r="AQ215" s="31">
        <v>11013</v>
      </c>
      <c r="AR215" s="31">
        <v>18713</v>
      </c>
      <c r="AS215" s="46">
        <f t="shared" si="94"/>
        <v>6.2086927670869274</v>
      </c>
      <c r="AT215" s="31">
        <v>0</v>
      </c>
      <c r="AU215" s="31">
        <v>0</v>
      </c>
      <c r="AV215" s="31">
        <v>0</v>
      </c>
      <c r="AW215" s="31">
        <v>0</v>
      </c>
      <c r="AX215" s="31">
        <v>0</v>
      </c>
      <c r="AY215" s="31">
        <v>0</v>
      </c>
      <c r="AZ215" s="31">
        <v>0</v>
      </c>
      <c r="BA215" s="31">
        <v>0</v>
      </c>
      <c r="BB215" s="31">
        <v>0</v>
      </c>
      <c r="BC215" s="33" t="s">
        <v>25</v>
      </c>
      <c r="BD215" s="47">
        <v>17964</v>
      </c>
      <c r="BE215" s="47">
        <v>18364</v>
      </c>
      <c r="BF215" s="45">
        <f t="shared" si="95"/>
        <v>6.0928998009289979</v>
      </c>
      <c r="BG215" s="30">
        <v>319</v>
      </c>
      <c r="BH215" s="30">
        <v>333</v>
      </c>
      <c r="BI215" s="30">
        <v>0</v>
      </c>
      <c r="BJ215" s="30">
        <v>1138</v>
      </c>
      <c r="BK215" s="30">
        <v>1259</v>
      </c>
      <c r="BL215" s="30">
        <v>0</v>
      </c>
      <c r="BM215" s="30">
        <v>0</v>
      </c>
      <c r="BN215" s="30">
        <v>0</v>
      </c>
      <c r="BO215" s="30">
        <v>51</v>
      </c>
      <c r="BP215" s="30">
        <v>1</v>
      </c>
      <c r="BQ215" s="30">
        <v>52</v>
      </c>
      <c r="BR215" s="47">
        <v>19421</v>
      </c>
      <c r="BS215" s="47">
        <v>19956</v>
      </c>
      <c r="BT215" s="1">
        <f t="shared" si="96"/>
        <v>6.6211015262110156</v>
      </c>
      <c r="BU215" s="30">
        <v>25</v>
      </c>
      <c r="BV215" s="30">
        <v>0</v>
      </c>
      <c r="BW215" s="47">
        <v>265</v>
      </c>
      <c r="BX215" s="52">
        <f t="shared" si="97"/>
        <v>8.792302587923026E-2</v>
      </c>
      <c r="BY215" s="47">
        <v>424</v>
      </c>
      <c r="BZ215" s="47">
        <v>0</v>
      </c>
      <c r="CA215" s="47">
        <v>6366</v>
      </c>
      <c r="CB215" s="47">
        <v>0</v>
      </c>
      <c r="CC215" s="47">
        <v>6790</v>
      </c>
      <c r="CD215" s="55">
        <f t="shared" si="98"/>
        <v>2.2528201725282018</v>
      </c>
      <c r="CE215" s="3">
        <f t="shared" si="99"/>
        <v>11808.695652173914</v>
      </c>
      <c r="CF215" s="55">
        <f t="shared" si="100"/>
        <v>5.9043478260869566</v>
      </c>
      <c r="CG215" s="55">
        <f t="shared" si="101"/>
        <v>1.0087654137572426</v>
      </c>
      <c r="CH215" s="55">
        <f t="shared" si="102"/>
        <v>0.34024854680296651</v>
      </c>
      <c r="CI215" s="30">
        <v>6</v>
      </c>
      <c r="CJ215" s="30">
        <v>0</v>
      </c>
      <c r="CK215" s="30">
        <v>24</v>
      </c>
      <c r="CL215" s="30">
        <v>30</v>
      </c>
      <c r="CM215" s="30">
        <v>135</v>
      </c>
      <c r="CN215" s="30">
        <v>0</v>
      </c>
      <c r="CO215" s="30">
        <v>291</v>
      </c>
      <c r="CP215" s="30">
        <v>426</v>
      </c>
      <c r="CQ215" s="1">
        <f t="shared" si="110"/>
        <v>0.14134041141340412</v>
      </c>
      <c r="CR215" s="47">
        <v>6731</v>
      </c>
      <c r="CS215" s="55">
        <f t="shared" si="103"/>
        <v>2.2332448573324486</v>
      </c>
      <c r="CT215" s="59">
        <v>1049</v>
      </c>
      <c r="CU215" s="29" t="s">
        <v>25</v>
      </c>
      <c r="CV215" s="29" t="s">
        <v>25</v>
      </c>
      <c r="CW215" s="29" t="s">
        <v>25</v>
      </c>
      <c r="CX215" s="35">
        <v>0</v>
      </c>
      <c r="CY215" s="49">
        <v>0</v>
      </c>
      <c r="CZ215" s="35">
        <v>0.57499999999999996</v>
      </c>
      <c r="DA215" s="35">
        <v>0</v>
      </c>
      <c r="DB215" s="35">
        <v>0.57499999999999996</v>
      </c>
      <c r="DC215" s="49">
        <f t="shared" si="104"/>
        <v>5241.739130434783</v>
      </c>
      <c r="DD215" s="30">
        <v>875</v>
      </c>
      <c r="DE215" s="31">
        <v>8652</v>
      </c>
      <c r="DF215" s="35">
        <v>23</v>
      </c>
      <c r="DG215" s="29" t="s">
        <v>25</v>
      </c>
      <c r="DH215" s="29" t="s">
        <v>25</v>
      </c>
      <c r="DI215" s="29" t="s">
        <v>25</v>
      </c>
      <c r="DJ215" s="47">
        <v>0</v>
      </c>
      <c r="DK215" s="47">
        <v>0</v>
      </c>
      <c r="DL215" s="47">
        <v>5</v>
      </c>
      <c r="DM215" s="47">
        <v>1049</v>
      </c>
      <c r="DN215" s="47">
        <v>27</v>
      </c>
      <c r="DO215" s="47">
        <v>0</v>
      </c>
      <c r="DP215" s="29" t="s">
        <v>2028</v>
      </c>
      <c r="DQ215" s="47">
        <v>0</v>
      </c>
      <c r="DR215" s="47">
        <v>1150</v>
      </c>
      <c r="DS215" s="30">
        <v>50</v>
      </c>
      <c r="DT215" s="30">
        <v>23</v>
      </c>
      <c r="DU215" s="30">
        <v>23</v>
      </c>
      <c r="DV215" s="30">
        <v>23</v>
      </c>
      <c r="DX215" s="2">
        <f t="shared" si="105"/>
        <v>1150</v>
      </c>
      <c r="DY215" s="33" t="s">
        <v>2178</v>
      </c>
      <c r="DZ215" s="33" t="s">
        <v>628</v>
      </c>
      <c r="EA215" s="33" t="s">
        <v>2032</v>
      </c>
      <c r="EB215" s="33" t="s">
        <v>2027</v>
      </c>
      <c r="EC215" s="36">
        <v>171</v>
      </c>
      <c r="ED215" s="29" t="s">
        <v>626</v>
      </c>
      <c r="EE215" s="29" t="s">
        <v>24</v>
      </c>
      <c r="EF215" s="37">
        <v>41640</v>
      </c>
      <c r="EG215" s="37">
        <v>42004</v>
      </c>
      <c r="EH215" s="29" t="s">
        <v>626</v>
      </c>
      <c r="EI215" s="55">
        <f t="shared" si="106"/>
        <v>0.14067684140676842</v>
      </c>
      <c r="EJ215" s="54">
        <f t="shared" si="107"/>
        <v>0</v>
      </c>
      <c r="EK215" s="55">
        <f t="shared" si="108"/>
        <v>2.1121433311214335</v>
      </c>
      <c r="EL215" s="54">
        <f t="shared" si="109"/>
        <v>0</v>
      </c>
    </row>
    <row r="216" spans="1:142" ht="28.8" x14ac:dyDescent="0.3">
      <c r="A216" s="29" t="s">
        <v>629</v>
      </c>
      <c r="B216" s="29"/>
      <c r="C216" s="30">
        <v>2593</v>
      </c>
      <c r="D216" s="30">
        <v>0</v>
      </c>
      <c r="E216" s="30">
        <v>0</v>
      </c>
      <c r="F216" s="30">
        <v>7490</v>
      </c>
      <c r="H216" s="2">
        <f t="shared" si="85"/>
        <v>7490</v>
      </c>
      <c r="I216" s="1">
        <f t="shared" si="84"/>
        <v>2.8885460856151175</v>
      </c>
      <c r="J216" s="31">
        <v>82529</v>
      </c>
      <c r="K216" s="31">
        <v>33039</v>
      </c>
      <c r="L216" s="31">
        <v>115568</v>
      </c>
      <c r="M216" s="45">
        <f t="shared" si="86"/>
        <v>44.569224836097185</v>
      </c>
      <c r="N216" s="31">
        <v>15325</v>
      </c>
      <c r="O216" s="31">
        <v>0</v>
      </c>
      <c r="P216" s="31">
        <v>800</v>
      </c>
      <c r="Q216" s="31">
        <v>16125</v>
      </c>
      <c r="R216" s="45">
        <f t="shared" si="87"/>
        <v>6.2186656382568453</v>
      </c>
      <c r="S216" s="31">
        <v>102488</v>
      </c>
      <c r="T216" s="31">
        <v>234181</v>
      </c>
      <c r="U216" s="31">
        <v>0</v>
      </c>
      <c r="V216" s="31">
        <v>234181</v>
      </c>
      <c r="W216" s="45">
        <f t="shared" si="88"/>
        <v>90.312765136907061</v>
      </c>
      <c r="X216" s="4">
        <f t="shared" si="89"/>
        <v>0.49349861858989413</v>
      </c>
      <c r="Y216" s="4">
        <f t="shared" si="90"/>
        <v>6.8856995230185195E-2</v>
      </c>
      <c r="Z216" s="4">
        <f t="shared" si="91"/>
        <v>0.43764438617992069</v>
      </c>
      <c r="AA216" s="4">
        <f t="shared" si="92"/>
        <v>0</v>
      </c>
      <c r="AB216" s="31">
        <v>0</v>
      </c>
      <c r="AC216" s="31">
        <v>15742</v>
      </c>
      <c r="AD216" s="31">
        <v>231918</v>
      </c>
      <c r="AE216" s="31">
        <v>155538</v>
      </c>
      <c r="AF216" s="31">
        <v>155538</v>
      </c>
      <c r="AG216" s="31">
        <v>0</v>
      </c>
      <c r="AH216" s="31">
        <v>0</v>
      </c>
      <c r="AI216" s="31">
        <v>155538</v>
      </c>
      <c r="AJ216" s="45">
        <f t="shared" si="93"/>
        <v>59.983802545314305</v>
      </c>
      <c r="AK216" s="31">
        <v>0</v>
      </c>
      <c r="AL216" s="31">
        <v>0</v>
      </c>
      <c r="AM216" s="31">
        <v>0</v>
      </c>
      <c r="AN216" s="31">
        <v>0</v>
      </c>
      <c r="AO216" s="31">
        <v>37000</v>
      </c>
      <c r="AP216" s="31">
        <v>10000</v>
      </c>
      <c r="AQ216" s="31">
        <v>47000</v>
      </c>
      <c r="AR216" s="31">
        <v>202538</v>
      </c>
      <c r="AS216" s="46">
        <f t="shared" si="94"/>
        <v>78.109525645969924</v>
      </c>
      <c r="AT216" s="31">
        <v>0</v>
      </c>
      <c r="AU216" s="31">
        <v>0</v>
      </c>
      <c r="AV216" s="31">
        <v>0</v>
      </c>
      <c r="AW216" s="31">
        <v>0</v>
      </c>
      <c r="AX216" s="31">
        <v>0</v>
      </c>
      <c r="AY216" s="31">
        <v>0</v>
      </c>
      <c r="AZ216" s="31">
        <v>0</v>
      </c>
      <c r="BA216" s="31">
        <v>0</v>
      </c>
      <c r="BB216" s="31">
        <v>0</v>
      </c>
      <c r="BC216" s="33" t="s">
        <v>25</v>
      </c>
      <c r="BD216" s="47">
        <v>28110</v>
      </c>
      <c r="BE216" s="47">
        <v>29059</v>
      </c>
      <c r="BF216" s="45">
        <f t="shared" si="95"/>
        <v>11.206710374084073</v>
      </c>
      <c r="BG216" s="30">
        <v>788</v>
      </c>
      <c r="BH216" s="30">
        <v>788</v>
      </c>
      <c r="BI216" s="30">
        <v>1120</v>
      </c>
      <c r="BJ216" s="30">
        <v>2146</v>
      </c>
      <c r="BK216" s="30">
        <v>2238</v>
      </c>
      <c r="BL216" s="30">
        <v>0</v>
      </c>
      <c r="BM216" s="30">
        <v>10674</v>
      </c>
      <c r="BN216" s="30">
        <v>0</v>
      </c>
      <c r="BO216" s="30">
        <v>51</v>
      </c>
      <c r="BP216" s="30">
        <v>0</v>
      </c>
      <c r="BQ216" s="30">
        <v>51</v>
      </c>
      <c r="BR216" s="47">
        <v>31044</v>
      </c>
      <c r="BS216" s="47">
        <v>43879</v>
      </c>
      <c r="BT216" s="1">
        <f t="shared" si="96"/>
        <v>16.922097956035479</v>
      </c>
      <c r="BU216" s="30">
        <v>37</v>
      </c>
      <c r="BV216" s="30">
        <v>0</v>
      </c>
      <c r="BW216" s="47">
        <v>5460</v>
      </c>
      <c r="BX216" s="52">
        <f t="shared" si="97"/>
        <v>2.1056691091399924</v>
      </c>
      <c r="BY216" s="47">
        <v>15828</v>
      </c>
      <c r="BZ216" s="47">
        <v>183</v>
      </c>
      <c r="CA216" s="47">
        <v>31963</v>
      </c>
      <c r="CB216" s="47">
        <v>3051</v>
      </c>
      <c r="CC216" s="47">
        <v>51025</v>
      </c>
      <c r="CD216" s="55">
        <f t="shared" si="98"/>
        <v>19.677979174701118</v>
      </c>
      <c r="CE216" s="3">
        <f t="shared" si="99"/>
        <v>17747.82608695652</v>
      </c>
      <c r="CF216" s="55">
        <f t="shared" si="100"/>
        <v>30.756479807112719</v>
      </c>
      <c r="CG216" s="55">
        <f t="shared" si="101"/>
        <v>1.3372382524831616</v>
      </c>
      <c r="CH216" s="55">
        <f t="shared" si="102"/>
        <v>1.0891542651382211</v>
      </c>
      <c r="CI216" s="30">
        <v>10</v>
      </c>
      <c r="CJ216" s="30">
        <v>4</v>
      </c>
      <c r="CK216" s="30">
        <v>34</v>
      </c>
      <c r="CL216" s="30">
        <v>48</v>
      </c>
      <c r="CM216" s="30">
        <v>1320</v>
      </c>
      <c r="CN216" s="30">
        <v>24</v>
      </c>
      <c r="CO216" s="30">
        <v>1431</v>
      </c>
      <c r="CP216" s="30">
        <v>2775</v>
      </c>
      <c r="CQ216" s="1">
        <f t="shared" si="110"/>
        <v>1.0701889703046663</v>
      </c>
      <c r="CR216" s="47">
        <v>38157</v>
      </c>
      <c r="CS216" s="55">
        <f t="shared" si="103"/>
        <v>14.715387581951408</v>
      </c>
      <c r="CT216" s="59">
        <v>7227</v>
      </c>
      <c r="CU216" s="29" t="s">
        <v>25</v>
      </c>
      <c r="CV216" s="29" t="s">
        <v>25</v>
      </c>
      <c r="CW216" s="29" t="s">
        <v>25</v>
      </c>
      <c r="CX216" s="35">
        <v>0</v>
      </c>
      <c r="CY216" s="49">
        <v>0</v>
      </c>
      <c r="CZ216" s="35">
        <v>1.6</v>
      </c>
      <c r="DA216" s="35">
        <v>1.2749999999999999</v>
      </c>
      <c r="DB216" s="35">
        <v>2.875</v>
      </c>
      <c r="DC216" s="49">
        <f t="shared" si="104"/>
        <v>901.91304347826087</v>
      </c>
      <c r="DD216" s="30">
        <v>362</v>
      </c>
      <c r="DE216" s="31">
        <v>25738</v>
      </c>
      <c r="DF216" s="35">
        <v>32</v>
      </c>
      <c r="DG216" s="29" t="s">
        <v>25</v>
      </c>
      <c r="DH216" s="29" t="s">
        <v>25</v>
      </c>
      <c r="DI216" s="29" t="s">
        <v>25</v>
      </c>
      <c r="DJ216" s="47">
        <v>22</v>
      </c>
      <c r="DK216" s="47">
        <v>70</v>
      </c>
      <c r="DL216" s="47">
        <v>19</v>
      </c>
      <c r="DM216" s="47">
        <v>2906</v>
      </c>
      <c r="DN216" s="47">
        <v>3120</v>
      </c>
      <c r="DO216" s="47">
        <v>0</v>
      </c>
      <c r="DP216" s="29" t="s">
        <v>2028</v>
      </c>
      <c r="DQ216" s="47">
        <v>0</v>
      </c>
      <c r="DR216" s="47">
        <v>1659</v>
      </c>
      <c r="DS216" s="30">
        <v>52</v>
      </c>
      <c r="DT216" s="30">
        <v>33</v>
      </c>
      <c r="DU216" s="30">
        <v>33</v>
      </c>
      <c r="DV216" s="30">
        <v>33</v>
      </c>
      <c r="DX216" s="2">
        <f t="shared" si="105"/>
        <v>1659</v>
      </c>
      <c r="DY216" s="33" t="s">
        <v>2180</v>
      </c>
      <c r="DZ216" s="33" t="s">
        <v>632</v>
      </c>
      <c r="EA216" s="33" t="s">
        <v>2030</v>
      </c>
      <c r="EB216" s="33" t="s">
        <v>2027</v>
      </c>
      <c r="EC216" s="36">
        <v>172</v>
      </c>
      <c r="ED216" s="29" t="s">
        <v>630</v>
      </c>
      <c r="EE216" s="29" t="s">
        <v>631</v>
      </c>
      <c r="EF216" s="37">
        <v>41640</v>
      </c>
      <c r="EG216" s="37">
        <v>42004</v>
      </c>
      <c r="EH216" s="29" t="s">
        <v>630</v>
      </c>
      <c r="EI216" s="55">
        <f t="shared" si="106"/>
        <v>6.104126494408022</v>
      </c>
      <c r="EJ216" s="54">
        <f t="shared" si="107"/>
        <v>7.0574623987659083E-2</v>
      </c>
      <c r="EK216" s="55">
        <f t="shared" si="108"/>
        <v>12.326648669494794</v>
      </c>
      <c r="EL216" s="54">
        <f t="shared" si="109"/>
        <v>1.1766293868106441</v>
      </c>
    </row>
    <row r="217" spans="1:142" ht="28.8" x14ac:dyDescent="0.3">
      <c r="A217" s="29" t="s">
        <v>634</v>
      </c>
      <c r="B217" s="29"/>
      <c r="C217" s="30">
        <v>43580</v>
      </c>
      <c r="D217" s="30">
        <v>0</v>
      </c>
      <c r="E217" s="30">
        <v>0</v>
      </c>
      <c r="F217" s="30">
        <v>29800</v>
      </c>
      <c r="H217" s="2">
        <f t="shared" si="85"/>
        <v>29800</v>
      </c>
      <c r="I217" s="1">
        <f t="shared" si="84"/>
        <v>0.68379990821477743</v>
      </c>
      <c r="J217" s="31">
        <v>629961</v>
      </c>
      <c r="K217" s="31">
        <v>257014</v>
      </c>
      <c r="L217" s="31">
        <v>886975</v>
      </c>
      <c r="M217" s="45">
        <f t="shared" si="86"/>
        <v>20.352799449288664</v>
      </c>
      <c r="N217" s="31">
        <v>102310</v>
      </c>
      <c r="O217" s="31">
        <v>11682</v>
      </c>
      <c r="P217" s="31">
        <v>7333</v>
      </c>
      <c r="Q217" s="31">
        <v>121325</v>
      </c>
      <c r="R217" s="45">
        <f t="shared" si="87"/>
        <v>2.7839605323542909</v>
      </c>
      <c r="S217" s="31">
        <v>121966</v>
      </c>
      <c r="T217" s="31">
        <v>1130266</v>
      </c>
      <c r="U217" s="31">
        <v>0</v>
      </c>
      <c r="V217" s="31">
        <v>1130266</v>
      </c>
      <c r="W217" s="45">
        <f t="shared" si="88"/>
        <v>25.935429095915559</v>
      </c>
      <c r="X217" s="4">
        <f t="shared" si="89"/>
        <v>0.78474889981650342</v>
      </c>
      <c r="Y217" s="4">
        <f t="shared" si="90"/>
        <v>0.10734198852305564</v>
      </c>
      <c r="Z217" s="4">
        <f t="shared" si="91"/>
        <v>0.107909111660441</v>
      </c>
      <c r="AA217" s="4">
        <f t="shared" si="92"/>
        <v>0</v>
      </c>
      <c r="AB217" s="31">
        <v>0</v>
      </c>
      <c r="AC217" s="31">
        <v>121325</v>
      </c>
      <c r="AD217" s="31">
        <v>1130266</v>
      </c>
      <c r="AE217" s="31">
        <v>1130266</v>
      </c>
      <c r="AF217" s="31">
        <v>1191334</v>
      </c>
      <c r="AG217" s="31">
        <v>0</v>
      </c>
      <c r="AH217" s="31">
        <v>0</v>
      </c>
      <c r="AI217" s="31">
        <v>1191334</v>
      </c>
      <c r="AJ217" s="45">
        <f t="shared" si="93"/>
        <v>27.336714089031666</v>
      </c>
      <c r="AK217" s="31">
        <v>0</v>
      </c>
      <c r="AL217" s="31">
        <v>0</v>
      </c>
      <c r="AM217" s="31">
        <v>0</v>
      </c>
      <c r="AN217" s="31">
        <v>0</v>
      </c>
      <c r="AO217" s="31">
        <v>0</v>
      </c>
      <c r="AP217" s="31">
        <v>46372</v>
      </c>
      <c r="AQ217" s="31">
        <v>46372</v>
      </c>
      <c r="AR217" s="31">
        <v>1237706</v>
      </c>
      <c r="AS217" s="46">
        <f t="shared" si="94"/>
        <v>28.400780174391922</v>
      </c>
      <c r="AT217" s="31">
        <v>0</v>
      </c>
      <c r="AU217" s="31">
        <v>0</v>
      </c>
      <c r="AV217" s="31">
        <v>0</v>
      </c>
      <c r="AW217" s="31">
        <v>0</v>
      </c>
      <c r="AX217" s="31">
        <v>0</v>
      </c>
      <c r="AY217" s="31">
        <v>0</v>
      </c>
      <c r="AZ217" s="31">
        <v>0</v>
      </c>
      <c r="BA217" s="31">
        <v>0</v>
      </c>
      <c r="BB217" s="31">
        <v>0</v>
      </c>
      <c r="BC217" s="33" t="s">
        <v>25</v>
      </c>
      <c r="BD217" s="47">
        <v>94427</v>
      </c>
      <c r="BE217" s="47">
        <v>102133</v>
      </c>
      <c r="BF217" s="45">
        <f t="shared" si="95"/>
        <v>2.3435750344194584</v>
      </c>
      <c r="BG217" s="30">
        <v>4440</v>
      </c>
      <c r="BH217" s="30">
        <v>4691</v>
      </c>
      <c r="BI217" s="30">
        <v>4768</v>
      </c>
      <c r="BJ217" s="30">
        <v>11239</v>
      </c>
      <c r="BK217" s="30">
        <v>15556</v>
      </c>
      <c r="BL217" s="30">
        <v>0</v>
      </c>
      <c r="BM217" s="30">
        <v>10616</v>
      </c>
      <c r="BN217" s="30">
        <v>8</v>
      </c>
      <c r="BO217" s="30">
        <v>51</v>
      </c>
      <c r="BP217" s="30">
        <v>1</v>
      </c>
      <c r="BQ217" s="30">
        <v>60</v>
      </c>
      <c r="BR217" s="47">
        <v>110106</v>
      </c>
      <c r="BS217" s="47">
        <v>137772</v>
      </c>
      <c r="BT217" s="1">
        <f t="shared" si="96"/>
        <v>3.1613584212941714</v>
      </c>
      <c r="BU217" s="30">
        <v>37</v>
      </c>
      <c r="BV217" s="30">
        <v>0</v>
      </c>
      <c r="BW217" s="47">
        <v>17570</v>
      </c>
      <c r="BX217" s="52">
        <f t="shared" si="97"/>
        <v>0.40316659017898121</v>
      </c>
      <c r="BY217" s="47">
        <v>75517</v>
      </c>
      <c r="BZ217" s="47">
        <v>0</v>
      </c>
      <c r="CA217" s="47">
        <v>104393</v>
      </c>
      <c r="CB217" s="47">
        <v>5136</v>
      </c>
      <c r="CC217" s="47">
        <v>185046</v>
      </c>
      <c r="CD217" s="55">
        <f t="shared" si="98"/>
        <v>4.2461220743460304</v>
      </c>
      <c r="CE217" s="3">
        <f t="shared" si="99"/>
        <v>10758.488372093023</v>
      </c>
      <c r="CF217" s="55">
        <f t="shared" si="100"/>
        <v>71.00767459708365</v>
      </c>
      <c r="CG217" s="55">
        <f t="shared" si="101"/>
        <v>1.4099817128924108</v>
      </c>
      <c r="CH217" s="55">
        <f t="shared" si="102"/>
        <v>1.3058531486804286</v>
      </c>
      <c r="CI217" s="30">
        <v>437</v>
      </c>
      <c r="CJ217" s="30">
        <v>0</v>
      </c>
      <c r="CK217" s="30">
        <v>339</v>
      </c>
      <c r="CL217" s="30">
        <v>776</v>
      </c>
      <c r="CM217" s="30">
        <v>14729</v>
      </c>
      <c r="CN217" s="30">
        <v>0</v>
      </c>
      <c r="CO217" s="30">
        <v>12937</v>
      </c>
      <c r="CP217" s="30">
        <v>27666</v>
      </c>
      <c r="CQ217" s="1">
        <f t="shared" si="110"/>
        <v>0.63483249196879299</v>
      </c>
      <c r="CR217" s="47">
        <v>131240</v>
      </c>
      <c r="CS217" s="55">
        <f t="shared" si="103"/>
        <v>3.0114731528223957</v>
      </c>
      <c r="CT217" s="59">
        <v>33060</v>
      </c>
      <c r="CU217" s="29" t="s">
        <v>25</v>
      </c>
      <c r="CV217" s="29" t="s">
        <v>25</v>
      </c>
      <c r="CW217" s="29" t="s">
        <v>25</v>
      </c>
      <c r="CX217" s="35">
        <v>5</v>
      </c>
      <c r="CY217" s="49">
        <f>C217/CX217</f>
        <v>8716</v>
      </c>
      <c r="CZ217" s="35">
        <v>2</v>
      </c>
      <c r="DA217" s="35">
        <v>10.199999999999999</v>
      </c>
      <c r="DB217" s="35">
        <v>17.2</v>
      </c>
      <c r="DC217" s="49">
        <f t="shared" si="104"/>
        <v>2533.7209302325582</v>
      </c>
      <c r="DD217" s="30">
        <v>1423</v>
      </c>
      <c r="DE217" s="31">
        <v>82395</v>
      </c>
      <c r="DF217" s="35">
        <v>40</v>
      </c>
      <c r="DG217" s="29" t="s">
        <v>25</v>
      </c>
      <c r="DH217" s="29" t="s">
        <v>25</v>
      </c>
      <c r="DI217" s="29" t="s">
        <v>25</v>
      </c>
      <c r="DJ217" s="47">
        <v>36</v>
      </c>
      <c r="DK217" s="47">
        <v>321</v>
      </c>
      <c r="DL217" s="47">
        <v>39</v>
      </c>
      <c r="DM217" s="47">
        <v>43456</v>
      </c>
      <c r="DN217" s="47">
        <v>23174</v>
      </c>
      <c r="DO217" s="47">
        <v>0</v>
      </c>
      <c r="DP217" s="29" t="s">
        <v>25</v>
      </c>
      <c r="DQ217" s="47">
        <v>22000</v>
      </c>
      <c r="DR217" s="47">
        <v>2606</v>
      </c>
      <c r="DS217" s="30">
        <v>52</v>
      </c>
      <c r="DT217" s="30">
        <v>52</v>
      </c>
      <c r="DU217" s="30">
        <v>52</v>
      </c>
      <c r="DV217" s="30">
        <v>52</v>
      </c>
      <c r="DX217" s="2">
        <f t="shared" si="105"/>
        <v>2606</v>
      </c>
      <c r="DY217" s="33" t="s">
        <v>2181</v>
      </c>
      <c r="DZ217" s="33" t="s">
        <v>635</v>
      </c>
      <c r="EA217" s="33" t="s">
        <v>2030</v>
      </c>
      <c r="EB217" s="33" t="s">
        <v>2027</v>
      </c>
      <c r="EC217" s="36">
        <v>173</v>
      </c>
      <c r="ED217" s="29" t="s">
        <v>633</v>
      </c>
      <c r="EE217" s="29" t="s">
        <v>91</v>
      </c>
      <c r="EF217" s="37">
        <v>41548</v>
      </c>
      <c r="EG217" s="37">
        <v>41912</v>
      </c>
      <c r="EH217" s="29" t="s">
        <v>633</v>
      </c>
      <c r="EI217" s="55">
        <f t="shared" si="106"/>
        <v>1.7328361633776961</v>
      </c>
      <c r="EJ217" s="54">
        <f t="shared" si="107"/>
        <v>0</v>
      </c>
      <c r="EK217" s="55">
        <f t="shared" si="108"/>
        <v>2.3954336851766866</v>
      </c>
      <c r="EL217" s="54">
        <f t="shared" si="109"/>
        <v>0.11785222579164754</v>
      </c>
    </row>
    <row r="218" spans="1:142" ht="28.8" x14ac:dyDescent="0.3">
      <c r="A218" s="29" t="s">
        <v>636</v>
      </c>
      <c r="B218" s="29"/>
      <c r="C218" s="30">
        <v>8310</v>
      </c>
      <c r="D218" s="30">
        <v>0</v>
      </c>
      <c r="E218" s="30">
        <v>0</v>
      </c>
      <c r="F218" s="30">
        <v>5000</v>
      </c>
      <c r="H218" s="2">
        <f t="shared" si="85"/>
        <v>5000</v>
      </c>
      <c r="I218" s="1">
        <f t="shared" si="84"/>
        <v>0.60168471720818295</v>
      </c>
      <c r="J218" s="31">
        <v>32420</v>
      </c>
      <c r="K218" s="31">
        <v>3756</v>
      </c>
      <c r="L218" s="31">
        <v>36176</v>
      </c>
      <c r="M218" s="45">
        <f t="shared" si="86"/>
        <v>4.3533092659446453</v>
      </c>
      <c r="N218" s="31">
        <v>5822</v>
      </c>
      <c r="O218" s="31">
        <v>1038</v>
      </c>
      <c r="P218" s="31">
        <v>985</v>
      </c>
      <c r="Q218" s="31">
        <v>7845</v>
      </c>
      <c r="R218" s="45">
        <f t="shared" si="87"/>
        <v>0.94404332129963897</v>
      </c>
      <c r="S218" s="31">
        <v>20453</v>
      </c>
      <c r="T218" s="31">
        <v>64474</v>
      </c>
      <c r="U218" s="31">
        <v>0</v>
      </c>
      <c r="V218" s="31">
        <v>64474</v>
      </c>
      <c r="W218" s="45">
        <f t="shared" si="88"/>
        <v>7.7586040914560774</v>
      </c>
      <c r="X218" s="4">
        <f t="shared" si="89"/>
        <v>0.56109439463969968</v>
      </c>
      <c r="Y218" s="4">
        <f t="shared" si="90"/>
        <v>0.12167695505164873</v>
      </c>
      <c r="Z218" s="4">
        <f t="shared" si="91"/>
        <v>0.31722865030865155</v>
      </c>
      <c r="AA218" s="4">
        <f t="shared" si="92"/>
        <v>0</v>
      </c>
      <c r="AB218" s="31">
        <v>0</v>
      </c>
      <c r="AC218" s="31">
        <v>7845</v>
      </c>
      <c r="AD218" s="31">
        <v>64474</v>
      </c>
      <c r="AE218" s="31">
        <v>30000</v>
      </c>
      <c r="AF218" s="31">
        <v>20000</v>
      </c>
      <c r="AG218" s="31">
        <v>10000</v>
      </c>
      <c r="AH218" s="31">
        <v>0</v>
      </c>
      <c r="AI218" s="31">
        <v>30000</v>
      </c>
      <c r="AJ218" s="45">
        <f t="shared" si="93"/>
        <v>3.6101083032490973</v>
      </c>
      <c r="AK218" s="31">
        <v>0</v>
      </c>
      <c r="AL218" s="31">
        <v>0</v>
      </c>
      <c r="AM218" s="31">
        <v>0</v>
      </c>
      <c r="AN218" s="31">
        <v>0</v>
      </c>
      <c r="AO218" s="31">
        <v>0</v>
      </c>
      <c r="AP218" s="31">
        <v>34426</v>
      </c>
      <c r="AQ218" s="31">
        <v>34426</v>
      </c>
      <c r="AR218" s="31">
        <v>64426</v>
      </c>
      <c r="AS218" s="46">
        <f t="shared" si="94"/>
        <v>7.7528279181708788</v>
      </c>
      <c r="AT218" s="31">
        <v>0</v>
      </c>
      <c r="AU218" s="31">
        <v>0</v>
      </c>
      <c r="AV218" s="31">
        <v>0</v>
      </c>
      <c r="AW218" s="31">
        <v>0</v>
      </c>
      <c r="AX218" s="31">
        <v>0</v>
      </c>
      <c r="AY218" s="31">
        <v>0</v>
      </c>
      <c r="AZ218" s="31">
        <v>0</v>
      </c>
      <c r="BA218" s="31">
        <v>0</v>
      </c>
      <c r="BB218" s="31">
        <v>0</v>
      </c>
      <c r="BC218" s="33" t="s">
        <v>25</v>
      </c>
      <c r="BD218" s="47">
        <v>18953</v>
      </c>
      <c r="BE218" s="47">
        <v>19176</v>
      </c>
      <c r="BF218" s="45">
        <f t="shared" si="95"/>
        <v>2.307581227436823</v>
      </c>
      <c r="BG218" s="30">
        <v>470</v>
      </c>
      <c r="BH218" s="30">
        <v>477</v>
      </c>
      <c r="BI218" s="30">
        <v>1119</v>
      </c>
      <c r="BJ218" s="30">
        <v>1950</v>
      </c>
      <c r="BK218" s="30">
        <v>1972</v>
      </c>
      <c r="BL218" s="30">
        <v>96</v>
      </c>
      <c r="BM218" s="30">
        <v>5174</v>
      </c>
      <c r="BN218" s="30">
        <v>0</v>
      </c>
      <c r="BO218" s="30">
        <v>51</v>
      </c>
      <c r="BP218" s="30">
        <v>0</v>
      </c>
      <c r="BQ218" s="30">
        <v>51</v>
      </c>
      <c r="BR218" s="47">
        <v>21373</v>
      </c>
      <c r="BS218" s="47">
        <v>28014</v>
      </c>
      <c r="BT218" s="1">
        <f t="shared" si="96"/>
        <v>3.3711191335740072</v>
      </c>
      <c r="BU218" s="30">
        <v>6</v>
      </c>
      <c r="BV218" s="30">
        <v>0</v>
      </c>
      <c r="BW218" s="47">
        <v>722</v>
      </c>
      <c r="BX218" s="52">
        <f t="shared" si="97"/>
        <v>8.6883273164861607E-2</v>
      </c>
      <c r="BY218" s="47">
        <v>6134</v>
      </c>
      <c r="BZ218" s="47">
        <v>78</v>
      </c>
      <c r="CA218" s="47">
        <v>12825</v>
      </c>
      <c r="CB218" s="47">
        <v>602</v>
      </c>
      <c r="CC218" s="47">
        <v>19639</v>
      </c>
      <c r="CD218" s="55">
        <f t="shared" si="98"/>
        <v>2.363297232250301</v>
      </c>
      <c r="CE218" s="3">
        <f t="shared" si="99"/>
        <v>13092.666666666666</v>
      </c>
      <c r="CF218" s="55">
        <f t="shared" si="100"/>
        <v>10.598488936859148</v>
      </c>
      <c r="CG218" s="55">
        <f t="shared" si="101"/>
        <v>1.3488324175824176</v>
      </c>
      <c r="CH218" s="55">
        <f t="shared" si="102"/>
        <v>0.67676875847790385</v>
      </c>
      <c r="CI218" s="30">
        <v>70</v>
      </c>
      <c r="CJ218" s="30">
        <v>1</v>
      </c>
      <c r="CK218" s="30">
        <v>5</v>
      </c>
      <c r="CL218" s="30">
        <v>76</v>
      </c>
      <c r="CM218" s="30">
        <v>1256</v>
      </c>
      <c r="CN218" s="30">
        <v>33</v>
      </c>
      <c r="CO218" s="30">
        <v>562</v>
      </c>
      <c r="CP218" s="30">
        <v>1851</v>
      </c>
      <c r="CQ218" s="1">
        <f t="shared" si="110"/>
        <v>0.22274368231046932</v>
      </c>
      <c r="CR218" s="47">
        <v>14560</v>
      </c>
      <c r="CS218" s="55">
        <f t="shared" si="103"/>
        <v>1.7521058965102287</v>
      </c>
      <c r="CT218" s="59">
        <v>2749</v>
      </c>
      <c r="CU218" s="29" t="s">
        <v>25</v>
      </c>
      <c r="CV218" s="29" t="s">
        <v>25</v>
      </c>
      <c r="CW218" s="29" t="s">
        <v>25</v>
      </c>
      <c r="CX218" s="35">
        <v>0</v>
      </c>
      <c r="CY218" s="49">
        <v>0</v>
      </c>
      <c r="CZ218" s="35">
        <v>0.75</v>
      </c>
      <c r="DA218" s="35">
        <v>0.75</v>
      </c>
      <c r="DB218" s="35">
        <v>1.5</v>
      </c>
      <c r="DC218" s="49">
        <f t="shared" si="104"/>
        <v>5540</v>
      </c>
      <c r="DD218" s="30">
        <v>1083</v>
      </c>
      <c r="DE218" s="31">
        <v>16900</v>
      </c>
      <c r="DF218" s="35">
        <v>30</v>
      </c>
      <c r="DG218" s="29" t="s">
        <v>25</v>
      </c>
      <c r="DH218" s="29" t="s">
        <v>26</v>
      </c>
      <c r="DI218" s="29" t="s">
        <v>26</v>
      </c>
      <c r="DJ218" s="47">
        <v>0</v>
      </c>
      <c r="DK218" s="47">
        <v>0</v>
      </c>
      <c r="DL218" s="47">
        <v>9</v>
      </c>
      <c r="DM218" s="47">
        <v>3414</v>
      </c>
      <c r="DN218" s="47">
        <v>350</v>
      </c>
      <c r="DO218" s="47">
        <v>396</v>
      </c>
      <c r="DP218" s="29" t="s">
        <v>25</v>
      </c>
      <c r="DQ218" s="47">
        <v>3747</v>
      </c>
      <c r="DR218" s="47">
        <v>1853</v>
      </c>
      <c r="DS218" s="30">
        <v>52</v>
      </c>
      <c r="DT218" s="30">
        <v>37</v>
      </c>
      <c r="DU218" s="30">
        <v>37</v>
      </c>
      <c r="DV218" s="30">
        <v>37</v>
      </c>
      <c r="DX218" s="2">
        <f t="shared" si="105"/>
        <v>1853</v>
      </c>
      <c r="DY218" s="33" t="s">
        <v>2186</v>
      </c>
      <c r="DZ218" s="33" t="s">
        <v>638</v>
      </c>
      <c r="EA218" s="33" t="s">
        <v>2032</v>
      </c>
      <c r="EB218" s="33" t="s">
        <v>2027</v>
      </c>
      <c r="EC218" s="36">
        <v>174</v>
      </c>
      <c r="ED218" s="29" t="s">
        <v>637</v>
      </c>
      <c r="EE218" s="29" t="s">
        <v>636</v>
      </c>
      <c r="EF218" s="37">
        <v>41640</v>
      </c>
      <c r="EG218" s="37">
        <v>42004</v>
      </c>
      <c r="EH218" s="29" t="s">
        <v>637</v>
      </c>
      <c r="EI218" s="55">
        <f t="shared" si="106"/>
        <v>0.73814681107099878</v>
      </c>
      <c r="EJ218" s="54">
        <f t="shared" si="107"/>
        <v>9.3862815884476532E-3</v>
      </c>
      <c r="EK218" s="55">
        <f t="shared" si="108"/>
        <v>1.5433212996389891</v>
      </c>
      <c r="EL218" s="54">
        <f t="shared" si="109"/>
        <v>7.2442839951865221E-2</v>
      </c>
    </row>
    <row r="219" spans="1:142" ht="28.8" x14ac:dyDescent="0.3">
      <c r="A219" s="29" t="s">
        <v>639</v>
      </c>
      <c r="B219" s="29"/>
      <c r="C219" s="30">
        <v>28169</v>
      </c>
      <c r="D219" s="30">
        <v>0</v>
      </c>
      <c r="E219" s="30">
        <v>0</v>
      </c>
      <c r="F219" s="30">
        <v>16893</v>
      </c>
      <c r="H219" s="2">
        <f t="shared" si="85"/>
        <v>16893</v>
      </c>
      <c r="I219" s="1">
        <f t="shared" si="84"/>
        <v>0.59970179985089989</v>
      </c>
      <c r="J219" s="31">
        <v>335162</v>
      </c>
      <c r="K219" s="31">
        <v>88903</v>
      </c>
      <c r="L219" s="31">
        <v>424065</v>
      </c>
      <c r="M219" s="45">
        <f t="shared" si="86"/>
        <v>15.054315027157514</v>
      </c>
      <c r="N219" s="31">
        <v>49134</v>
      </c>
      <c r="O219" s="31">
        <v>6060</v>
      </c>
      <c r="P219" s="31">
        <v>28068</v>
      </c>
      <c r="Q219" s="31">
        <v>83262</v>
      </c>
      <c r="R219" s="45">
        <f t="shared" si="87"/>
        <v>2.9558024779012388</v>
      </c>
      <c r="S219" s="31">
        <v>89853</v>
      </c>
      <c r="T219" s="31">
        <v>597180</v>
      </c>
      <c r="U219" s="31">
        <v>0</v>
      </c>
      <c r="V219" s="31">
        <v>597180</v>
      </c>
      <c r="W219" s="45">
        <f t="shared" si="88"/>
        <v>21.199900599950301</v>
      </c>
      <c r="X219" s="4">
        <f t="shared" si="89"/>
        <v>0.71011252888576304</v>
      </c>
      <c r="Y219" s="4">
        <f t="shared" si="90"/>
        <v>0.13942529890485281</v>
      </c>
      <c r="Z219" s="4">
        <f t="shared" si="91"/>
        <v>0.1504621722093841</v>
      </c>
      <c r="AA219" s="4">
        <f t="shared" si="92"/>
        <v>0</v>
      </c>
      <c r="AB219" s="31">
        <v>0</v>
      </c>
      <c r="AC219" s="31">
        <v>83262</v>
      </c>
      <c r="AD219" s="31">
        <v>597180</v>
      </c>
      <c r="AE219" s="31">
        <v>597180</v>
      </c>
      <c r="AF219" s="31">
        <v>597180</v>
      </c>
      <c r="AG219" s="31">
        <v>0</v>
      </c>
      <c r="AH219" s="31">
        <v>0</v>
      </c>
      <c r="AI219" s="31">
        <v>597180</v>
      </c>
      <c r="AJ219" s="45">
        <f t="shared" si="93"/>
        <v>21.199900599950301</v>
      </c>
      <c r="AK219" s="31">
        <v>0</v>
      </c>
      <c r="AL219" s="31">
        <v>0</v>
      </c>
      <c r="AM219" s="31">
        <v>0</v>
      </c>
      <c r="AN219" s="31">
        <v>0</v>
      </c>
      <c r="AO219" s="31">
        <v>0</v>
      </c>
      <c r="AP219" s="31">
        <v>0</v>
      </c>
      <c r="AQ219" s="31">
        <v>0</v>
      </c>
      <c r="AR219" s="31">
        <v>597180</v>
      </c>
      <c r="AS219" s="46">
        <f t="shared" si="94"/>
        <v>21.199900599950301</v>
      </c>
      <c r="AT219" s="31">
        <v>0</v>
      </c>
      <c r="AU219" s="31">
        <v>0</v>
      </c>
      <c r="AV219" s="31">
        <v>0</v>
      </c>
      <c r="AW219" s="31">
        <v>0</v>
      </c>
      <c r="AX219" s="31">
        <v>0</v>
      </c>
      <c r="AY219" s="31">
        <v>0</v>
      </c>
      <c r="AZ219" s="31">
        <v>0</v>
      </c>
      <c r="BA219" s="31">
        <v>0</v>
      </c>
      <c r="BB219" s="31">
        <v>0</v>
      </c>
      <c r="BC219" s="33" t="s">
        <v>25</v>
      </c>
      <c r="BD219" s="47">
        <v>45000</v>
      </c>
      <c r="BE219" s="47">
        <v>50381</v>
      </c>
      <c r="BF219" s="45">
        <f t="shared" si="95"/>
        <v>1.788526394263197</v>
      </c>
      <c r="BG219" s="30">
        <v>2600</v>
      </c>
      <c r="BH219" s="30">
        <v>3008</v>
      </c>
      <c r="BI219" s="30">
        <v>6815</v>
      </c>
      <c r="BJ219" s="30">
        <v>4470</v>
      </c>
      <c r="BK219" s="30">
        <v>4479</v>
      </c>
      <c r="BL219" s="30">
        <v>86</v>
      </c>
      <c r="BM219" s="30">
        <v>8425</v>
      </c>
      <c r="BN219" s="30">
        <v>0</v>
      </c>
      <c r="BO219" s="30">
        <v>51</v>
      </c>
      <c r="BP219" s="30">
        <v>0</v>
      </c>
      <c r="BQ219" s="30">
        <v>51</v>
      </c>
      <c r="BR219" s="47">
        <v>52070</v>
      </c>
      <c r="BS219" s="47">
        <v>73194</v>
      </c>
      <c r="BT219" s="1">
        <f t="shared" si="96"/>
        <v>2.5983882991941494</v>
      </c>
      <c r="BU219" s="30">
        <v>69</v>
      </c>
      <c r="BV219" s="30">
        <v>2</v>
      </c>
      <c r="BW219" s="47">
        <v>17975</v>
      </c>
      <c r="BX219" s="52">
        <f t="shared" si="97"/>
        <v>0.63811281905640949</v>
      </c>
      <c r="BY219" s="47">
        <v>66200</v>
      </c>
      <c r="BZ219" s="47">
        <v>1789</v>
      </c>
      <c r="CA219" s="47">
        <v>67231</v>
      </c>
      <c r="CB219" s="47">
        <v>3579</v>
      </c>
      <c r="CC219" s="47">
        <v>138799</v>
      </c>
      <c r="CD219" s="55">
        <f t="shared" si="98"/>
        <v>4.9273669636834816</v>
      </c>
      <c r="CE219" s="3">
        <f t="shared" si="99"/>
        <v>14610.421052631578</v>
      </c>
      <c r="CF219" s="55">
        <f t="shared" si="100"/>
        <v>44.147264631043257</v>
      </c>
      <c r="CG219" s="55">
        <f t="shared" si="101"/>
        <v>1.8653523095324491</v>
      </c>
      <c r="CH219" s="55">
        <f t="shared" si="102"/>
        <v>1.8229772932207557</v>
      </c>
      <c r="CI219" s="30">
        <v>646</v>
      </c>
      <c r="CJ219" s="30">
        <v>131</v>
      </c>
      <c r="CK219" s="30">
        <v>375</v>
      </c>
      <c r="CL219" s="30">
        <v>1152</v>
      </c>
      <c r="CM219" s="30">
        <v>27514</v>
      </c>
      <c r="CN219" s="30">
        <v>2907</v>
      </c>
      <c r="CO219" s="30">
        <v>8004</v>
      </c>
      <c r="CP219" s="30">
        <v>38425</v>
      </c>
      <c r="CQ219" s="1">
        <f t="shared" si="110"/>
        <v>1.3640881820440911</v>
      </c>
      <c r="CR219" s="47">
        <v>74409</v>
      </c>
      <c r="CS219" s="55">
        <f t="shared" si="103"/>
        <v>2.6415208207604102</v>
      </c>
      <c r="CT219" s="59">
        <v>36792</v>
      </c>
      <c r="CU219" s="29" t="s">
        <v>25</v>
      </c>
      <c r="CV219" s="29" t="s">
        <v>25</v>
      </c>
      <c r="CW219" s="29" t="s">
        <v>25</v>
      </c>
      <c r="CX219" s="35">
        <v>4</v>
      </c>
      <c r="CY219" s="49">
        <f>C219/CX219</f>
        <v>7042.25</v>
      </c>
      <c r="CZ219" s="35">
        <v>0</v>
      </c>
      <c r="DA219" s="35">
        <v>5.5</v>
      </c>
      <c r="DB219" s="35">
        <v>9.5</v>
      </c>
      <c r="DC219" s="49">
        <f t="shared" si="104"/>
        <v>2965.1578947368421</v>
      </c>
      <c r="DD219" s="30">
        <v>1600</v>
      </c>
      <c r="DE219" s="31">
        <v>76220</v>
      </c>
      <c r="DF219" s="35">
        <v>40</v>
      </c>
      <c r="DG219" s="29" t="s">
        <v>25</v>
      </c>
      <c r="DH219" s="29" t="s">
        <v>25</v>
      </c>
      <c r="DI219" s="29" t="s">
        <v>25</v>
      </c>
      <c r="DJ219" s="47">
        <v>362</v>
      </c>
      <c r="DK219" s="47">
        <v>222</v>
      </c>
      <c r="DL219" s="47">
        <v>16</v>
      </c>
      <c r="DM219" s="47">
        <v>33000</v>
      </c>
      <c r="DN219" s="47">
        <v>400</v>
      </c>
      <c r="DO219" s="47">
        <v>5500</v>
      </c>
      <c r="DP219" s="29" t="s">
        <v>25</v>
      </c>
      <c r="DQ219" s="47">
        <v>19000</v>
      </c>
      <c r="DR219" s="47">
        <v>3144</v>
      </c>
      <c r="DS219" s="30">
        <v>52</v>
      </c>
      <c r="DT219" s="30">
        <v>62</v>
      </c>
      <c r="DU219" s="30">
        <v>62</v>
      </c>
      <c r="DV219" s="30">
        <v>62</v>
      </c>
      <c r="DX219" s="2">
        <f t="shared" si="105"/>
        <v>3144</v>
      </c>
      <c r="DY219" s="33" t="s">
        <v>2186</v>
      </c>
      <c r="DZ219" s="33" t="s">
        <v>640</v>
      </c>
      <c r="EA219" s="33" t="s">
        <v>2030</v>
      </c>
      <c r="EB219" s="33" t="s">
        <v>2027</v>
      </c>
      <c r="EC219" s="36">
        <v>175</v>
      </c>
      <c r="ED219" s="29" t="s">
        <v>2038</v>
      </c>
      <c r="EE219" s="29" t="s">
        <v>128</v>
      </c>
      <c r="EF219" s="37">
        <v>41548</v>
      </c>
      <c r="EG219" s="37">
        <v>41912</v>
      </c>
      <c r="EH219" s="29" t="s">
        <v>2038</v>
      </c>
      <c r="EI219" s="55">
        <f t="shared" si="106"/>
        <v>2.3501011750505874</v>
      </c>
      <c r="EJ219" s="54">
        <f t="shared" si="107"/>
        <v>6.3509531754765883E-2</v>
      </c>
      <c r="EK219" s="55">
        <f t="shared" si="108"/>
        <v>2.3867016933508465</v>
      </c>
      <c r="EL219" s="54">
        <f t="shared" si="109"/>
        <v>0.12705456352728176</v>
      </c>
    </row>
    <row r="220" spans="1:142" ht="28.8" x14ac:dyDescent="0.3">
      <c r="A220" s="29" t="s">
        <v>641</v>
      </c>
      <c r="B220" s="29"/>
      <c r="C220" s="30">
        <v>92564</v>
      </c>
      <c r="D220" s="30">
        <v>0</v>
      </c>
      <c r="E220" s="30">
        <v>0</v>
      </c>
      <c r="F220" s="30">
        <v>45000</v>
      </c>
      <c r="H220" s="2">
        <f t="shared" si="85"/>
        <v>45000</v>
      </c>
      <c r="I220" s="1">
        <f t="shared" si="84"/>
        <v>0.48615012315803119</v>
      </c>
      <c r="J220" s="31">
        <v>606469</v>
      </c>
      <c r="K220" s="31">
        <v>157901</v>
      </c>
      <c r="L220" s="31">
        <v>764370</v>
      </c>
      <c r="M220" s="45">
        <f t="shared" si="86"/>
        <v>8.2577459919623184</v>
      </c>
      <c r="N220" s="31">
        <v>69308</v>
      </c>
      <c r="O220" s="31">
        <v>35934</v>
      </c>
      <c r="P220" s="31">
        <v>18277</v>
      </c>
      <c r="Q220" s="31">
        <v>123519</v>
      </c>
      <c r="R220" s="45">
        <f t="shared" si="87"/>
        <v>1.3344172680523745</v>
      </c>
      <c r="S220" s="31">
        <v>222199</v>
      </c>
      <c r="T220" s="31">
        <v>1110088</v>
      </c>
      <c r="U220" s="31">
        <v>0</v>
      </c>
      <c r="V220" s="31">
        <v>1110088</v>
      </c>
      <c r="W220" s="45">
        <f t="shared" si="88"/>
        <v>11.992653731472279</v>
      </c>
      <c r="X220" s="4">
        <f t="shared" si="89"/>
        <v>0.68856703252354767</v>
      </c>
      <c r="Y220" s="4">
        <f t="shared" si="90"/>
        <v>0.11126955700809305</v>
      </c>
      <c r="Z220" s="4">
        <f t="shared" si="91"/>
        <v>0.20016341046835925</v>
      </c>
      <c r="AA220" s="4">
        <f t="shared" si="92"/>
        <v>0</v>
      </c>
      <c r="AB220" s="31">
        <v>0</v>
      </c>
      <c r="AC220" s="31">
        <v>123519</v>
      </c>
      <c r="AD220" s="31">
        <v>1110088</v>
      </c>
      <c r="AE220" s="31">
        <v>1110088</v>
      </c>
      <c r="AF220" s="31">
        <v>1110088</v>
      </c>
      <c r="AG220" s="31">
        <v>0</v>
      </c>
      <c r="AH220" s="31">
        <v>0</v>
      </c>
      <c r="AI220" s="31">
        <v>1110088</v>
      </c>
      <c r="AJ220" s="45">
        <f t="shared" si="93"/>
        <v>11.992653731472279</v>
      </c>
      <c r="AK220" s="31">
        <v>0</v>
      </c>
      <c r="AL220" s="31">
        <v>0</v>
      </c>
      <c r="AM220" s="31">
        <v>0</v>
      </c>
      <c r="AN220" s="31">
        <v>0</v>
      </c>
      <c r="AO220" s="31">
        <v>0</v>
      </c>
      <c r="AP220" s="31">
        <v>11865</v>
      </c>
      <c r="AQ220" s="31">
        <v>11865</v>
      </c>
      <c r="AR220" s="31">
        <v>1121953</v>
      </c>
      <c r="AS220" s="46">
        <f t="shared" si="94"/>
        <v>12.120835313944946</v>
      </c>
      <c r="AT220" s="31">
        <v>0</v>
      </c>
      <c r="AU220" s="31">
        <v>0</v>
      </c>
      <c r="AV220" s="31">
        <v>0</v>
      </c>
      <c r="AW220" s="31">
        <v>0</v>
      </c>
      <c r="AX220" s="31">
        <v>0</v>
      </c>
      <c r="AY220" s="31">
        <v>0</v>
      </c>
      <c r="AZ220" s="31">
        <v>0</v>
      </c>
      <c r="BA220" s="31">
        <v>0</v>
      </c>
      <c r="BB220" s="31">
        <v>0</v>
      </c>
      <c r="BC220" s="33" t="s">
        <v>25</v>
      </c>
      <c r="BD220" s="47">
        <v>114157</v>
      </c>
      <c r="BE220" s="47">
        <v>136478</v>
      </c>
      <c r="BF220" s="45">
        <f t="shared" si="95"/>
        <v>1.4744177001858174</v>
      </c>
      <c r="BG220" s="30">
        <v>3236</v>
      </c>
      <c r="BH220" s="30">
        <v>9078</v>
      </c>
      <c r="BI220" s="30">
        <v>694</v>
      </c>
      <c r="BJ220" s="30">
        <v>5251</v>
      </c>
      <c r="BK220" s="30">
        <v>6204</v>
      </c>
      <c r="BL220" s="30">
        <v>0</v>
      </c>
      <c r="BM220" s="30">
        <v>10020</v>
      </c>
      <c r="BN220" s="30">
        <v>6</v>
      </c>
      <c r="BO220" s="30">
        <v>51</v>
      </c>
      <c r="BP220" s="30">
        <v>0</v>
      </c>
      <c r="BQ220" s="30">
        <v>57</v>
      </c>
      <c r="BR220" s="47">
        <v>122644</v>
      </c>
      <c r="BS220" s="47">
        <v>162480</v>
      </c>
      <c r="BT220" s="1">
        <f t="shared" si="96"/>
        <v>1.755326044682598</v>
      </c>
      <c r="BU220" s="30">
        <v>268</v>
      </c>
      <c r="BV220" s="30">
        <v>140</v>
      </c>
      <c r="BW220" s="47">
        <v>22985</v>
      </c>
      <c r="BX220" s="52">
        <f t="shared" si="97"/>
        <v>0.24831467957305217</v>
      </c>
      <c r="BY220" s="47">
        <v>62428</v>
      </c>
      <c r="BZ220" s="47">
        <v>0</v>
      </c>
      <c r="CA220" s="47">
        <v>111061</v>
      </c>
      <c r="CB220" s="47">
        <v>9522</v>
      </c>
      <c r="CC220" s="47">
        <v>183011</v>
      </c>
      <c r="CD220" s="55">
        <f t="shared" si="98"/>
        <v>1.9771293375394321</v>
      </c>
      <c r="CE220" s="3">
        <f t="shared" si="99"/>
        <v>8088.8839779005521</v>
      </c>
      <c r="CF220" s="55">
        <f t="shared" si="100"/>
        <v>65.407791279485352</v>
      </c>
      <c r="CG220" s="55">
        <f t="shared" si="101"/>
        <v>0.6576694744710212</v>
      </c>
      <c r="CH220" s="55">
        <f t="shared" si="102"/>
        <v>1.0677560315115706</v>
      </c>
      <c r="CI220" s="30">
        <v>160</v>
      </c>
      <c r="CJ220" s="30">
        <v>43</v>
      </c>
      <c r="CK220" s="30">
        <v>157</v>
      </c>
      <c r="CL220" s="30">
        <v>360</v>
      </c>
      <c r="CM220" s="30">
        <v>7359</v>
      </c>
      <c r="CN220" s="30">
        <v>681</v>
      </c>
      <c r="CO220" s="30">
        <v>8041</v>
      </c>
      <c r="CP220" s="30">
        <v>16081</v>
      </c>
      <c r="CQ220" s="1">
        <f t="shared" si="110"/>
        <v>0.17372844734453999</v>
      </c>
      <c r="CR220" s="47">
        <v>278272</v>
      </c>
      <c r="CS220" s="55">
        <f t="shared" si="103"/>
        <v>3.0062659349207035</v>
      </c>
      <c r="CT220" s="59">
        <v>38305</v>
      </c>
      <c r="CU220" s="29" t="s">
        <v>25</v>
      </c>
      <c r="CV220" s="29" t="s">
        <v>25</v>
      </c>
      <c r="CW220" s="29" t="s">
        <v>25</v>
      </c>
      <c r="CX220" s="35">
        <v>3</v>
      </c>
      <c r="CY220" s="49">
        <f>C220/CX220</f>
        <v>30854.666666666668</v>
      </c>
      <c r="CZ220" s="35">
        <v>0</v>
      </c>
      <c r="DA220" s="35">
        <v>19.625</v>
      </c>
      <c r="DB220" s="35">
        <v>22.625</v>
      </c>
      <c r="DC220" s="49">
        <f t="shared" si="104"/>
        <v>4091.2265193370167</v>
      </c>
      <c r="DD220" s="30">
        <v>6718</v>
      </c>
      <c r="DE220" s="31">
        <v>74070</v>
      </c>
      <c r="DF220" s="35">
        <v>40</v>
      </c>
      <c r="DG220" s="29" t="s">
        <v>25</v>
      </c>
      <c r="DH220" s="29" t="s">
        <v>25</v>
      </c>
      <c r="DI220" s="29" t="s">
        <v>25</v>
      </c>
      <c r="DJ220" s="47">
        <v>273</v>
      </c>
      <c r="DK220" s="47">
        <v>323</v>
      </c>
      <c r="DL220" s="47">
        <v>50</v>
      </c>
      <c r="DM220" s="47">
        <v>58029</v>
      </c>
      <c r="DN220" s="47">
        <v>5543</v>
      </c>
      <c r="DO220" s="47">
        <v>19684</v>
      </c>
      <c r="DP220" s="29" t="s">
        <v>2028</v>
      </c>
      <c r="DQ220" s="47">
        <v>0</v>
      </c>
      <c r="DR220" s="47">
        <v>2798</v>
      </c>
      <c r="DS220" s="30">
        <v>52</v>
      </c>
      <c r="DT220" s="30">
        <v>56</v>
      </c>
      <c r="DU220" s="30">
        <v>56</v>
      </c>
      <c r="DV220" s="30">
        <v>56</v>
      </c>
      <c r="DX220" s="2">
        <f t="shared" si="105"/>
        <v>2798</v>
      </c>
      <c r="DY220" s="33" t="s">
        <v>2180</v>
      </c>
      <c r="DZ220" s="33" t="s">
        <v>643</v>
      </c>
      <c r="EA220" s="33" t="s">
        <v>2030</v>
      </c>
      <c r="EB220" s="33" t="s">
        <v>2027</v>
      </c>
      <c r="EC220" s="36">
        <v>176</v>
      </c>
      <c r="ED220" s="29" t="s">
        <v>642</v>
      </c>
      <c r="EE220" s="29" t="s">
        <v>214</v>
      </c>
      <c r="EF220" s="37">
        <v>41548</v>
      </c>
      <c r="EG220" s="37">
        <v>41912</v>
      </c>
      <c r="EH220" s="29" t="s">
        <v>642</v>
      </c>
      <c r="EI220" s="55">
        <f t="shared" si="106"/>
        <v>0.67443066418910158</v>
      </c>
      <c r="EJ220" s="54">
        <f t="shared" si="107"/>
        <v>0</v>
      </c>
      <c r="EK220" s="55">
        <f t="shared" si="108"/>
        <v>1.1998293072900912</v>
      </c>
      <c r="EL220" s="54">
        <f t="shared" si="109"/>
        <v>0.1028693660602394</v>
      </c>
    </row>
    <row r="221" spans="1:142" ht="28.8" x14ac:dyDescent="0.3">
      <c r="A221" s="29" t="s">
        <v>616</v>
      </c>
      <c r="B221" s="29"/>
      <c r="C221" s="30">
        <v>471</v>
      </c>
      <c r="D221" s="30">
        <v>0</v>
      </c>
      <c r="E221" s="30">
        <v>0</v>
      </c>
      <c r="F221" s="30">
        <v>4000</v>
      </c>
      <c r="H221" s="2">
        <f t="shared" si="85"/>
        <v>4000</v>
      </c>
      <c r="I221" s="1">
        <f t="shared" si="84"/>
        <v>8.4925690021231421</v>
      </c>
      <c r="J221" s="31">
        <v>0</v>
      </c>
      <c r="K221" s="31">
        <v>0</v>
      </c>
      <c r="L221" s="31">
        <v>0</v>
      </c>
      <c r="M221" s="45">
        <f t="shared" si="86"/>
        <v>0</v>
      </c>
      <c r="N221" s="31">
        <v>2568</v>
      </c>
      <c r="O221" s="31">
        <v>1000</v>
      </c>
      <c r="P221" s="31">
        <v>581</v>
      </c>
      <c r="Q221" s="31">
        <v>4149</v>
      </c>
      <c r="R221" s="45">
        <f t="shared" si="87"/>
        <v>8.8089171974522298</v>
      </c>
      <c r="S221" s="31">
        <v>44709</v>
      </c>
      <c r="T221" s="31">
        <v>48858</v>
      </c>
      <c r="U221" s="31">
        <v>0</v>
      </c>
      <c r="V221" s="31">
        <v>48858</v>
      </c>
      <c r="W221" s="45">
        <f t="shared" si="88"/>
        <v>103.73248407643312</v>
      </c>
      <c r="X221" s="4">
        <f t="shared" si="89"/>
        <v>0</v>
      </c>
      <c r="Y221" s="4">
        <f t="shared" si="90"/>
        <v>8.491956281468746E-2</v>
      </c>
      <c r="Z221" s="4">
        <f t="shared" si="91"/>
        <v>0.91508043718531251</v>
      </c>
      <c r="AA221" s="4">
        <f t="shared" si="92"/>
        <v>0</v>
      </c>
      <c r="AB221" s="31">
        <v>23535</v>
      </c>
      <c r="AC221" s="31">
        <v>4149</v>
      </c>
      <c r="AD221" s="31">
        <v>44709</v>
      </c>
      <c r="AE221" s="31">
        <v>6000</v>
      </c>
      <c r="AF221" s="31">
        <v>0</v>
      </c>
      <c r="AG221" s="31">
        <v>6000</v>
      </c>
      <c r="AH221" s="31">
        <v>0</v>
      </c>
      <c r="AI221" s="31">
        <v>6000</v>
      </c>
      <c r="AJ221" s="45">
        <f t="shared" si="93"/>
        <v>12.738853503184714</v>
      </c>
      <c r="AK221" s="31">
        <v>0</v>
      </c>
      <c r="AL221" s="31">
        <v>0</v>
      </c>
      <c r="AM221" s="31">
        <v>0</v>
      </c>
      <c r="AN221" s="31">
        <v>0</v>
      </c>
      <c r="AO221" s="31">
        <v>1000</v>
      </c>
      <c r="AP221" s="31">
        <v>60923</v>
      </c>
      <c r="AQ221" s="31">
        <v>61923</v>
      </c>
      <c r="AR221" s="31">
        <v>67923</v>
      </c>
      <c r="AS221" s="46">
        <f t="shared" si="94"/>
        <v>144.21019108280254</v>
      </c>
      <c r="AT221" s="31">
        <v>0</v>
      </c>
      <c r="AU221" s="31">
        <v>0</v>
      </c>
      <c r="AV221" s="31">
        <v>0</v>
      </c>
      <c r="AW221" s="31">
        <v>0</v>
      </c>
      <c r="AX221" s="31">
        <v>0</v>
      </c>
      <c r="AY221" s="31">
        <v>0</v>
      </c>
      <c r="AZ221" s="31">
        <v>10012</v>
      </c>
      <c r="BA221" s="31">
        <v>40431</v>
      </c>
      <c r="BB221" s="31">
        <v>50443</v>
      </c>
      <c r="BC221" s="33" t="s">
        <v>25</v>
      </c>
      <c r="BD221" s="47">
        <v>11039</v>
      </c>
      <c r="BE221" s="47">
        <v>11043</v>
      </c>
      <c r="BF221" s="45">
        <f t="shared" si="95"/>
        <v>23.445859872611464</v>
      </c>
      <c r="BG221" s="30">
        <v>267</v>
      </c>
      <c r="BH221" s="30">
        <v>267</v>
      </c>
      <c r="BI221" s="30">
        <v>816</v>
      </c>
      <c r="BJ221" s="30">
        <v>1079</v>
      </c>
      <c r="BK221" s="30">
        <v>1079</v>
      </c>
      <c r="BL221" s="30">
        <v>4</v>
      </c>
      <c r="BM221" s="30">
        <v>6162</v>
      </c>
      <c r="BN221" s="30">
        <v>0</v>
      </c>
      <c r="BO221" s="30">
        <v>51</v>
      </c>
      <c r="BP221" s="30">
        <v>0</v>
      </c>
      <c r="BQ221" s="30">
        <v>51</v>
      </c>
      <c r="BR221" s="47">
        <v>12385</v>
      </c>
      <c r="BS221" s="47">
        <v>19371</v>
      </c>
      <c r="BT221" s="1">
        <f t="shared" si="96"/>
        <v>41.127388535031848</v>
      </c>
      <c r="BU221" s="30">
        <v>37</v>
      </c>
      <c r="BV221" s="30">
        <v>0</v>
      </c>
      <c r="BW221" s="47">
        <v>625</v>
      </c>
      <c r="BX221" s="52">
        <f t="shared" si="97"/>
        <v>1.3269639065817409</v>
      </c>
      <c r="BY221" s="47">
        <v>1323</v>
      </c>
      <c r="BZ221" s="47">
        <v>0</v>
      </c>
      <c r="CA221" s="47">
        <v>6872</v>
      </c>
      <c r="CB221" s="47">
        <v>301</v>
      </c>
      <c r="CC221" s="47">
        <v>8496</v>
      </c>
      <c r="CD221" s="55">
        <f t="shared" si="98"/>
        <v>18.038216560509554</v>
      </c>
      <c r="CE221" s="3">
        <v>0</v>
      </c>
      <c r="CF221" s="55">
        <f t="shared" si="100"/>
        <v>3.8901098901098901</v>
      </c>
      <c r="CG221" s="55">
        <f t="shared" si="101"/>
        <v>1.0386308068459658</v>
      </c>
      <c r="CH221" s="55">
        <f t="shared" si="102"/>
        <v>0.42305508233957978</v>
      </c>
      <c r="CI221" s="30">
        <v>53</v>
      </c>
      <c r="CJ221" s="30">
        <v>16</v>
      </c>
      <c r="CK221" s="30">
        <v>83</v>
      </c>
      <c r="CL221" s="30">
        <v>152</v>
      </c>
      <c r="CM221" s="30">
        <v>1110</v>
      </c>
      <c r="CN221" s="30">
        <v>45</v>
      </c>
      <c r="CO221" s="30">
        <v>491</v>
      </c>
      <c r="CP221" s="30">
        <v>1646</v>
      </c>
      <c r="CQ221" s="1">
        <f t="shared" si="110"/>
        <v>3.4946921443736731</v>
      </c>
      <c r="CR221" s="47">
        <v>8180</v>
      </c>
      <c r="CS221" s="55">
        <f t="shared" si="103"/>
        <v>17.367303609341825</v>
      </c>
      <c r="CT221" s="59">
        <v>1230</v>
      </c>
      <c r="CU221" s="29" t="s">
        <v>25</v>
      </c>
      <c r="CV221" s="29" t="s">
        <v>25</v>
      </c>
      <c r="CW221" s="29" t="s">
        <v>25</v>
      </c>
      <c r="CX221" s="35">
        <v>0</v>
      </c>
      <c r="CY221" s="49">
        <v>0</v>
      </c>
      <c r="CZ221" s="35">
        <v>0</v>
      </c>
      <c r="DA221" s="35">
        <v>0</v>
      </c>
      <c r="DB221" s="35">
        <v>0</v>
      </c>
      <c r="DC221" s="49">
        <v>0</v>
      </c>
      <c r="DD221" s="30">
        <v>5928</v>
      </c>
      <c r="DE221" s="31">
        <v>0</v>
      </c>
      <c r="DF221" s="35">
        <v>20</v>
      </c>
      <c r="DG221" s="29" t="s">
        <v>25</v>
      </c>
      <c r="DH221" s="29" t="s">
        <v>25</v>
      </c>
      <c r="DI221" s="29" t="s">
        <v>25</v>
      </c>
      <c r="DJ221" s="47">
        <v>29</v>
      </c>
      <c r="DK221" s="47">
        <v>31</v>
      </c>
      <c r="DL221" s="47">
        <v>6</v>
      </c>
      <c r="DM221" s="47">
        <v>2058</v>
      </c>
      <c r="DN221" s="47">
        <v>32</v>
      </c>
      <c r="DO221" s="47">
        <v>424</v>
      </c>
      <c r="DP221" s="29" t="s">
        <v>2028</v>
      </c>
      <c r="DQ221" s="47">
        <v>0</v>
      </c>
      <c r="DR221" s="47">
        <v>2184</v>
      </c>
      <c r="DS221" s="30">
        <v>52</v>
      </c>
      <c r="DT221" s="30">
        <v>42</v>
      </c>
      <c r="DU221" s="30">
        <v>42</v>
      </c>
      <c r="DV221" s="30">
        <v>42</v>
      </c>
      <c r="DX221" s="2">
        <f t="shared" si="105"/>
        <v>2184</v>
      </c>
      <c r="DY221" s="33" t="s">
        <v>2187</v>
      </c>
      <c r="DZ221" s="33" t="s">
        <v>1795</v>
      </c>
      <c r="EA221" s="33" t="s">
        <v>2032</v>
      </c>
      <c r="EB221" s="33" t="s">
        <v>2027</v>
      </c>
      <c r="EC221" s="36">
        <v>634</v>
      </c>
      <c r="ED221" s="29" t="s">
        <v>1794</v>
      </c>
      <c r="EE221" s="29" t="s">
        <v>544</v>
      </c>
      <c r="EF221" s="37">
        <v>41640</v>
      </c>
      <c r="EG221" s="37">
        <v>42004</v>
      </c>
      <c r="EH221" s="29" t="s">
        <v>1794</v>
      </c>
      <c r="EI221" s="55">
        <f t="shared" si="106"/>
        <v>2.8089171974522293</v>
      </c>
      <c r="EJ221" s="54">
        <f t="shared" si="107"/>
        <v>0</v>
      </c>
      <c r="EK221" s="55">
        <f t="shared" si="108"/>
        <v>14.590233545647559</v>
      </c>
      <c r="EL221" s="54">
        <f t="shared" si="109"/>
        <v>0.63906581740976642</v>
      </c>
    </row>
    <row r="222" spans="1:142" ht="28.8" x14ac:dyDescent="0.3">
      <c r="A222" s="29" t="s">
        <v>644</v>
      </c>
      <c r="B222" s="29"/>
      <c r="C222" s="30">
        <v>5875</v>
      </c>
      <c r="D222" s="30">
        <v>0</v>
      </c>
      <c r="E222" s="30">
        <v>0</v>
      </c>
      <c r="F222" s="30">
        <v>5960</v>
      </c>
      <c r="H222" s="2">
        <f t="shared" si="85"/>
        <v>5960</v>
      </c>
      <c r="I222" s="1">
        <f t="shared" si="84"/>
        <v>1.014468085106383</v>
      </c>
      <c r="J222" s="31">
        <v>47983</v>
      </c>
      <c r="K222" s="31">
        <v>32990</v>
      </c>
      <c r="L222" s="31">
        <v>80973</v>
      </c>
      <c r="M222" s="45">
        <f t="shared" si="86"/>
        <v>13.782638297872341</v>
      </c>
      <c r="N222" s="31">
        <v>5540</v>
      </c>
      <c r="O222" s="31">
        <v>0</v>
      </c>
      <c r="P222" s="31">
        <v>0</v>
      </c>
      <c r="Q222" s="31">
        <v>5540</v>
      </c>
      <c r="R222" s="45">
        <f t="shared" si="87"/>
        <v>0.94297872340425537</v>
      </c>
      <c r="S222" s="31">
        <v>2175</v>
      </c>
      <c r="T222" s="31">
        <v>88688</v>
      </c>
      <c r="U222" s="31">
        <v>0</v>
      </c>
      <c r="V222" s="31">
        <v>88688</v>
      </c>
      <c r="W222" s="45">
        <f t="shared" si="88"/>
        <v>15.095829787234042</v>
      </c>
      <c r="X222" s="4">
        <f t="shared" si="89"/>
        <v>0.91300965181309757</v>
      </c>
      <c r="Y222" s="4">
        <f t="shared" si="90"/>
        <v>6.2466173552228034E-2</v>
      </c>
      <c r="Z222" s="4">
        <f t="shared" si="91"/>
        <v>2.4524174634674364E-2</v>
      </c>
      <c r="AA222" s="4">
        <f t="shared" si="92"/>
        <v>0</v>
      </c>
      <c r="AB222" s="31">
        <v>0</v>
      </c>
      <c r="AC222" s="31">
        <v>5540</v>
      </c>
      <c r="AD222" s="31">
        <v>88688</v>
      </c>
      <c r="AE222" s="31">
        <v>78556</v>
      </c>
      <c r="AF222" s="31">
        <v>0</v>
      </c>
      <c r="AG222" s="31">
        <v>86479</v>
      </c>
      <c r="AH222" s="31">
        <v>0</v>
      </c>
      <c r="AI222" s="31">
        <v>86479</v>
      </c>
      <c r="AJ222" s="45">
        <f t="shared" si="93"/>
        <v>14.719829787234042</v>
      </c>
      <c r="AK222" s="31">
        <v>0</v>
      </c>
      <c r="AL222" s="31">
        <v>0</v>
      </c>
      <c r="AM222" s="31">
        <v>0</v>
      </c>
      <c r="AN222" s="31">
        <v>0</v>
      </c>
      <c r="AO222" s="31">
        <v>0</v>
      </c>
      <c r="AP222" s="31">
        <v>773</v>
      </c>
      <c r="AQ222" s="31">
        <v>773</v>
      </c>
      <c r="AR222" s="31">
        <v>87252</v>
      </c>
      <c r="AS222" s="46">
        <f t="shared" si="94"/>
        <v>14.851404255319149</v>
      </c>
      <c r="AT222" s="31">
        <v>0</v>
      </c>
      <c r="AU222" s="31">
        <v>0</v>
      </c>
      <c r="AV222" s="31">
        <v>0</v>
      </c>
      <c r="AW222" s="31">
        <v>0</v>
      </c>
      <c r="AX222" s="31">
        <v>0</v>
      </c>
      <c r="AY222" s="31">
        <v>0</v>
      </c>
      <c r="AZ222" s="31">
        <v>0</v>
      </c>
      <c r="BA222" s="31">
        <v>0</v>
      </c>
      <c r="BB222" s="31">
        <v>0</v>
      </c>
      <c r="BC222" s="33" t="s">
        <v>25</v>
      </c>
      <c r="BD222" s="47">
        <v>9504</v>
      </c>
      <c r="BE222" s="47">
        <v>10404</v>
      </c>
      <c r="BF222" s="45">
        <f t="shared" si="95"/>
        <v>1.7708936170212766</v>
      </c>
      <c r="BG222" s="30">
        <v>274</v>
      </c>
      <c r="BH222" s="30">
        <v>354</v>
      </c>
      <c r="BI222" s="30">
        <v>0</v>
      </c>
      <c r="BJ222" s="30">
        <v>450</v>
      </c>
      <c r="BK222" s="30">
        <v>486</v>
      </c>
      <c r="BL222" s="30">
        <v>0</v>
      </c>
      <c r="BM222" s="30">
        <v>0</v>
      </c>
      <c r="BN222" s="30">
        <v>0</v>
      </c>
      <c r="BO222" s="30">
        <v>51</v>
      </c>
      <c r="BP222" s="30">
        <v>0</v>
      </c>
      <c r="BQ222" s="30">
        <v>51</v>
      </c>
      <c r="BR222" s="47">
        <v>10228</v>
      </c>
      <c r="BS222" s="47">
        <v>11244</v>
      </c>
      <c r="BT222" s="1">
        <f t="shared" si="96"/>
        <v>1.913872340425532</v>
      </c>
      <c r="BU222" s="30">
        <v>9</v>
      </c>
      <c r="BV222" s="30">
        <v>4</v>
      </c>
      <c r="BW222" s="47">
        <v>15611</v>
      </c>
      <c r="BX222" s="52">
        <f t="shared" si="97"/>
        <v>2.6571914893617019</v>
      </c>
      <c r="BY222" s="47">
        <v>8205</v>
      </c>
      <c r="BZ222" s="47">
        <v>0</v>
      </c>
      <c r="CA222" s="47">
        <v>22980</v>
      </c>
      <c r="CB222" s="47">
        <v>0</v>
      </c>
      <c r="CC222" s="47">
        <v>31185</v>
      </c>
      <c r="CD222" s="55">
        <f t="shared" si="98"/>
        <v>5.308085106382979</v>
      </c>
      <c r="CE222" s="3">
        <f t="shared" si="99"/>
        <v>17087.671232876713</v>
      </c>
      <c r="CF222" s="55">
        <f t="shared" si="100"/>
        <v>15.22705078125</v>
      </c>
      <c r="CG222" s="55">
        <f t="shared" si="101"/>
        <v>3.6957809907561034</v>
      </c>
      <c r="CH222" s="55">
        <f t="shared" si="102"/>
        <v>2.7734791889007471</v>
      </c>
      <c r="CI222" s="30">
        <v>13</v>
      </c>
      <c r="CJ222" s="30">
        <v>0</v>
      </c>
      <c r="CK222" s="30">
        <v>0</v>
      </c>
      <c r="CL222" s="30">
        <v>13</v>
      </c>
      <c r="CM222" s="30">
        <v>449</v>
      </c>
      <c r="CN222" s="30">
        <v>0</v>
      </c>
      <c r="CO222" s="30">
        <v>0</v>
      </c>
      <c r="CP222" s="30">
        <v>449</v>
      </c>
      <c r="CQ222" s="1">
        <f t="shared" si="110"/>
        <v>7.642553191489361E-2</v>
      </c>
      <c r="CR222" s="47">
        <v>8438</v>
      </c>
      <c r="CS222" s="55">
        <f t="shared" si="103"/>
        <v>1.4362553191489362</v>
      </c>
      <c r="CT222" s="59">
        <v>1618</v>
      </c>
      <c r="CU222" s="29" t="s">
        <v>25</v>
      </c>
      <c r="CV222" s="29" t="s">
        <v>25</v>
      </c>
      <c r="CW222" s="29" t="s">
        <v>25</v>
      </c>
      <c r="CX222" s="35">
        <v>0</v>
      </c>
      <c r="CY222" s="49">
        <v>0</v>
      </c>
      <c r="CZ222" s="35">
        <v>0.91249999999999998</v>
      </c>
      <c r="DA222" s="35">
        <v>0.91249999999999998</v>
      </c>
      <c r="DB222" s="35">
        <v>1.825</v>
      </c>
      <c r="DC222" s="49">
        <f t="shared" si="104"/>
        <v>3219.178082191781</v>
      </c>
      <c r="DD222" s="30">
        <v>56</v>
      </c>
      <c r="DE222" s="31">
        <v>21155</v>
      </c>
      <c r="DF222" s="35">
        <v>36.5</v>
      </c>
      <c r="DG222" s="29" t="s">
        <v>25</v>
      </c>
      <c r="DH222" s="29" t="s">
        <v>25</v>
      </c>
      <c r="DI222" s="29" t="s">
        <v>25</v>
      </c>
      <c r="DJ222" s="47">
        <v>23</v>
      </c>
      <c r="DK222" s="47">
        <v>1</v>
      </c>
      <c r="DL222" s="47">
        <v>13</v>
      </c>
      <c r="DM222" s="47">
        <v>3395</v>
      </c>
      <c r="DN222" s="47">
        <v>98</v>
      </c>
      <c r="DO222" s="47">
        <v>52</v>
      </c>
      <c r="DP222" s="29" t="s">
        <v>2028</v>
      </c>
      <c r="DQ222" s="47">
        <v>0</v>
      </c>
      <c r="DR222" s="47">
        <v>2048</v>
      </c>
      <c r="DS222" s="30">
        <v>51</v>
      </c>
      <c r="DT222" s="30">
        <v>42</v>
      </c>
      <c r="DU222" s="30">
        <v>42</v>
      </c>
      <c r="DV222" s="30">
        <v>42</v>
      </c>
      <c r="DX222" s="2">
        <f t="shared" si="105"/>
        <v>2048</v>
      </c>
      <c r="DY222" s="33" t="s">
        <v>2179</v>
      </c>
      <c r="DZ222" s="33" t="s">
        <v>646</v>
      </c>
      <c r="EA222" s="33" t="s">
        <v>2031</v>
      </c>
      <c r="EB222" s="33" t="s">
        <v>2027</v>
      </c>
      <c r="EC222" s="36">
        <v>177</v>
      </c>
      <c r="ED222" s="29" t="s">
        <v>645</v>
      </c>
      <c r="EE222" s="29" t="s">
        <v>644</v>
      </c>
      <c r="EF222" s="37">
        <v>41548</v>
      </c>
      <c r="EG222" s="37">
        <v>41912</v>
      </c>
      <c r="EH222" s="29" t="s">
        <v>645</v>
      </c>
      <c r="EI222" s="55">
        <f t="shared" si="106"/>
        <v>1.396595744680851</v>
      </c>
      <c r="EJ222" s="54">
        <f t="shared" si="107"/>
        <v>0</v>
      </c>
      <c r="EK222" s="55">
        <f t="shared" si="108"/>
        <v>3.9114893617021278</v>
      </c>
      <c r="EL222" s="54">
        <f t="shared" si="109"/>
        <v>0</v>
      </c>
    </row>
    <row r="223" spans="1:142" ht="28.8" x14ac:dyDescent="0.3">
      <c r="A223" s="29" t="s">
        <v>1777</v>
      </c>
      <c r="B223" s="29"/>
      <c r="C223" s="30">
        <v>1641</v>
      </c>
      <c r="D223" s="30">
        <v>0</v>
      </c>
      <c r="E223" s="30">
        <v>0</v>
      </c>
      <c r="F223" s="30">
        <v>3600</v>
      </c>
      <c r="H223" s="2">
        <f t="shared" si="85"/>
        <v>3600</v>
      </c>
      <c r="I223" s="1">
        <f t="shared" si="84"/>
        <v>2.1937842778793417</v>
      </c>
      <c r="J223" s="31">
        <v>113391</v>
      </c>
      <c r="K223" s="31">
        <v>23964</v>
      </c>
      <c r="L223" s="31">
        <v>137355</v>
      </c>
      <c r="M223" s="45">
        <f t="shared" si="86"/>
        <v>83.702010968921385</v>
      </c>
      <c r="N223" s="31">
        <v>27638</v>
      </c>
      <c r="O223" s="31">
        <v>3000</v>
      </c>
      <c r="P223" s="31">
        <v>1359</v>
      </c>
      <c r="Q223" s="31">
        <v>31997</v>
      </c>
      <c r="R223" s="45">
        <f t="shared" si="87"/>
        <v>19.498476538695918</v>
      </c>
      <c r="S223" s="31">
        <v>18555</v>
      </c>
      <c r="T223" s="31">
        <v>187907</v>
      </c>
      <c r="U223" s="31">
        <v>0</v>
      </c>
      <c r="V223" s="31">
        <v>187907</v>
      </c>
      <c r="W223" s="45">
        <f t="shared" si="88"/>
        <v>114.50761730652042</v>
      </c>
      <c r="X223" s="4">
        <f t="shared" si="89"/>
        <v>0.7309733006221163</v>
      </c>
      <c r="Y223" s="4">
        <f t="shared" si="90"/>
        <v>0.1702810432820491</v>
      </c>
      <c r="Z223" s="4">
        <f t="shared" si="91"/>
        <v>9.8745656095834647E-2</v>
      </c>
      <c r="AA223" s="4">
        <f t="shared" si="92"/>
        <v>0</v>
      </c>
      <c r="AB223" s="31">
        <v>0</v>
      </c>
      <c r="AC223" s="31">
        <v>21952</v>
      </c>
      <c r="AD223" s="31">
        <v>177862</v>
      </c>
      <c r="AE223" s="31">
        <v>177862</v>
      </c>
      <c r="AF223" s="31">
        <v>177862</v>
      </c>
      <c r="AG223" s="31">
        <v>0</v>
      </c>
      <c r="AH223" s="31">
        <v>0</v>
      </c>
      <c r="AI223" s="31">
        <v>177862</v>
      </c>
      <c r="AJ223" s="45">
        <f t="shared" si="93"/>
        <v>108.38634978671541</v>
      </c>
      <c r="AK223" s="31">
        <v>0</v>
      </c>
      <c r="AL223" s="31">
        <v>0</v>
      </c>
      <c r="AM223" s="31">
        <v>0</v>
      </c>
      <c r="AN223" s="31">
        <v>0</v>
      </c>
      <c r="AO223" s="31">
        <v>6000</v>
      </c>
      <c r="AP223" s="31">
        <v>0</v>
      </c>
      <c r="AQ223" s="31">
        <v>6000</v>
      </c>
      <c r="AR223" s="31">
        <v>183862</v>
      </c>
      <c r="AS223" s="46">
        <f t="shared" si="94"/>
        <v>112.04265691651432</v>
      </c>
      <c r="AT223" s="31">
        <v>0</v>
      </c>
      <c r="AU223" s="31">
        <v>0</v>
      </c>
      <c r="AV223" s="31">
        <v>0</v>
      </c>
      <c r="AW223" s="31">
        <v>0</v>
      </c>
      <c r="AX223" s="31">
        <v>0</v>
      </c>
      <c r="AY223" s="31">
        <v>0</v>
      </c>
      <c r="AZ223" s="31">
        <v>0</v>
      </c>
      <c r="BA223" s="31">
        <v>0</v>
      </c>
      <c r="BB223" s="31">
        <v>0</v>
      </c>
      <c r="BC223" s="33" t="s">
        <v>25</v>
      </c>
      <c r="BD223" s="47">
        <v>13937</v>
      </c>
      <c r="BE223" s="47">
        <v>14715</v>
      </c>
      <c r="BF223" s="45">
        <f t="shared" si="95"/>
        <v>8.9670932358318094</v>
      </c>
      <c r="BG223" s="30">
        <v>1201</v>
      </c>
      <c r="BH223" s="30">
        <v>1255</v>
      </c>
      <c r="BI223" s="30">
        <v>3807</v>
      </c>
      <c r="BJ223" s="30">
        <v>1373</v>
      </c>
      <c r="BK223" s="30">
        <v>1515</v>
      </c>
      <c r="BL223" s="30">
        <v>0</v>
      </c>
      <c r="BM223" s="30">
        <v>5333</v>
      </c>
      <c r="BN223" s="30">
        <v>0</v>
      </c>
      <c r="BO223" s="30">
        <v>51</v>
      </c>
      <c r="BP223" s="30">
        <v>0</v>
      </c>
      <c r="BQ223" s="30">
        <v>51</v>
      </c>
      <c r="BR223" s="47">
        <v>16511</v>
      </c>
      <c r="BS223" s="47">
        <v>26625</v>
      </c>
      <c r="BT223" s="1">
        <f t="shared" si="96"/>
        <v>16.224862888482633</v>
      </c>
      <c r="BU223" s="30">
        <v>25</v>
      </c>
      <c r="BV223" s="30">
        <v>0</v>
      </c>
      <c r="BW223" s="47">
        <v>6063</v>
      </c>
      <c r="BX223" s="52">
        <f t="shared" si="97"/>
        <v>3.6946983546617918</v>
      </c>
      <c r="BY223" s="47">
        <v>54101</v>
      </c>
      <c r="BZ223" s="47">
        <v>0</v>
      </c>
      <c r="CA223" s="47">
        <v>14079</v>
      </c>
      <c r="CB223" s="47">
        <v>3805</v>
      </c>
      <c r="CC223" s="47">
        <v>71985</v>
      </c>
      <c r="CD223" s="55">
        <f t="shared" si="98"/>
        <v>43.866544789762337</v>
      </c>
      <c r="CE223" s="3">
        <f t="shared" si="99"/>
        <v>28794</v>
      </c>
      <c r="CF223" s="55">
        <f t="shared" si="100"/>
        <v>31.297826086956523</v>
      </c>
      <c r="CG223" s="55">
        <f t="shared" si="101"/>
        <v>2.0750936869414818</v>
      </c>
      <c r="CH223" s="55">
        <f t="shared" si="102"/>
        <v>2.5607511737089204</v>
      </c>
      <c r="CI223" s="30">
        <v>106</v>
      </c>
      <c r="CJ223" s="30">
        <v>0</v>
      </c>
      <c r="CK223" s="30">
        <v>0</v>
      </c>
      <c r="CL223" s="30">
        <v>106</v>
      </c>
      <c r="CM223" s="30">
        <v>5792</v>
      </c>
      <c r="CN223" s="30">
        <v>0</v>
      </c>
      <c r="CO223" s="30">
        <v>0</v>
      </c>
      <c r="CP223" s="30">
        <v>5792</v>
      </c>
      <c r="CQ223" s="1">
        <f t="shared" si="110"/>
        <v>3.5295551492992079</v>
      </c>
      <c r="CR223" s="47">
        <v>34690</v>
      </c>
      <c r="CS223" s="55">
        <f t="shared" si="103"/>
        <v>21.13954905545399</v>
      </c>
      <c r="CT223" s="59">
        <v>8421</v>
      </c>
      <c r="CU223" s="29" t="s">
        <v>25</v>
      </c>
      <c r="CV223" s="29" t="s">
        <v>25</v>
      </c>
      <c r="CW223" s="29" t="s">
        <v>25</v>
      </c>
      <c r="CX223" s="35">
        <v>1</v>
      </c>
      <c r="CY223" s="49">
        <f>C223/CX223</f>
        <v>1641</v>
      </c>
      <c r="CZ223" s="35">
        <v>1</v>
      </c>
      <c r="DA223" s="35">
        <v>0.5</v>
      </c>
      <c r="DB223" s="35">
        <v>2.5</v>
      </c>
      <c r="DC223" s="49">
        <f t="shared" si="104"/>
        <v>656.4</v>
      </c>
      <c r="DD223" s="30">
        <v>416</v>
      </c>
      <c r="DE223" s="31">
        <v>58989</v>
      </c>
      <c r="DF223" s="35">
        <v>40</v>
      </c>
      <c r="DG223" s="29" t="s">
        <v>25</v>
      </c>
      <c r="DH223" s="29" t="s">
        <v>25</v>
      </c>
      <c r="DI223" s="29" t="s">
        <v>25</v>
      </c>
      <c r="DJ223" s="47">
        <v>111</v>
      </c>
      <c r="DK223" s="47">
        <v>17</v>
      </c>
      <c r="DL223" s="47">
        <v>6</v>
      </c>
      <c r="DM223" s="47">
        <v>2968</v>
      </c>
      <c r="DN223" s="47">
        <v>452</v>
      </c>
      <c r="DO223" s="47">
        <v>0</v>
      </c>
      <c r="DP223" s="29" t="s">
        <v>2028</v>
      </c>
      <c r="DQ223" s="47">
        <v>0</v>
      </c>
      <c r="DR223" s="47">
        <v>2300</v>
      </c>
      <c r="DS223" s="30">
        <v>52</v>
      </c>
      <c r="DT223" s="30">
        <v>46</v>
      </c>
      <c r="DU223" s="30">
        <v>46</v>
      </c>
      <c r="DV223" s="30">
        <v>46</v>
      </c>
      <c r="DX223" s="2">
        <f t="shared" si="105"/>
        <v>2300</v>
      </c>
      <c r="DY223" s="33" t="s">
        <v>2181</v>
      </c>
      <c r="DZ223" s="33" t="s">
        <v>1779</v>
      </c>
      <c r="EA223" s="33" t="s">
        <v>2030</v>
      </c>
      <c r="EB223" s="33" t="s">
        <v>2027</v>
      </c>
      <c r="EC223" s="36">
        <v>624</v>
      </c>
      <c r="ED223" s="29" t="s">
        <v>1778</v>
      </c>
      <c r="EE223" s="29" t="s">
        <v>91</v>
      </c>
      <c r="EF223" s="37">
        <v>41548</v>
      </c>
      <c r="EG223" s="37">
        <v>41912</v>
      </c>
      <c r="EH223" s="29" t="s">
        <v>1778</v>
      </c>
      <c r="EI223" s="55">
        <f t="shared" si="106"/>
        <v>32.968312004875074</v>
      </c>
      <c r="EJ223" s="54">
        <f t="shared" si="107"/>
        <v>0</v>
      </c>
      <c r="EK223" s="55">
        <f t="shared" si="108"/>
        <v>8.579524680073126</v>
      </c>
      <c r="EL223" s="54">
        <f t="shared" si="109"/>
        <v>2.3187081048141378</v>
      </c>
    </row>
    <row r="224" spans="1:142" ht="28.8" x14ac:dyDescent="0.3">
      <c r="A224" s="29" t="s">
        <v>454</v>
      </c>
      <c r="B224" s="29"/>
      <c r="C224" s="30">
        <v>3685</v>
      </c>
      <c r="D224" s="30">
        <v>0</v>
      </c>
      <c r="E224" s="30">
        <v>0</v>
      </c>
      <c r="F224" s="30">
        <v>5200</v>
      </c>
      <c r="H224" s="2">
        <f t="shared" si="85"/>
        <v>5200</v>
      </c>
      <c r="I224" s="1">
        <f t="shared" si="84"/>
        <v>1.4111261872455902</v>
      </c>
      <c r="J224" s="31">
        <v>25845</v>
      </c>
      <c r="K224" s="31">
        <v>3345</v>
      </c>
      <c r="L224" s="31">
        <v>29190</v>
      </c>
      <c r="M224" s="45">
        <f t="shared" si="86"/>
        <v>7.9213025780189961</v>
      </c>
      <c r="N224" s="31">
        <v>5200</v>
      </c>
      <c r="O224" s="31">
        <v>0</v>
      </c>
      <c r="P224" s="31">
        <v>1000</v>
      </c>
      <c r="Q224" s="31">
        <v>6200</v>
      </c>
      <c r="R224" s="45">
        <f t="shared" si="87"/>
        <v>1.6824966078697421</v>
      </c>
      <c r="S224" s="31">
        <v>10766</v>
      </c>
      <c r="T224" s="31">
        <v>46156</v>
      </c>
      <c r="U224" s="31">
        <v>2936</v>
      </c>
      <c r="V224" s="31">
        <v>49092</v>
      </c>
      <c r="W224" s="45">
        <f t="shared" si="88"/>
        <v>13.322116689280868</v>
      </c>
      <c r="X224" s="4">
        <f t="shared" si="89"/>
        <v>0.59459789782449279</v>
      </c>
      <c r="Y224" s="4">
        <f t="shared" si="90"/>
        <v>0.1262934897743013</v>
      </c>
      <c r="Z224" s="4">
        <f t="shared" si="91"/>
        <v>0.21930253401776256</v>
      </c>
      <c r="AA224" s="4">
        <f t="shared" si="92"/>
        <v>5.9806078383443331E-2</v>
      </c>
      <c r="AB224" s="31">
        <v>0</v>
      </c>
      <c r="AC224" s="31">
        <v>6200</v>
      </c>
      <c r="AD224" s="31">
        <v>49092</v>
      </c>
      <c r="AE224" s="31">
        <v>49090</v>
      </c>
      <c r="AF224" s="31">
        <v>39154</v>
      </c>
      <c r="AG224" s="31">
        <v>7000</v>
      </c>
      <c r="AH224" s="31">
        <v>0</v>
      </c>
      <c r="AI224" s="31">
        <v>46154</v>
      </c>
      <c r="AJ224" s="45">
        <f t="shared" si="93"/>
        <v>12.524830393487109</v>
      </c>
      <c r="AK224" s="31">
        <v>0</v>
      </c>
      <c r="AL224" s="31">
        <v>0</v>
      </c>
      <c r="AM224" s="31">
        <v>0</v>
      </c>
      <c r="AN224" s="31">
        <v>0</v>
      </c>
      <c r="AO224" s="31">
        <v>23924</v>
      </c>
      <c r="AP224" s="31">
        <v>1300</v>
      </c>
      <c r="AQ224" s="31">
        <v>25224</v>
      </c>
      <c r="AR224" s="31">
        <v>71378</v>
      </c>
      <c r="AS224" s="46">
        <f t="shared" si="94"/>
        <v>19.369877883310718</v>
      </c>
      <c r="AT224" s="31">
        <v>0</v>
      </c>
      <c r="AU224" s="31">
        <v>0</v>
      </c>
      <c r="AV224" s="31">
        <v>0</v>
      </c>
      <c r="AW224" s="31">
        <v>0</v>
      </c>
      <c r="AX224" s="31">
        <v>0</v>
      </c>
      <c r="AY224" s="31">
        <v>0</v>
      </c>
      <c r="AZ224" s="31">
        <v>0</v>
      </c>
      <c r="BA224" s="31">
        <v>0</v>
      </c>
      <c r="BB224" s="31">
        <v>0</v>
      </c>
      <c r="BC224" s="33" t="s">
        <v>25</v>
      </c>
      <c r="BD224" s="47">
        <v>24622</v>
      </c>
      <c r="BE224" s="47">
        <v>24697</v>
      </c>
      <c r="BF224" s="45">
        <f t="shared" si="95"/>
        <v>6.702035278154681</v>
      </c>
      <c r="BG224" s="30">
        <v>283</v>
      </c>
      <c r="BH224" s="30">
        <v>290</v>
      </c>
      <c r="BI224" s="30">
        <v>0</v>
      </c>
      <c r="BJ224" s="30">
        <v>2398</v>
      </c>
      <c r="BK224" s="30">
        <v>2415</v>
      </c>
      <c r="BL224" s="30">
        <v>0</v>
      </c>
      <c r="BM224" s="30">
        <v>0</v>
      </c>
      <c r="BN224" s="30">
        <v>0</v>
      </c>
      <c r="BO224" s="30">
        <v>51</v>
      </c>
      <c r="BP224" s="30">
        <v>0</v>
      </c>
      <c r="BQ224" s="30">
        <v>51</v>
      </c>
      <c r="BR224" s="47">
        <v>27303</v>
      </c>
      <c r="BS224" s="47">
        <v>27402</v>
      </c>
      <c r="BT224" s="1">
        <f t="shared" si="96"/>
        <v>7.436092265943012</v>
      </c>
      <c r="BU224" s="30">
        <v>5</v>
      </c>
      <c r="BV224" s="30">
        <v>0</v>
      </c>
      <c r="BW224" s="47">
        <v>5632</v>
      </c>
      <c r="BX224" s="52">
        <f t="shared" si="97"/>
        <v>1.5283582089552239</v>
      </c>
      <c r="BY224" s="47">
        <v>3489</v>
      </c>
      <c r="BZ224" s="47">
        <v>0</v>
      </c>
      <c r="CA224" s="47">
        <v>17835</v>
      </c>
      <c r="CB224" s="47">
        <v>0</v>
      </c>
      <c r="CC224" s="47">
        <v>21324</v>
      </c>
      <c r="CD224" s="55">
        <f t="shared" si="98"/>
        <v>5.7867028493894166</v>
      </c>
      <c r="CE224" s="3">
        <f t="shared" si="99"/>
        <v>17336.585365853658</v>
      </c>
      <c r="CF224" s="55">
        <f t="shared" si="100"/>
        <v>11.952914798206278</v>
      </c>
      <c r="CG224" s="55">
        <f t="shared" si="101"/>
        <v>1.7687458526874584</v>
      </c>
      <c r="CH224" s="55">
        <f t="shared" si="102"/>
        <v>0.77819137289248963</v>
      </c>
      <c r="CI224" s="30">
        <v>5</v>
      </c>
      <c r="CJ224" s="30">
        <v>0</v>
      </c>
      <c r="CK224" s="30">
        <v>0</v>
      </c>
      <c r="CL224" s="30">
        <v>5</v>
      </c>
      <c r="CM224" s="30">
        <v>230</v>
      </c>
      <c r="CN224" s="30">
        <v>0</v>
      </c>
      <c r="CO224" s="30">
        <v>0</v>
      </c>
      <c r="CP224" s="30">
        <v>230</v>
      </c>
      <c r="CQ224" s="1">
        <f t="shared" si="110"/>
        <v>6.2415196743554953E-2</v>
      </c>
      <c r="CR224" s="47">
        <v>12056</v>
      </c>
      <c r="CS224" s="55">
        <f t="shared" si="103"/>
        <v>3.2716417910447761</v>
      </c>
      <c r="CT224" s="59">
        <v>2548</v>
      </c>
      <c r="CU224" s="29" t="s">
        <v>25</v>
      </c>
      <c r="CV224" s="29" t="s">
        <v>25</v>
      </c>
      <c r="CW224" s="29" t="s">
        <v>25</v>
      </c>
      <c r="CX224" s="35">
        <v>0</v>
      </c>
      <c r="CY224" s="49">
        <v>0</v>
      </c>
      <c r="CZ224" s="35">
        <v>0.8</v>
      </c>
      <c r="DA224" s="35">
        <v>0.43</v>
      </c>
      <c r="DB224" s="35">
        <v>1.23</v>
      </c>
      <c r="DC224" s="49">
        <f t="shared" si="104"/>
        <v>2995.9349593495936</v>
      </c>
      <c r="DD224" s="30">
        <v>425</v>
      </c>
      <c r="DE224" s="31">
        <v>15665</v>
      </c>
      <c r="DF224" s="35">
        <v>32</v>
      </c>
      <c r="DG224" s="29" t="s">
        <v>25</v>
      </c>
      <c r="DH224" s="29" t="s">
        <v>26</v>
      </c>
      <c r="DI224" s="29" t="s">
        <v>26</v>
      </c>
      <c r="DJ224" s="47">
        <v>9</v>
      </c>
      <c r="DK224" s="47">
        <v>0</v>
      </c>
      <c r="DL224" s="47">
        <v>10</v>
      </c>
      <c r="DM224" s="47">
        <v>3640</v>
      </c>
      <c r="DN224" s="47">
        <v>87</v>
      </c>
      <c r="DO224" s="47">
        <v>0</v>
      </c>
      <c r="DP224" s="29" t="s">
        <v>2028</v>
      </c>
      <c r="DQ224" s="47">
        <v>0</v>
      </c>
      <c r="DR224" s="47">
        <v>1784</v>
      </c>
      <c r="DS224" s="30">
        <v>51</v>
      </c>
      <c r="DT224" s="30">
        <v>35</v>
      </c>
      <c r="DU224" s="30">
        <v>35</v>
      </c>
      <c r="DV224" s="30">
        <v>35</v>
      </c>
      <c r="DX224" s="2">
        <f t="shared" si="105"/>
        <v>1784</v>
      </c>
      <c r="DY224" s="33" t="s">
        <v>2182</v>
      </c>
      <c r="DZ224" s="33" t="s">
        <v>1559</v>
      </c>
      <c r="EA224" s="33" t="s">
        <v>2030</v>
      </c>
      <c r="EB224" s="33" t="s">
        <v>2027</v>
      </c>
      <c r="EC224" s="36">
        <v>509</v>
      </c>
      <c r="ED224" s="29" t="s">
        <v>1558</v>
      </c>
      <c r="EE224" s="29" t="s">
        <v>925</v>
      </c>
      <c r="EF224" s="37">
        <v>41548</v>
      </c>
      <c r="EG224" s="37">
        <v>41912</v>
      </c>
      <c r="EH224" s="29" t="s">
        <v>1558</v>
      </c>
      <c r="EI224" s="55">
        <f t="shared" si="106"/>
        <v>0.94681139755766619</v>
      </c>
      <c r="EJ224" s="54">
        <f t="shared" si="107"/>
        <v>0</v>
      </c>
      <c r="EK224" s="55">
        <f t="shared" si="108"/>
        <v>4.8398914518317504</v>
      </c>
      <c r="EL224" s="54">
        <f t="shared" si="109"/>
        <v>0</v>
      </c>
    </row>
    <row r="225" spans="1:142" ht="28.8" x14ac:dyDescent="0.3">
      <c r="A225" s="29" t="s">
        <v>647</v>
      </c>
      <c r="B225" s="29"/>
      <c r="C225" s="30">
        <v>10501</v>
      </c>
      <c r="D225" s="30">
        <v>0</v>
      </c>
      <c r="E225" s="30">
        <v>0</v>
      </c>
      <c r="F225" s="30">
        <v>5000</v>
      </c>
      <c r="H225" s="2">
        <f t="shared" si="85"/>
        <v>5000</v>
      </c>
      <c r="I225" s="1">
        <f t="shared" si="84"/>
        <v>0.47614512903532996</v>
      </c>
      <c r="J225" s="31">
        <v>84017</v>
      </c>
      <c r="K225" s="31">
        <v>33074</v>
      </c>
      <c r="L225" s="31">
        <v>117091</v>
      </c>
      <c r="M225" s="45">
        <f t="shared" si="86"/>
        <v>11.150461860775165</v>
      </c>
      <c r="N225" s="31">
        <v>8640</v>
      </c>
      <c r="O225" s="31">
        <v>0</v>
      </c>
      <c r="P225" s="31">
        <v>3771</v>
      </c>
      <c r="Q225" s="31">
        <v>12411</v>
      </c>
      <c r="R225" s="45">
        <f t="shared" si="87"/>
        <v>1.181887439291496</v>
      </c>
      <c r="S225" s="31">
        <v>19117</v>
      </c>
      <c r="T225" s="31">
        <v>148619</v>
      </c>
      <c r="U225" s="31">
        <v>6723</v>
      </c>
      <c r="V225" s="31">
        <v>155342</v>
      </c>
      <c r="W225" s="45">
        <f t="shared" si="88"/>
        <v>14.793067326921246</v>
      </c>
      <c r="X225" s="4">
        <f t="shared" si="89"/>
        <v>0.75376266560234839</v>
      </c>
      <c r="Y225" s="4">
        <f t="shared" si="90"/>
        <v>7.9894683987588672E-2</v>
      </c>
      <c r="Z225" s="4">
        <f t="shared" si="91"/>
        <v>0.12306394922171725</v>
      </c>
      <c r="AA225" s="4">
        <f t="shared" si="92"/>
        <v>4.3278701188345717E-2</v>
      </c>
      <c r="AB225" s="31">
        <v>0</v>
      </c>
      <c r="AC225" s="31">
        <v>12411</v>
      </c>
      <c r="AD225" s="31">
        <v>155342</v>
      </c>
      <c r="AE225" s="31">
        <v>147352</v>
      </c>
      <c r="AF225" s="31">
        <v>137629</v>
      </c>
      <c r="AG225" s="31">
        <v>3000</v>
      </c>
      <c r="AH225" s="31">
        <v>0</v>
      </c>
      <c r="AI225" s="31">
        <v>140629</v>
      </c>
      <c r="AJ225" s="45">
        <f t="shared" si="93"/>
        <v>13.391962670221883</v>
      </c>
      <c r="AK225" s="31">
        <v>0</v>
      </c>
      <c r="AL225" s="31">
        <v>0</v>
      </c>
      <c r="AM225" s="31">
        <v>0</v>
      </c>
      <c r="AN225" s="31">
        <v>0</v>
      </c>
      <c r="AO225" s="31">
        <v>5000</v>
      </c>
      <c r="AP225" s="31">
        <v>2990</v>
      </c>
      <c r="AQ225" s="31">
        <v>7990</v>
      </c>
      <c r="AR225" s="31">
        <v>148619</v>
      </c>
      <c r="AS225" s="46">
        <f t="shared" si="94"/>
        <v>14.152842586420341</v>
      </c>
      <c r="AT225" s="31">
        <v>0</v>
      </c>
      <c r="AU225" s="31">
        <v>0</v>
      </c>
      <c r="AV225" s="31">
        <v>0</v>
      </c>
      <c r="AW225" s="31">
        <v>0</v>
      </c>
      <c r="AX225" s="31">
        <v>0</v>
      </c>
      <c r="AY225" s="31">
        <v>0</v>
      </c>
      <c r="AZ225" s="31">
        <v>0</v>
      </c>
      <c r="BA225" s="31">
        <v>0</v>
      </c>
      <c r="BB225" s="31">
        <v>0</v>
      </c>
      <c r="BC225" s="33" t="s">
        <v>25</v>
      </c>
      <c r="BD225" s="47">
        <v>15350</v>
      </c>
      <c r="BE225" s="47">
        <v>15369</v>
      </c>
      <c r="BF225" s="45">
        <f t="shared" si="95"/>
        <v>1.4635748976287972</v>
      </c>
      <c r="BG225" s="30">
        <v>275</v>
      </c>
      <c r="BH225" s="30">
        <v>275</v>
      </c>
      <c r="BI225" s="30">
        <v>0</v>
      </c>
      <c r="BJ225" s="30">
        <v>1019</v>
      </c>
      <c r="BK225" s="30">
        <v>1019</v>
      </c>
      <c r="BL225" s="30">
        <v>0</v>
      </c>
      <c r="BM225" s="30">
        <v>0</v>
      </c>
      <c r="BN225" s="30">
        <v>1</v>
      </c>
      <c r="BO225" s="30">
        <v>51</v>
      </c>
      <c r="BP225" s="30">
        <v>0</v>
      </c>
      <c r="BQ225" s="30">
        <v>52</v>
      </c>
      <c r="BR225" s="47">
        <v>16644</v>
      </c>
      <c r="BS225" s="47">
        <v>16664</v>
      </c>
      <c r="BT225" s="1">
        <f t="shared" si="96"/>
        <v>1.5868964860489476</v>
      </c>
      <c r="BU225" s="30">
        <v>10</v>
      </c>
      <c r="BV225" s="30">
        <v>0</v>
      </c>
      <c r="BW225" s="47">
        <v>4573</v>
      </c>
      <c r="BX225" s="52">
        <f t="shared" si="97"/>
        <v>0.43548233501571276</v>
      </c>
      <c r="BY225" s="47">
        <v>3198</v>
      </c>
      <c r="BZ225" s="47">
        <v>0</v>
      </c>
      <c r="CA225" s="47">
        <v>26280</v>
      </c>
      <c r="CB225" s="47">
        <v>0</v>
      </c>
      <c r="CC225" s="47">
        <v>29478</v>
      </c>
      <c r="CD225" s="55">
        <f t="shared" si="98"/>
        <v>2.8071612227406915</v>
      </c>
      <c r="CE225" s="3">
        <f t="shared" si="99"/>
        <v>9826</v>
      </c>
      <c r="CF225" s="55">
        <f t="shared" si="100"/>
        <v>13.534435261707989</v>
      </c>
      <c r="CG225" s="55">
        <f t="shared" si="101"/>
        <v>1.4008458869932994</v>
      </c>
      <c r="CH225" s="55">
        <f t="shared" si="102"/>
        <v>1.7689630340854536</v>
      </c>
      <c r="CI225" s="30">
        <v>66</v>
      </c>
      <c r="CJ225" s="30">
        <v>4</v>
      </c>
      <c r="CK225" s="30">
        <v>78</v>
      </c>
      <c r="CL225" s="30">
        <v>148</v>
      </c>
      <c r="CM225" s="30">
        <v>692</v>
      </c>
      <c r="CN225" s="30">
        <v>42</v>
      </c>
      <c r="CO225" s="30">
        <v>104</v>
      </c>
      <c r="CP225" s="30">
        <v>838</v>
      </c>
      <c r="CQ225" s="1">
        <f t="shared" si="110"/>
        <v>7.9801923626321297E-2</v>
      </c>
      <c r="CR225" s="47">
        <v>21043</v>
      </c>
      <c r="CS225" s="55">
        <f t="shared" si="103"/>
        <v>2.0039043900580897</v>
      </c>
      <c r="CT225" s="59">
        <v>3290</v>
      </c>
      <c r="CU225" s="29" t="s">
        <v>25</v>
      </c>
      <c r="CV225" s="29" t="s">
        <v>25</v>
      </c>
      <c r="CW225" s="29" t="s">
        <v>25</v>
      </c>
      <c r="CX225" s="35">
        <v>0</v>
      </c>
      <c r="CY225" s="49">
        <v>0</v>
      </c>
      <c r="CZ225" s="35">
        <v>2</v>
      </c>
      <c r="DA225" s="35">
        <v>1</v>
      </c>
      <c r="DB225" s="35">
        <v>3</v>
      </c>
      <c r="DC225" s="49">
        <f t="shared" si="104"/>
        <v>3500.3333333333335</v>
      </c>
      <c r="DD225" s="30">
        <v>538</v>
      </c>
      <c r="DE225" s="31">
        <v>33000</v>
      </c>
      <c r="DF225" s="35">
        <v>40</v>
      </c>
      <c r="DG225" s="29" t="s">
        <v>25</v>
      </c>
      <c r="DH225" s="29" t="s">
        <v>25</v>
      </c>
      <c r="DI225" s="29" t="s">
        <v>25</v>
      </c>
      <c r="DJ225" s="47">
        <v>0</v>
      </c>
      <c r="DK225" s="47">
        <v>0</v>
      </c>
      <c r="DL225" s="47">
        <v>17</v>
      </c>
      <c r="DM225" s="47">
        <v>8780</v>
      </c>
      <c r="DN225" s="47">
        <v>1095</v>
      </c>
      <c r="DO225" s="47">
        <v>-1</v>
      </c>
      <c r="DP225" s="29" t="s">
        <v>2028</v>
      </c>
      <c r="DQ225" s="47">
        <v>0</v>
      </c>
      <c r="DR225" s="47">
        <v>2178</v>
      </c>
      <c r="DS225" s="30">
        <v>52</v>
      </c>
      <c r="DT225" s="30">
        <v>45</v>
      </c>
      <c r="DU225" s="30">
        <v>45</v>
      </c>
      <c r="DV225" s="30">
        <v>45</v>
      </c>
      <c r="DX225" s="2">
        <f t="shared" si="105"/>
        <v>2178</v>
      </c>
      <c r="DY225" s="33" t="s">
        <v>2186</v>
      </c>
      <c r="DZ225" s="33" t="s">
        <v>649</v>
      </c>
      <c r="EA225" s="33" t="s">
        <v>2030</v>
      </c>
      <c r="EB225" s="33" t="s">
        <v>2027</v>
      </c>
      <c r="EC225" s="36">
        <v>178</v>
      </c>
      <c r="ED225" s="29" t="s">
        <v>648</v>
      </c>
      <c r="EE225" s="29" t="s">
        <v>540</v>
      </c>
      <c r="EF225" s="37">
        <v>41548</v>
      </c>
      <c r="EG225" s="37">
        <v>41912</v>
      </c>
      <c r="EH225" s="29" t="s">
        <v>648</v>
      </c>
      <c r="EI225" s="55">
        <f t="shared" si="106"/>
        <v>0.30454242453099706</v>
      </c>
      <c r="EJ225" s="54">
        <f t="shared" si="107"/>
        <v>0</v>
      </c>
      <c r="EK225" s="55">
        <f t="shared" si="108"/>
        <v>2.5026187982096944</v>
      </c>
      <c r="EL225" s="54">
        <f t="shared" si="109"/>
        <v>0</v>
      </c>
    </row>
    <row r="226" spans="1:142" ht="28.8" x14ac:dyDescent="0.3">
      <c r="A226" s="29" t="s">
        <v>650</v>
      </c>
      <c r="B226" s="29"/>
      <c r="C226" s="30">
        <v>5245</v>
      </c>
      <c r="D226" s="30">
        <v>0</v>
      </c>
      <c r="E226" s="30">
        <v>0</v>
      </c>
      <c r="F226" s="30">
        <v>5120</v>
      </c>
      <c r="H226" s="2">
        <f t="shared" si="85"/>
        <v>5120</v>
      </c>
      <c r="I226" s="1">
        <f t="shared" si="84"/>
        <v>0.97616777883698758</v>
      </c>
      <c r="J226" s="31">
        <v>29393</v>
      </c>
      <c r="K226" s="31">
        <v>3122</v>
      </c>
      <c r="L226" s="31">
        <v>32515</v>
      </c>
      <c r="M226" s="45">
        <f t="shared" si="86"/>
        <v>6.199237368922784</v>
      </c>
      <c r="N226" s="31">
        <v>3500</v>
      </c>
      <c r="O226" s="31">
        <v>1500</v>
      </c>
      <c r="P226" s="31">
        <v>0</v>
      </c>
      <c r="Q226" s="31">
        <v>5000</v>
      </c>
      <c r="R226" s="45">
        <f t="shared" si="87"/>
        <v>0.95328884652049573</v>
      </c>
      <c r="S226" s="31">
        <v>1471</v>
      </c>
      <c r="T226" s="31">
        <v>38986</v>
      </c>
      <c r="U226" s="31">
        <v>0</v>
      </c>
      <c r="V226" s="31">
        <v>38986</v>
      </c>
      <c r="W226" s="45">
        <f t="shared" si="88"/>
        <v>7.4329837940896093</v>
      </c>
      <c r="X226" s="4">
        <f t="shared" si="89"/>
        <v>0.83401733955779001</v>
      </c>
      <c r="Y226" s="4">
        <f t="shared" si="90"/>
        <v>0.12825116708562048</v>
      </c>
      <c r="Z226" s="4">
        <f t="shared" si="91"/>
        <v>3.7731493356589547E-2</v>
      </c>
      <c r="AA226" s="4">
        <f t="shared" si="92"/>
        <v>0</v>
      </c>
      <c r="AB226" s="31">
        <v>0</v>
      </c>
      <c r="AC226" s="31">
        <v>5000</v>
      </c>
      <c r="AD226" s="31">
        <v>38986</v>
      </c>
      <c r="AE226" s="31">
        <v>38986</v>
      </c>
      <c r="AF226" s="31">
        <v>0</v>
      </c>
      <c r="AG226" s="31">
        <v>38986</v>
      </c>
      <c r="AH226" s="31">
        <v>0</v>
      </c>
      <c r="AI226" s="31">
        <v>38986</v>
      </c>
      <c r="AJ226" s="45">
        <f t="shared" si="93"/>
        <v>7.4329837940896093</v>
      </c>
      <c r="AK226" s="31">
        <v>0</v>
      </c>
      <c r="AL226" s="31">
        <v>0</v>
      </c>
      <c r="AM226" s="31">
        <v>0</v>
      </c>
      <c r="AN226" s="31">
        <v>0</v>
      </c>
      <c r="AO226" s="31">
        <v>0</v>
      </c>
      <c r="AP226" s="31">
        <v>1200</v>
      </c>
      <c r="AQ226" s="31">
        <v>1200</v>
      </c>
      <c r="AR226" s="31">
        <v>40186</v>
      </c>
      <c r="AS226" s="46">
        <f t="shared" si="94"/>
        <v>7.661773117254528</v>
      </c>
      <c r="AT226" s="31">
        <v>0</v>
      </c>
      <c r="AU226" s="31">
        <v>0</v>
      </c>
      <c r="AV226" s="31">
        <v>0</v>
      </c>
      <c r="AW226" s="31">
        <v>0</v>
      </c>
      <c r="AX226" s="31">
        <v>0</v>
      </c>
      <c r="AY226" s="31">
        <v>0</v>
      </c>
      <c r="AZ226" s="31">
        <v>0</v>
      </c>
      <c r="BA226" s="31">
        <v>0</v>
      </c>
      <c r="BB226" s="31">
        <v>0</v>
      </c>
      <c r="BC226" s="33" t="s">
        <v>26</v>
      </c>
      <c r="BD226" s="47">
        <v>18100</v>
      </c>
      <c r="BE226" s="47">
        <v>18275</v>
      </c>
      <c r="BF226" s="45">
        <f t="shared" si="95"/>
        <v>3.4842707340324117</v>
      </c>
      <c r="BG226" s="30">
        <v>0</v>
      </c>
      <c r="BH226" s="30">
        <v>0</v>
      </c>
      <c r="BI226" s="30">
        <v>0</v>
      </c>
      <c r="BJ226" s="30">
        <v>85</v>
      </c>
      <c r="BK226" s="30">
        <v>85</v>
      </c>
      <c r="BL226" s="30">
        <v>0</v>
      </c>
      <c r="BM226" s="30">
        <v>0</v>
      </c>
      <c r="BN226" s="30">
        <v>1</v>
      </c>
      <c r="BO226" s="30">
        <v>0</v>
      </c>
      <c r="BP226" s="30">
        <v>1</v>
      </c>
      <c r="BQ226" s="30">
        <v>2</v>
      </c>
      <c r="BR226" s="47">
        <v>18185</v>
      </c>
      <c r="BS226" s="47">
        <v>18361</v>
      </c>
      <c r="BT226" s="1">
        <f t="shared" si="96"/>
        <v>3.5006673021925643</v>
      </c>
      <c r="BU226" s="30">
        <v>1</v>
      </c>
      <c r="BV226" s="30">
        <v>0</v>
      </c>
      <c r="BW226" s="47">
        <v>183</v>
      </c>
      <c r="BX226" s="52">
        <f t="shared" si="97"/>
        <v>3.4890371782650142E-2</v>
      </c>
      <c r="BY226" s="47">
        <v>7780</v>
      </c>
      <c r="BZ226" s="47">
        <v>0</v>
      </c>
      <c r="CA226" s="47">
        <v>6532</v>
      </c>
      <c r="CB226" s="47">
        <v>0</v>
      </c>
      <c r="CC226" s="47">
        <v>14312</v>
      </c>
      <c r="CD226" s="55">
        <f t="shared" si="98"/>
        <v>2.7286939942802668</v>
      </c>
      <c r="CE226" s="3">
        <f t="shared" si="99"/>
        <v>16356.571428571429</v>
      </c>
      <c r="CF226" s="55">
        <f t="shared" si="100"/>
        <v>7.8637362637362633</v>
      </c>
      <c r="CG226" s="55">
        <f t="shared" si="101"/>
        <v>1.8155524546492452</v>
      </c>
      <c r="CH226" s="55">
        <f t="shared" si="102"/>
        <v>0.77947824192582105</v>
      </c>
      <c r="CI226" s="30">
        <v>1</v>
      </c>
      <c r="CJ226" s="30">
        <v>0</v>
      </c>
      <c r="CK226" s="30">
        <v>0</v>
      </c>
      <c r="CL226" s="30">
        <v>1</v>
      </c>
      <c r="CM226" s="30">
        <v>125</v>
      </c>
      <c r="CN226" s="30">
        <v>0</v>
      </c>
      <c r="CO226" s="30">
        <v>0</v>
      </c>
      <c r="CP226" s="30">
        <v>125</v>
      </c>
      <c r="CQ226" s="1">
        <f t="shared" si="110"/>
        <v>2.3832221163012392E-2</v>
      </c>
      <c r="CR226" s="47">
        <v>7883</v>
      </c>
      <c r="CS226" s="55">
        <f t="shared" si="103"/>
        <v>1.5029551954242135</v>
      </c>
      <c r="CT226" s="59">
        <v>5306</v>
      </c>
      <c r="CU226" s="29" t="s">
        <v>25</v>
      </c>
      <c r="CV226" s="29" t="s">
        <v>25</v>
      </c>
      <c r="CW226" s="29" t="s">
        <v>25</v>
      </c>
      <c r="CX226" s="35">
        <v>0</v>
      </c>
      <c r="CY226" s="49">
        <v>0</v>
      </c>
      <c r="CZ226" s="35">
        <v>0</v>
      </c>
      <c r="DA226" s="35">
        <v>0.875</v>
      </c>
      <c r="DB226" s="35">
        <v>0.875</v>
      </c>
      <c r="DC226" s="49">
        <f t="shared" si="104"/>
        <v>5994.2857142857147</v>
      </c>
      <c r="DD226" s="30">
        <v>0</v>
      </c>
      <c r="DE226" s="31">
        <v>19438</v>
      </c>
      <c r="DF226" s="35">
        <v>35</v>
      </c>
      <c r="DG226" s="29" t="s">
        <v>26</v>
      </c>
      <c r="DH226" s="29" t="s">
        <v>26</v>
      </c>
      <c r="DI226" s="29" t="s">
        <v>26</v>
      </c>
      <c r="DJ226" s="47">
        <v>0</v>
      </c>
      <c r="DK226" s="47">
        <v>0</v>
      </c>
      <c r="DL226" s="47">
        <v>10</v>
      </c>
      <c r="DM226" s="47">
        <v>3700</v>
      </c>
      <c r="DN226" s="47">
        <v>2</v>
      </c>
      <c r="DO226" s="47">
        <v>4225</v>
      </c>
      <c r="DP226" s="29" t="s">
        <v>83</v>
      </c>
      <c r="DQ226" s="47">
        <v>0</v>
      </c>
      <c r="DR226" s="47">
        <v>1820</v>
      </c>
      <c r="DS226" s="30">
        <v>52</v>
      </c>
      <c r="DT226" s="30">
        <v>35</v>
      </c>
      <c r="DU226" s="30">
        <v>35</v>
      </c>
      <c r="DV226" s="30">
        <v>35</v>
      </c>
      <c r="DX226" s="2">
        <f t="shared" si="105"/>
        <v>1820</v>
      </c>
      <c r="DY226" s="33" t="s">
        <v>2180</v>
      </c>
      <c r="DZ226" s="33" t="s">
        <v>654</v>
      </c>
      <c r="EA226" s="33" t="s">
        <v>2031</v>
      </c>
      <c r="EB226" s="33" t="s">
        <v>2026</v>
      </c>
      <c r="EC226" s="36">
        <v>179</v>
      </c>
      <c r="ED226" s="29" t="s">
        <v>651</v>
      </c>
      <c r="EE226" s="29" t="s">
        <v>652</v>
      </c>
      <c r="EF226" s="37">
        <v>41548</v>
      </c>
      <c r="EG226" s="37">
        <v>41912</v>
      </c>
      <c r="EH226" s="29" t="s">
        <v>651</v>
      </c>
      <c r="EI226" s="55">
        <f t="shared" si="106"/>
        <v>1.4833174451858913</v>
      </c>
      <c r="EJ226" s="54">
        <f t="shared" si="107"/>
        <v>0</v>
      </c>
      <c r="EK226" s="55">
        <f t="shared" si="108"/>
        <v>1.2453765490943756</v>
      </c>
      <c r="EL226" s="54">
        <f t="shared" si="109"/>
        <v>0</v>
      </c>
    </row>
    <row r="227" spans="1:142" ht="28.8" x14ac:dyDescent="0.3">
      <c r="A227" s="29" t="s">
        <v>249</v>
      </c>
      <c r="B227" s="29"/>
      <c r="C227" s="30">
        <v>9539</v>
      </c>
      <c r="D227" s="30">
        <v>0</v>
      </c>
      <c r="E227" s="30">
        <v>0</v>
      </c>
      <c r="F227" s="30">
        <v>3000</v>
      </c>
      <c r="H227" s="2">
        <f t="shared" si="85"/>
        <v>3000</v>
      </c>
      <c r="I227" s="1">
        <f t="shared" si="84"/>
        <v>0.31449837509172868</v>
      </c>
      <c r="J227" s="31">
        <v>38328</v>
      </c>
      <c r="K227" s="31">
        <v>2933</v>
      </c>
      <c r="L227" s="31">
        <v>41261</v>
      </c>
      <c r="M227" s="45">
        <f t="shared" si="86"/>
        <v>4.3255058182199395</v>
      </c>
      <c r="N227" s="31">
        <v>4007</v>
      </c>
      <c r="O227" s="31">
        <v>0</v>
      </c>
      <c r="P227" s="31">
        <v>268</v>
      </c>
      <c r="Q227" s="31">
        <v>4275</v>
      </c>
      <c r="R227" s="45">
        <f t="shared" si="87"/>
        <v>0.44816018450571338</v>
      </c>
      <c r="S227" s="31">
        <v>16534</v>
      </c>
      <c r="T227" s="31">
        <v>62070</v>
      </c>
      <c r="U227" s="31">
        <v>6833</v>
      </c>
      <c r="V227" s="31">
        <v>68903</v>
      </c>
      <c r="W227" s="45">
        <f t="shared" si="88"/>
        <v>7.2232938463151273</v>
      </c>
      <c r="X227" s="4">
        <f t="shared" si="89"/>
        <v>0.59882733698097323</v>
      </c>
      <c r="Y227" s="4">
        <f t="shared" si="90"/>
        <v>6.2043742652714687E-2</v>
      </c>
      <c r="Z227" s="4">
        <f t="shared" si="91"/>
        <v>0.23996052421520109</v>
      </c>
      <c r="AA227" s="4">
        <f t="shared" si="92"/>
        <v>9.9168396151110977E-2</v>
      </c>
      <c r="AB227" s="31">
        <v>0</v>
      </c>
      <c r="AC227" s="31">
        <v>4275</v>
      </c>
      <c r="AD227" s="31">
        <v>60823</v>
      </c>
      <c r="AE227" s="31">
        <v>26833</v>
      </c>
      <c r="AF227" s="31">
        <v>5000</v>
      </c>
      <c r="AG227" s="31">
        <v>15000</v>
      </c>
      <c r="AH227" s="31">
        <v>0</v>
      </c>
      <c r="AI227" s="31">
        <v>20000</v>
      </c>
      <c r="AJ227" s="45">
        <f t="shared" si="93"/>
        <v>2.0966558339448578</v>
      </c>
      <c r="AK227" s="31">
        <v>0</v>
      </c>
      <c r="AL227" s="31">
        <v>0</v>
      </c>
      <c r="AM227" s="31">
        <v>0</v>
      </c>
      <c r="AN227" s="31">
        <v>0</v>
      </c>
      <c r="AO227" s="31">
        <v>22000</v>
      </c>
      <c r="AP227" s="31">
        <v>13990</v>
      </c>
      <c r="AQ227" s="31">
        <v>35990</v>
      </c>
      <c r="AR227" s="31">
        <v>55990</v>
      </c>
      <c r="AS227" s="46">
        <f t="shared" si="94"/>
        <v>5.8695880071286295</v>
      </c>
      <c r="AT227" s="31">
        <v>0</v>
      </c>
      <c r="AU227" s="31">
        <v>0</v>
      </c>
      <c r="AV227" s="31">
        <v>0</v>
      </c>
      <c r="AW227" s="31">
        <v>0</v>
      </c>
      <c r="AX227" s="31">
        <v>0</v>
      </c>
      <c r="AY227" s="31">
        <v>0</v>
      </c>
      <c r="AZ227" s="31">
        <v>0</v>
      </c>
      <c r="BA227" s="31">
        <v>0</v>
      </c>
      <c r="BB227" s="31">
        <v>0</v>
      </c>
      <c r="BC227" s="33" t="s">
        <v>25</v>
      </c>
      <c r="BD227" s="47">
        <v>21000</v>
      </c>
      <c r="BE227" s="47">
        <v>21183</v>
      </c>
      <c r="BF227" s="45">
        <f t="shared" si="95"/>
        <v>2.2206730265226962</v>
      </c>
      <c r="BG227" s="30">
        <v>500</v>
      </c>
      <c r="BH227" s="30">
        <v>520</v>
      </c>
      <c r="BI227" s="30">
        <v>0</v>
      </c>
      <c r="BJ227" s="30">
        <v>1100</v>
      </c>
      <c r="BK227" s="30">
        <v>1121</v>
      </c>
      <c r="BL227" s="30">
        <v>0</v>
      </c>
      <c r="BM227" s="30">
        <v>0</v>
      </c>
      <c r="BN227" s="30">
        <v>0</v>
      </c>
      <c r="BO227" s="30">
        <v>0</v>
      </c>
      <c r="BP227" s="30">
        <v>0</v>
      </c>
      <c r="BQ227" s="30">
        <v>0</v>
      </c>
      <c r="BR227" s="47">
        <v>22600</v>
      </c>
      <c r="BS227" s="47">
        <v>22824</v>
      </c>
      <c r="BT227" s="1">
        <f t="shared" si="96"/>
        <v>2.3927036376978719</v>
      </c>
      <c r="BU227" s="30">
        <v>9</v>
      </c>
      <c r="BV227" s="30">
        <v>0</v>
      </c>
      <c r="BW227" s="47">
        <v>475</v>
      </c>
      <c r="BX227" s="52">
        <f t="shared" si="97"/>
        <v>4.9795576056190373E-2</v>
      </c>
      <c r="BY227" s="47">
        <v>2293</v>
      </c>
      <c r="BZ227" s="47">
        <v>0</v>
      </c>
      <c r="CA227" s="47">
        <v>21726</v>
      </c>
      <c r="CB227" s="47">
        <v>0</v>
      </c>
      <c r="CC227" s="47">
        <v>24019</v>
      </c>
      <c r="CD227" s="55">
        <f t="shared" si="98"/>
        <v>2.517978823776077</v>
      </c>
      <c r="CE227" s="3">
        <f t="shared" si="99"/>
        <v>19215.2</v>
      </c>
      <c r="CF227" s="55">
        <f t="shared" si="100"/>
        <v>13.025488069414317</v>
      </c>
      <c r="CG227" s="55">
        <f t="shared" si="101"/>
        <v>2.358271968581247</v>
      </c>
      <c r="CH227" s="55">
        <f t="shared" si="102"/>
        <v>1.0523571678934456</v>
      </c>
      <c r="CI227" s="30">
        <v>2</v>
      </c>
      <c r="CJ227" s="30">
        <v>2</v>
      </c>
      <c r="CK227" s="30">
        <v>3</v>
      </c>
      <c r="CL227" s="30">
        <v>7</v>
      </c>
      <c r="CM227" s="30">
        <v>310</v>
      </c>
      <c r="CN227" s="30">
        <v>45</v>
      </c>
      <c r="CO227" s="30">
        <v>350</v>
      </c>
      <c r="CP227" s="30">
        <v>705</v>
      </c>
      <c r="CQ227" s="1">
        <f t="shared" si="110"/>
        <v>7.3907118146556247E-2</v>
      </c>
      <c r="CR227" s="47">
        <v>10185</v>
      </c>
      <c r="CS227" s="55">
        <f t="shared" si="103"/>
        <v>1.0677219834364189</v>
      </c>
      <c r="CT227" s="59">
        <v>5514</v>
      </c>
      <c r="CU227" s="29" t="s">
        <v>25</v>
      </c>
      <c r="CV227" s="29" t="s">
        <v>25</v>
      </c>
      <c r="CW227" s="29" t="s">
        <v>25</v>
      </c>
      <c r="CX227" s="35">
        <v>0</v>
      </c>
      <c r="CY227" s="49">
        <v>0</v>
      </c>
      <c r="CZ227" s="35">
        <v>1.25</v>
      </c>
      <c r="DA227" s="35">
        <v>0</v>
      </c>
      <c r="DB227" s="35">
        <v>1.25</v>
      </c>
      <c r="DC227" s="49">
        <f t="shared" si="104"/>
        <v>7631.2</v>
      </c>
      <c r="DD227" s="30">
        <v>900</v>
      </c>
      <c r="DE227" s="31">
        <v>32534</v>
      </c>
      <c r="DF227" s="35">
        <v>40</v>
      </c>
      <c r="DG227" s="29" t="s">
        <v>25</v>
      </c>
      <c r="DH227" s="29" t="s">
        <v>26</v>
      </c>
      <c r="DI227" s="29" t="s">
        <v>26</v>
      </c>
      <c r="DJ227" s="47">
        <v>0</v>
      </c>
      <c r="DK227" s="47">
        <v>0</v>
      </c>
      <c r="DL227" s="47">
        <v>9</v>
      </c>
      <c r="DM227" s="47">
        <v>4100</v>
      </c>
      <c r="DN227" s="47">
        <v>200</v>
      </c>
      <c r="DO227" s="47">
        <v>200</v>
      </c>
      <c r="DP227" s="29" t="s">
        <v>2028</v>
      </c>
      <c r="DQ227" s="47">
        <v>0</v>
      </c>
      <c r="DR227" s="47">
        <v>1844</v>
      </c>
      <c r="DS227" s="30">
        <v>51</v>
      </c>
      <c r="DT227" s="30">
        <v>38</v>
      </c>
      <c r="DU227" s="30">
        <v>38</v>
      </c>
      <c r="DV227" s="30">
        <v>38</v>
      </c>
      <c r="DX227" s="2">
        <f t="shared" si="105"/>
        <v>1844</v>
      </c>
      <c r="DY227" s="33" t="s">
        <v>2185</v>
      </c>
      <c r="DZ227" s="33" t="s">
        <v>1650</v>
      </c>
      <c r="EA227" s="33" t="s">
        <v>2032</v>
      </c>
      <c r="EB227" s="33" t="s">
        <v>2027</v>
      </c>
      <c r="EC227" s="36">
        <v>560</v>
      </c>
      <c r="ED227" s="29" t="s">
        <v>1649</v>
      </c>
      <c r="EE227" s="29" t="s">
        <v>1045</v>
      </c>
      <c r="EF227" s="37">
        <v>41640</v>
      </c>
      <c r="EG227" s="37">
        <v>42004</v>
      </c>
      <c r="EH227" s="29" t="s">
        <v>1649</v>
      </c>
      <c r="EI227" s="55">
        <f t="shared" si="106"/>
        <v>0.24038159136177797</v>
      </c>
      <c r="EJ227" s="54">
        <f t="shared" si="107"/>
        <v>0</v>
      </c>
      <c r="EK227" s="55">
        <f t="shared" si="108"/>
        <v>2.277597232414299</v>
      </c>
      <c r="EL227" s="54">
        <f t="shared" si="109"/>
        <v>0</v>
      </c>
    </row>
    <row r="228" spans="1:142" ht="28.8" x14ac:dyDescent="0.3">
      <c r="A228" s="29" t="s">
        <v>655</v>
      </c>
      <c r="B228" s="29"/>
      <c r="C228" s="30">
        <v>45213</v>
      </c>
      <c r="D228" s="30">
        <v>1</v>
      </c>
      <c r="E228" s="30">
        <v>0</v>
      </c>
      <c r="F228" s="30">
        <v>5896</v>
      </c>
      <c r="G228">
        <v>4400</v>
      </c>
      <c r="H228" s="2">
        <f t="shared" si="85"/>
        <v>10296</v>
      </c>
      <c r="I228" s="1">
        <f t="shared" si="84"/>
        <v>0.22772211532081482</v>
      </c>
      <c r="J228" s="31">
        <v>236996</v>
      </c>
      <c r="K228" s="31">
        <v>85659</v>
      </c>
      <c r="L228" s="31">
        <v>322655</v>
      </c>
      <c r="M228" s="45">
        <f t="shared" si="86"/>
        <v>7.1363324707495632</v>
      </c>
      <c r="N228" s="31">
        <v>21111</v>
      </c>
      <c r="O228" s="31">
        <v>0</v>
      </c>
      <c r="P228" s="31">
        <v>8891</v>
      </c>
      <c r="Q228" s="31">
        <v>30002</v>
      </c>
      <c r="R228" s="45">
        <f t="shared" si="87"/>
        <v>0.66357021210713729</v>
      </c>
      <c r="S228" s="31">
        <v>24998</v>
      </c>
      <c r="T228" s="31">
        <v>377655</v>
      </c>
      <c r="U228" s="31">
        <v>0</v>
      </c>
      <c r="V228" s="31">
        <v>377655</v>
      </c>
      <c r="W228" s="45">
        <f t="shared" si="88"/>
        <v>8.3527967619932326</v>
      </c>
      <c r="X228" s="4">
        <f t="shared" si="89"/>
        <v>0.854364433146655</v>
      </c>
      <c r="Y228" s="4">
        <f t="shared" si="90"/>
        <v>7.9442877758801017E-2</v>
      </c>
      <c r="Z228" s="4">
        <f t="shared" si="91"/>
        <v>6.6192689094543969E-2</v>
      </c>
      <c r="AA228" s="4">
        <f t="shared" si="92"/>
        <v>0</v>
      </c>
      <c r="AB228" s="31">
        <v>0</v>
      </c>
      <c r="AC228" s="31">
        <v>30002</v>
      </c>
      <c r="AD228" s="31">
        <v>377655</v>
      </c>
      <c r="AE228" s="31">
        <v>377655</v>
      </c>
      <c r="AF228" s="31">
        <v>0</v>
      </c>
      <c r="AG228" s="31">
        <v>377655</v>
      </c>
      <c r="AH228" s="31">
        <v>0</v>
      </c>
      <c r="AI228" s="31">
        <v>377655</v>
      </c>
      <c r="AJ228" s="45">
        <f t="shared" si="93"/>
        <v>8.3527967619932326</v>
      </c>
      <c r="AK228" s="31">
        <v>0</v>
      </c>
      <c r="AL228" s="31">
        <v>0</v>
      </c>
      <c r="AM228" s="31">
        <v>0</v>
      </c>
      <c r="AN228" s="31">
        <v>0</v>
      </c>
      <c r="AO228" s="31">
        <v>0</v>
      </c>
      <c r="AP228" s="31">
        <v>0</v>
      </c>
      <c r="AQ228" s="31">
        <v>0</v>
      </c>
      <c r="AR228" s="31">
        <v>377655</v>
      </c>
      <c r="AS228" s="46">
        <f t="shared" si="94"/>
        <v>8.3527967619932326</v>
      </c>
      <c r="AT228" s="31">
        <v>0</v>
      </c>
      <c r="AU228" s="31">
        <v>0</v>
      </c>
      <c r="AV228" s="31">
        <v>0</v>
      </c>
      <c r="AW228" s="31">
        <v>0</v>
      </c>
      <c r="AX228" s="31">
        <v>0</v>
      </c>
      <c r="AY228" s="31">
        <v>0</v>
      </c>
      <c r="AZ228" s="31">
        <v>0</v>
      </c>
      <c r="BA228" s="31">
        <v>0</v>
      </c>
      <c r="BB228" s="31">
        <v>0</v>
      </c>
      <c r="BC228" s="33" t="s">
        <v>25</v>
      </c>
      <c r="BD228" s="47">
        <v>47274</v>
      </c>
      <c r="BE228" s="47">
        <v>53274</v>
      </c>
      <c r="BF228" s="45">
        <f t="shared" si="95"/>
        <v>1.1782894300311857</v>
      </c>
      <c r="BG228" s="30">
        <v>934</v>
      </c>
      <c r="BH228" s="30">
        <v>1034</v>
      </c>
      <c r="BI228" s="30">
        <v>0</v>
      </c>
      <c r="BJ228" s="30">
        <v>4547</v>
      </c>
      <c r="BK228" s="30">
        <v>5047</v>
      </c>
      <c r="BL228" s="30">
        <v>0</v>
      </c>
      <c r="BM228" s="30">
        <v>0</v>
      </c>
      <c r="BN228" s="30">
        <v>3</v>
      </c>
      <c r="BO228" s="30">
        <v>51</v>
      </c>
      <c r="BP228" s="30">
        <v>0</v>
      </c>
      <c r="BQ228" s="30">
        <v>54</v>
      </c>
      <c r="BR228" s="47">
        <v>52755</v>
      </c>
      <c r="BS228" s="47">
        <v>59358</v>
      </c>
      <c r="BT228" s="1">
        <f t="shared" si="96"/>
        <v>1.3128524981753036</v>
      </c>
      <c r="BU228" s="30">
        <v>20</v>
      </c>
      <c r="BV228" s="30">
        <v>0</v>
      </c>
      <c r="BW228" s="47">
        <v>10478</v>
      </c>
      <c r="BX228" s="52">
        <f t="shared" si="97"/>
        <v>0.23174750624820295</v>
      </c>
      <c r="BY228" s="47">
        <v>16632</v>
      </c>
      <c r="BZ228" s="47">
        <v>0</v>
      </c>
      <c r="CA228" s="47">
        <v>59501</v>
      </c>
      <c r="CB228" s="47">
        <v>0</v>
      </c>
      <c r="CC228" s="47">
        <v>76133</v>
      </c>
      <c r="CD228" s="55">
        <f t="shared" si="98"/>
        <v>1.6838741070046226</v>
      </c>
      <c r="CE228" s="3">
        <f t="shared" si="99"/>
        <v>8956.823529411764</v>
      </c>
      <c r="CF228" s="55">
        <f t="shared" si="100"/>
        <v>16.637456293706293</v>
      </c>
      <c r="CG228" s="55">
        <f t="shared" si="101"/>
        <v>2.2365746180963573</v>
      </c>
      <c r="CH228" s="55">
        <f t="shared" si="102"/>
        <v>1.282607230701843</v>
      </c>
      <c r="CI228" s="30">
        <v>243</v>
      </c>
      <c r="CJ228" s="30">
        <v>12</v>
      </c>
      <c r="CK228" s="30">
        <v>16</v>
      </c>
      <c r="CL228" s="30">
        <v>271</v>
      </c>
      <c r="CM228" s="30">
        <v>2882</v>
      </c>
      <c r="CN228" s="30">
        <v>72</v>
      </c>
      <c r="CO228" s="30">
        <v>525</v>
      </c>
      <c r="CP228" s="30">
        <v>3479</v>
      </c>
      <c r="CQ228" s="1">
        <f t="shared" si="110"/>
        <v>7.6946895804304069E-2</v>
      </c>
      <c r="CR228" s="47">
        <v>34040</v>
      </c>
      <c r="CS228" s="55">
        <f t="shared" si="103"/>
        <v>0.75288080861699069</v>
      </c>
      <c r="CT228" s="59">
        <v>13695</v>
      </c>
      <c r="CU228" s="29" t="s">
        <v>25</v>
      </c>
      <c r="CV228" s="29" t="s">
        <v>25</v>
      </c>
      <c r="CW228" s="29" t="s">
        <v>25</v>
      </c>
      <c r="CX228" s="35">
        <v>1</v>
      </c>
      <c r="CY228" s="49">
        <f>C228/CX228</f>
        <v>45213</v>
      </c>
      <c r="CZ228" s="35">
        <v>0</v>
      </c>
      <c r="DA228" s="35">
        <v>7.5</v>
      </c>
      <c r="DB228" s="35">
        <v>8.5</v>
      </c>
      <c r="DC228" s="49">
        <f t="shared" si="104"/>
        <v>5319.1764705882351</v>
      </c>
      <c r="DD228" s="30">
        <v>1550</v>
      </c>
      <c r="DE228" s="31">
        <v>50259</v>
      </c>
      <c r="DF228" s="35">
        <v>40</v>
      </c>
      <c r="DG228" s="29" t="s">
        <v>25</v>
      </c>
      <c r="DH228" s="29" t="s">
        <v>25</v>
      </c>
      <c r="DI228" s="29" t="s">
        <v>25</v>
      </c>
      <c r="DJ228" s="47">
        <v>175</v>
      </c>
      <c r="DK228" s="47">
        <v>38</v>
      </c>
      <c r="DL228" s="47">
        <v>19</v>
      </c>
      <c r="DM228" s="47">
        <v>17899</v>
      </c>
      <c r="DN228" s="47">
        <v>5450</v>
      </c>
      <c r="DO228" s="47">
        <v>850</v>
      </c>
      <c r="DP228" s="29" t="s">
        <v>83</v>
      </c>
      <c r="DQ228" s="47">
        <v>0</v>
      </c>
      <c r="DR228" s="47">
        <v>2288</v>
      </c>
      <c r="DS228" s="30">
        <v>52</v>
      </c>
      <c r="DT228" s="30">
        <v>43</v>
      </c>
      <c r="DU228" s="30">
        <v>43</v>
      </c>
      <c r="DV228" s="30">
        <v>43</v>
      </c>
      <c r="DW228">
        <f>VLOOKUP(EC228,branch!$I$4:$K$77,3,0)</f>
        <v>2288</v>
      </c>
      <c r="DX228" s="2">
        <f t="shared" si="105"/>
        <v>4576</v>
      </c>
      <c r="DY228" s="33" t="s">
        <v>2185</v>
      </c>
      <c r="DZ228" s="33" t="s">
        <v>657</v>
      </c>
      <c r="EA228" s="33" t="s">
        <v>2031</v>
      </c>
      <c r="EB228" s="33" t="s">
        <v>2027</v>
      </c>
      <c r="EC228" s="36">
        <v>180</v>
      </c>
      <c r="ED228" s="29" t="s">
        <v>656</v>
      </c>
      <c r="EE228" s="29" t="s">
        <v>42</v>
      </c>
      <c r="EF228" s="37">
        <v>41640</v>
      </c>
      <c r="EG228" s="37">
        <v>42004</v>
      </c>
      <c r="EH228" s="29" t="s">
        <v>656</v>
      </c>
      <c r="EI228" s="55">
        <f t="shared" si="106"/>
        <v>0.36785880167208546</v>
      </c>
      <c r="EJ228" s="54">
        <f t="shared" si="107"/>
        <v>0</v>
      </c>
      <c r="EK228" s="55">
        <f t="shared" si="108"/>
        <v>1.3160153053325372</v>
      </c>
      <c r="EL228" s="54">
        <f t="shared" si="109"/>
        <v>0</v>
      </c>
    </row>
    <row r="229" spans="1:142" ht="28.8" x14ac:dyDescent="0.3">
      <c r="A229" s="29" t="s">
        <v>101</v>
      </c>
      <c r="B229" s="29"/>
      <c r="C229" s="30">
        <v>50125</v>
      </c>
      <c r="D229" s="30">
        <v>4</v>
      </c>
      <c r="E229" s="30">
        <v>0</v>
      </c>
      <c r="F229" s="30">
        <v>20774</v>
      </c>
      <c r="G229">
        <v>37273</v>
      </c>
      <c r="H229" s="2">
        <f t="shared" si="85"/>
        <v>58047</v>
      </c>
      <c r="I229" s="1">
        <f t="shared" si="84"/>
        <v>1.1580448877805487</v>
      </c>
      <c r="J229" s="31">
        <v>476620</v>
      </c>
      <c r="K229" s="31">
        <v>196816</v>
      </c>
      <c r="L229" s="31">
        <v>673436</v>
      </c>
      <c r="M229" s="45">
        <f t="shared" si="86"/>
        <v>13.435132169576059</v>
      </c>
      <c r="N229" s="31">
        <v>71310</v>
      </c>
      <c r="O229" s="31">
        <v>4000</v>
      </c>
      <c r="P229" s="31">
        <v>5245</v>
      </c>
      <c r="Q229" s="31">
        <v>80555</v>
      </c>
      <c r="R229" s="45">
        <f t="shared" si="87"/>
        <v>1.6070822942643392</v>
      </c>
      <c r="S229" s="31">
        <v>155827</v>
      </c>
      <c r="T229" s="31">
        <v>909818</v>
      </c>
      <c r="U229" s="31">
        <v>0</v>
      </c>
      <c r="V229" s="31">
        <v>909818</v>
      </c>
      <c r="W229" s="45">
        <f t="shared" si="88"/>
        <v>18.150982543640897</v>
      </c>
      <c r="X229" s="4">
        <f t="shared" si="89"/>
        <v>0.74018759795915223</v>
      </c>
      <c r="Y229" s="4">
        <f t="shared" si="90"/>
        <v>8.8539685959169862E-2</v>
      </c>
      <c r="Z229" s="4">
        <f t="shared" si="91"/>
        <v>0.17127271608167788</v>
      </c>
      <c r="AA229" s="4">
        <f t="shared" si="92"/>
        <v>0</v>
      </c>
      <c r="AB229" s="31">
        <v>0</v>
      </c>
      <c r="AC229" s="31">
        <v>80555</v>
      </c>
      <c r="AD229" s="31">
        <v>909818</v>
      </c>
      <c r="AE229" s="31">
        <v>884843</v>
      </c>
      <c r="AF229" s="31">
        <v>0</v>
      </c>
      <c r="AG229" s="31">
        <v>936107</v>
      </c>
      <c r="AH229" s="31">
        <v>0</v>
      </c>
      <c r="AI229" s="31">
        <v>936107</v>
      </c>
      <c r="AJ229" s="45">
        <f t="shared" si="93"/>
        <v>18.675451371571071</v>
      </c>
      <c r="AK229" s="31">
        <v>0</v>
      </c>
      <c r="AL229" s="31">
        <v>0</v>
      </c>
      <c r="AM229" s="31">
        <v>0</v>
      </c>
      <c r="AN229" s="31">
        <v>0</v>
      </c>
      <c r="AO229" s="31">
        <v>0</v>
      </c>
      <c r="AP229" s="31">
        <v>24975</v>
      </c>
      <c r="AQ229" s="31">
        <v>24975</v>
      </c>
      <c r="AR229" s="31">
        <v>961082</v>
      </c>
      <c r="AS229" s="46">
        <f t="shared" si="94"/>
        <v>19.17370573566085</v>
      </c>
      <c r="AT229" s="31">
        <v>0</v>
      </c>
      <c r="AU229" s="31">
        <v>0</v>
      </c>
      <c r="AV229" s="31">
        <v>0</v>
      </c>
      <c r="AW229" s="31">
        <v>0</v>
      </c>
      <c r="AX229" s="31">
        <v>0</v>
      </c>
      <c r="AY229" s="31">
        <v>0</v>
      </c>
      <c r="AZ229" s="31">
        <v>0</v>
      </c>
      <c r="BA229" s="31">
        <v>0</v>
      </c>
      <c r="BB229" s="31">
        <v>0</v>
      </c>
      <c r="BC229" s="33" t="s">
        <v>25</v>
      </c>
      <c r="BD229" s="47">
        <v>102822</v>
      </c>
      <c r="BE229" s="47">
        <v>108569</v>
      </c>
      <c r="BF229" s="45">
        <f t="shared" si="95"/>
        <v>2.1659650872817955</v>
      </c>
      <c r="BG229" s="30">
        <v>2198</v>
      </c>
      <c r="BH229" s="30">
        <v>2219</v>
      </c>
      <c r="BI229" s="30">
        <v>859</v>
      </c>
      <c r="BJ229" s="30">
        <v>4590</v>
      </c>
      <c r="BK229" s="30">
        <v>4727</v>
      </c>
      <c r="BL229" s="30">
        <v>0</v>
      </c>
      <c r="BM229" s="30">
        <v>9145</v>
      </c>
      <c r="BN229" s="30">
        <v>7</v>
      </c>
      <c r="BO229" s="30">
        <v>51</v>
      </c>
      <c r="BP229" s="30">
        <v>0</v>
      </c>
      <c r="BQ229" s="30">
        <v>58</v>
      </c>
      <c r="BR229" s="47">
        <v>109610</v>
      </c>
      <c r="BS229" s="47">
        <v>125526</v>
      </c>
      <c r="BT229" s="1">
        <f t="shared" si="96"/>
        <v>2.5042593516209477</v>
      </c>
      <c r="BU229" s="30">
        <v>217</v>
      </c>
      <c r="BV229" s="30">
        <v>0</v>
      </c>
      <c r="BW229" s="47">
        <v>51006</v>
      </c>
      <c r="BX229" s="52">
        <f t="shared" si="97"/>
        <v>1.017576059850374</v>
      </c>
      <c r="BY229" s="47">
        <v>25315</v>
      </c>
      <c r="BZ229" s="47">
        <v>1209</v>
      </c>
      <c r="CA229" s="47">
        <v>78282</v>
      </c>
      <c r="CB229" s="47">
        <v>6907</v>
      </c>
      <c r="CC229" s="47">
        <v>111713</v>
      </c>
      <c r="CD229" s="55">
        <f t="shared" si="98"/>
        <v>2.2286882793017457</v>
      </c>
      <c r="CE229" s="3">
        <f t="shared" si="99"/>
        <v>5910.7407407407409</v>
      </c>
      <c r="CF229" s="55">
        <f t="shared" si="100"/>
        <v>9.8843567510175188</v>
      </c>
      <c r="CG229" s="55">
        <f t="shared" si="101"/>
        <v>1.2332258847945599</v>
      </c>
      <c r="CH229" s="55">
        <f t="shared" si="102"/>
        <v>0.82530312445230469</v>
      </c>
      <c r="CI229" s="30">
        <v>436</v>
      </c>
      <c r="CJ229" s="30">
        <v>76</v>
      </c>
      <c r="CK229" s="30">
        <v>475</v>
      </c>
      <c r="CL229" s="30">
        <v>987</v>
      </c>
      <c r="CM229" s="30">
        <v>8516</v>
      </c>
      <c r="CN229" s="30">
        <v>608</v>
      </c>
      <c r="CO229" s="30">
        <v>2707</v>
      </c>
      <c r="CP229" s="30">
        <v>11831</v>
      </c>
      <c r="CQ229" s="1">
        <f t="shared" si="110"/>
        <v>0.23602992518703242</v>
      </c>
      <c r="CR229" s="47">
        <v>90586</v>
      </c>
      <c r="CS229" s="55">
        <f t="shared" si="103"/>
        <v>1.8072019950124689</v>
      </c>
      <c r="CT229" s="59">
        <v>27456</v>
      </c>
      <c r="CU229" s="29" t="s">
        <v>25</v>
      </c>
      <c r="CV229" s="29" t="s">
        <v>25</v>
      </c>
      <c r="CW229" s="29" t="s">
        <v>25</v>
      </c>
      <c r="CX229" s="35">
        <v>1</v>
      </c>
      <c r="CY229" s="49">
        <f>C229/CX229</f>
        <v>50125</v>
      </c>
      <c r="CZ229" s="35">
        <v>0</v>
      </c>
      <c r="DA229" s="35">
        <v>17.899999999999999</v>
      </c>
      <c r="DB229" s="35">
        <v>18.899999999999999</v>
      </c>
      <c r="DC229" s="49">
        <f t="shared" si="104"/>
        <v>2652.1164021164022</v>
      </c>
      <c r="DD229" s="30">
        <v>2765</v>
      </c>
      <c r="DE229" s="31">
        <v>47297</v>
      </c>
      <c r="DF229" s="35">
        <v>40</v>
      </c>
      <c r="DG229" s="29" t="s">
        <v>25</v>
      </c>
      <c r="DH229" s="29" t="s">
        <v>25</v>
      </c>
      <c r="DI229" s="29" t="s">
        <v>25</v>
      </c>
      <c r="DJ229" s="47">
        <v>828</v>
      </c>
      <c r="DK229" s="47">
        <v>460</v>
      </c>
      <c r="DL229" s="47">
        <v>60</v>
      </c>
      <c r="DM229" s="47">
        <v>22375</v>
      </c>
      <c r="DN229" s="47">
        <v>8950</v>
      </c>
      <c r="DO229" s="47">
        <v>7825</v>
      </c>
      <c r="DP229" s="29" t="s">
        <v>2028</v>
      </c>
      <c r="DQ229" s="47">
        <v>0</v>
      </c>
      <c r="DR229" s="47">
        <v>2345</v>
      </c>
      <c r="DS229" s="30">
        <v>52</v>
      </c>
      <c r="DT229" s="30">
        <v>53</v>
      </c>
      <c r="DU229" s="30">
        <v>51</v>
      </c>
      <c r="DV229" s="30">
        <v>51</v>
      </c>
      <c r="DW229">
        <f>VLOOKUP(EC229,branch!$I$4:$K$77,3,0)</f>
        <v>8957</v>
      </c>
      <c r="DX229" s="2">
        <f t="shared" si="105"/>
        <v>11302</v>
      </c>
      <c r="DY229" s="33" t="s">
        <v>2182</v>
      </c>
      <c r="DZ229" s="33" t="s">
        <v>660</v>
      </c>
      <c r="EA229" s="33" t="s">
        <v>2031</v>
      </c>
      <c r="EB229" s="33" t="s">
        <v>2027</v>
      </c>
      <c r="EC229" s="36">
        <v>181</v>
      </c>
      <c r="ED229" s="29" t="s">
        <v>658</v>
      </c>
      <c r="EE229" s="29" t="s">
        <v>659</v>
      </c>
      <c r="EF229" s="37">
        <v>41640</v>
      </c>
      <c r="EG229" s="37">
        <v>42004</v>
      </c>
      <c r="EH229" s="29" t="s">
        <v>658</v>
      </c>
      <c r="EI229" s="55">
        <f t="shared" si="106"/>
        <v>0.50503740648379047</v>
      </c>
      <c r="EJ229" s="54">
        <f t="shared" si="107"/>
        <v>2.4119700748129677E-2</v>
      </c>
      <c r="EK229" s="55">
        <f t="shared" si="108"/>
        <v>1.5617356608478803</v>
      </c>
      <c r="EL229" s="54">
        <f t="shared" si="109"/>
        <v>0.13779551122194514</v>
      </c>
    </row>
    <row r="230" spans="1:142" ht="28.8" x14ac:dyDescent="0.3">
      <c r="A230" s="29" t="s">
        <v>661</v>
      </c>
      <c r="B230" s="29"/>
      <c r="C230" s="30">
        <v>10473</v>
      </c>
      <c r="D230" s="30">
        <v>0</v>
      </c>
      <c r="E230" s="30">
        <v>0</v>
      </c>
      <c r="F230" s="30">
        <v>5062</v>
      </c>
      <c r="H230" s="2">
        <f t="shared" si="85"/>
        <v>5062</v>
      </c>
      <c r="I230" s="1">
        <f t="shared" si="84"/>
        <v>0.48333810751456124</v>
      </c>
      <c r="J230" s="31">
        <v>80255</v>
      </c>
      <c r="K230" s="31">
        <v>36614</v>
      </c>
      <c r="L230" s="31">
        <v>116869</v>
      </c>
      <c r="M230" s="45">
        <f t="shared" si="86"/>
        <v>11.159075718514275</v>
      </c>
      <c r="N230" s="31">
        <v>8271</v>
      </c>
      <c r="O230" s="31">
        <v>0</v>
      </c>
      <c r="P230" s="31">
        <v>74</v>
      </c>
      <c r="Q230" s="31">
        <v>8345</v>
      </c>
      <c r="R230" s="45">
        <f t="shared" si="87"/>
        <v>0.7968108469397498</v>
      </c>
      <c r="S230" s="31">
        <v>20953</v>
      </c>
      <c r="T230" s="31">
        <v>146167</v>
      </c>
      <c r="U230" s="31">
        <v>0</v>
      </c>
      <c r="V230" s="31">
        <v>146167</v>
      </c>
      <c r="W230" s="45">
        <f t="shared" si="88"/>
        <v>13.956554950825934</v>
      </c>
      <c r="X230" s="4">
        <f t="shared" si="89"/>
        <v>0.79955803977642015</v>
      </c>
      <c r="Y230" s="4">
        <f t="shared" si="90"/>
        <v>5.70922301203418E-2</v>
      </c>
      <c r="Z230" s="4">
        <f t="shared" si="91"/>
        <v>0.14334973010323807</v>
      </c>
      <c r="AA230" s="4">
        <f t="shared" si="92"/>
        <v>0</v>
      </c>
      <c r="AB230" s="31">
        <v>0</v>
      </c>
      <c r="AC230" s="31">
        <v>8345</v>
      </c>
      <c r="AD230" s="31">
        <v>144667</v>
      </c>
      <c r="AE230" s="31">
        <v>130638</v>
      </c>
      <c r="AF230" s="31">
        <v>0</v>
      </c>
      <c r="AG230" s="31">
        <v>130638</v>
      </c>
      <c r="AH230" s="31">
        <v>0</v>
      </c>
      <c r="AI230" s="31">
        <v>130638</v>
      </c>
      <c r="AJ230" s="45">
        <f t="shared" si="93"/>
        <v>12.473789745058722</v>
      </c>
      <c r="AK230" s="31">
        <v>0</v>
      </c>
      <c r="AL230" s="31">
        <v>0</v>
      </c>
      <c r="AM230" s="31">
        <v>0</v>
      </c>
      <c r="AN230" s="31">
        <v>0</v>
      </c>
      <c r="AO230" s="31">
        <v>1500</v>
      </c>
      <c r="AP230" s="31">
        <v>6383</v>
      </c>
      <c r="AQ230" s="31">
        <v>7883</v>
      </c>
      <c r="AR230" s="31">
        <v>138521</v>
      </c>
      <c r="AS230" s="46">
        <f t="shared" si="94"/>
        <v>13.226487157452496</v>
      </c>
      <c r="AT230" s="31">
        <v>0</v>
      </c>
      <c r="AU230" s="31">
        <v>0</v>
      </c>
      <c r="AV230" s="31">
        <v>0</v>
      </c>
      <c r="AW230" s="31">
        <v>0</v>
      </c>
      <c r="AX230" s="31">
        <v>0</v>
      </c>
      <c r="AY230" s="31">
        <v>0</v>
      </c>
      <c r="AZ230" s="31">
        <v>0</v>
      </c>
      <c r="BA230" s="31">
        <v>0</v>
      </c>
      <c r="BB230" s="31">
        <v>0</v>
      </c>
      <c r="BC230" s="33" t="s">
        <v>25</v>
      </c>
      <c r="BD230" s="47">
        <v>19675</v>
      </c>
      <c r="BE230" s="47">
        <v>30175</v>
      </c>
      <c r="BF230" s="45">
        <f t="shared" si="95"/>
        <v>2.8812183710493651</v>
      </c>
      <c r="BG230" s="30">
        <v>1509</v>
      </c>
      <c r="BH230" s="30">
        <v>1559</v>
      </c>
      <c r="BI230" s="30">
        <v>0</v>
      </c>
      <c r="BJ230" s="30">
        <v>2132</v>
      </c>
      <c r="BK230" s="30">
        <v>2157</v>
      </c>
      <c r="BL230" s="30">
        <v>0</v>
      </c>
      <c r="BM230" s="30">
        <v>0</v>
      </c>
      <c r="BN230" s="30">
        <v>0</v>
      </c>
      <c r="BO230" s="30">
        <v>51</v>
      </c>
      <c r="BP230" s="30">
        <v>0</v>
      </c>
      <c r="BQ230" s="30">
        <v>51</v>
      </c>
      <c r="BR230" s="47">
        <v>23316</v>
      </c>
      <c r="BS230" s="47">
        <v>33891</v>
      </c>
      <c r="BT230" s="1">
        <f t="shared" si="96"/>
        <v>3.2360355199083357</v>
      </c>
      <c r="BU230" s="30">
        <v>55</v>
      </c>
      <c r="BV230" s="30">
        <v>0</v>
      </c>
      <c r="BW230" s="47">
        <v>1426</v>
      </c>
      <c r="BX230" s="52">
        <f t="shared" si="97"/>
        <v>0.13615964862026161</v>
      </c>
      <c r="BY230" s="47">
        <v>8613</v>
      </c>
      <c r="BZ230" s="47">
        <v>0</v>
      </c>
      <c r="CA230" s="47">
        <v>17399</v>
      </c>
      <c r="CB230" s="47">
        <v>0</v>
      </c>
      <c r="CC230" s="47">
        <v>26012</v>
      </c>
      <c r="CD230" s="55">
        <f t="shared" si="98"/>
        <v>2.4837200420127949</v>
      </c>
      <c r="CE230" s="3">
        <f t="shared" si="99"/>
        <v>13006</v>
      </c>
      <c r="CF230" s="55">
        <f t="shared" si="100"/>
        <v>13.318996415770609</v>
      </c>
      <c r="CG230" s="55">
        <f t="shared" si="101"/>
        <v>2.0404769375588327</v>
      </c>
      <c r="CH230" s="55">
        <f t="shared" si="102"/>
        <v>0.76751940043079281</v>
      </c>
      <c r="CI230" s="30">
        <v>57</v>
      </c>
      <c r="CJ230" s="30">
        <v>0</v>
      </c>
      <c r="CK230" s="30">
        <v>0</v>
      </c>
      <c r="CL230" s="30">
        <v>57</v>
      </c>
      <c r="CM230" s="30">
        <v>904</v>
      </c>
      <c r="CN230" s="30">
        <v>0</v>
      </c>
      <c r="CO230" s="30">
        <v>0</v>
      </c>
      <c r="CP230" s="30">
        <v>904</v>
      </c>
      <c r="CQ230" s="1">
        <f t="shared" si="110"/>
        <v>8.6317196600782964E-2</v>
      </c>
      <c r="CR230" s="47">
        <v>12748</v>
      </c>
      <c r="CS230" s="55">
        <f t="shared" si="103"/>
        <v>1.2172252458703332</v>
      </c>
      <c r="CT230" s="59">
        <v>2952</v>
      </c>
      <c r="CU230" s="29" t="s">
        <v>25</v>
      </c>
      <c r="CV230" s="29" t="s">
        <v>25</v>
      </c>
      <c r="CW230" s="29" t="s">
        <v>25</v>
      </c>
      <c r="CX230" s="35">
        <v>1</v>
      </c>
      <c r="CY230" s="49">
        <f>C230/CX230</f>
        <v>10473</v>
      </c>
      <c r="CZ230" s="35">
        <v>0</v>
      </c>
      <c r="DA230" s="35">
        <v>1</v>
      </c>
      <c r="DB230" s="35">
        <v>2</v>
      </c>
      <c r="DC230" s="49">
        <f t="shared" si="104"/>
        <v>5236.5</v>
      </c>
      <c r="DD230" s="30">
        <v>11</v>
      </c>
      <c r="DE230" s="31">
        <v>39000</v>
      </c>
      <c r="DF230" s="35">
        <v>40</v>
      </c>
      <c r="DG230" s="29" t="s">
        <v>25</v>
      </c>
      <c r="DH230" s="29" t="s">
        <v>25</v>
      </c>
      <c r="DI230" s="29" t="s">
        <v>25</v>
      </c>
      <c r="DJ230" s="47">
        <v>86</v>
      </c>
      <c r="DK230" s="47">
        <v>73</v>
      </c>
      <c r="DL230" s="47">
        <v>6</v>
      </c>
      <c r="DM230" s="47">
        <v>3603</v>
      </c>
      <c r="DN230" s="47">
        <v>2</v>
      </c>
      <c r="DO230" s="47">
        <v>92</v>
      </c>
      <c r="DP230" s="29" t="s">
        <v>2028</v>
      </c>
      <c r="DQ230" s="47">
        <v>0</v>
      </c>
      <c r="DR230" s="47">
        <v>1953</v>
      </c>
      <c r="DS230" s="30">
        <v>51</v>
      </c>
      <c r="DT230" s="30">
        <v>39</v>
      </c>
      <c r="DU230" s="30">
        <v>39</v>
      </c>
      <c r="DV230" s="30">
        <v>39</v>
      </c>
      <c r="DX230" s="2">
        <f t="shared" si="105"/>
        <v>1953</v>
      </c>
      <c r="DY230" s="33" t="s">
        <v>2181</v>
      </c>
      <c r="DZ230" s="33" t="s">
        <v>663</v>
      </c>
      <c r="EA230" s="33" t="s">
        <v>2031</v>
      </c>
      <c r="EB230" s="33" t="s">
        <v>2027</v>
      </c>
      <c r="EC230" s="36">
        <v>182</v>
      </c>
      <c r="ED230" s="29" t="s">
        <v>662</v>
      </c>
      <c r="EE230" s="29" t="s">
        <v>342</v>
      </c>
      <c r="EF230" s="37">
        <v>41548</v>
      </c>
      <c r="EG230" s="37">
        <v>41912</v>
      </c>
      <c r="EH230" s="29" t="s">
        <v>662</v>
      </c>
      <c r="EI230" s="55">
        <f t="shared" si="106"/>
        <v>0.82240045832139785</v>
      </c>
      <c r="EJ230" s="54">
        <f t="shared" si="107"/>
        <v>0</v>
      </c>
      <c r="EK230" s="55">
        <f t="shared" si="108"/>
        <v>1.661319583691397</v>
      </c>
      <c r="EL230" s="54">
        <f t="shared" si="109"/>
        <v>0</v>
      </c>
    </row>
    <row r="231" spans="1:142" ht="28.8" x14ac:dyDescent="0.3">
      <c r="A231" s="29" t="s">
        <v>664</v>
      </c>
      <c r="B231" s="29"/>
      <c r="C231" s="30">
        <v>19177</v>
      </c>
      <c r="D231" s="30">
        <v>0</v>
      </c>
      <c r="E231" s="30">
        <v>0</v>
      </c>
      <c r="F231" s="30">
        <v>20304</v>
      </c>
      <c r="H231" s="2">
        <f t="shared" si="85"/>
        <v>20304</v>
      </c>
      <c r="I231" s="1">
        <f t="shared" si="84"/>
        <v>1.0587683162121291</v>
      </c>
      <c r="J231" s="31">
        <v>167655</v>
      </c>
      <c r="K231" s="31">
        <v>50976</v>
      </c>
      <c r="L231" s="31">
        <v>218631</v>
      </c>
      <c r="M231" s="45">
        <f t="shared" si="86"/>
        <v>11.400688324555457</v>
      </c>
      <c r="N231" s="31">
        <v>51931</v>
      </c>
      <c r="O231" s="31">
        <v>4800</v>
      </c>
      <c r="P231" s="31">
        <v>9607</v>
      </c>
      <c r="Q231" s="31">
        <v>66338</v>
      </c>
      <c r="R231" s="45">
        <f t="shared" si="87"/>
        <v>3.459248057568963</v>
      </c>
      <c r="S231" s="31">
        <v>56224</v>
      </c>
      <c r="T231" s="31">
        <v>341193</v>
      </c>
      <c r="U231" s="31">
        <v>0</v>
      </c>
      <c r="V231" s="31">
        <v>341193</v>
      </c>
      <c r="W231" s="45">
        <f t="shared" si="88"/>
        <v>17.79178182197424</v>
      </c>
      <c r="X231" s="4">
        <f t="shared" si="89"/>
        <v>0.64078395512217423</v>
      </c>
      <c r="Y231" s="4">
        <f t="shared" si="90"/>
        <v>0.1944295457409736</v>
      </c>
      <c r="Z231" s="4">
        <f t="shared" si="91"/>
        <v>0.16478649913685217</v>
      </c>
      <c r="AA231" s="4">
        <f t="shared" si="92"/>
        <v>0</v>
      </c>
      <c r="AB231" s="31">
        <v>0</v>
      </c>
      <c r="AC231" s="31">
        <v>66338</v>
      </c>
      <c r="AD231" s="31">
        <v>341192</v>
      </c>
      <c r="AE231" s="31">
        <v>341192</v>
      </c>
      <c r="AF231" s="31">
        <v>0</v>
      </c>
      <c r="AG231" s="31">
        <v>341192</v>
      </c>
      <c r="AH231" s="31">
        <v>0</v>
      </c>
      <c r="AI231" s="31">
        <v>341192</v>
      </c>
      <c r="AJ231" s="45">
        <f t="shared" si="93"/>
        <v>17.791729676174583</v>
      </c>
      <c r="AK231" s="31">
        <v>0</v>
      </c>
      <c r="AL231" s="31">
        <v>0</v>
      </c>
      <c r="AM231" s="31">
        <v>0</v>
      </c>
      <c r="AN231" s="31">
        <v>0</v>
      </c>
      <c r="AO231" s="31">
        <v>0</v>
      </c>
      <c r="AP231" s="31">
        <v>10040</v>
      </c>
      <c r="AQ231" s="31">
        <v>10040</v>
      </c>
      <c r="AR231" s="31">
        <v>351232</v>
      </c>
      <c r="AS231" s="46">
        <f t="shared" si="94"/>
        <v>18.315273504719194</v>
      </c>
      <c r="AT231" s="31">
        <v>0</v>
      </c>
      <c r="AU231" s="31">
        <v>0</v>
      </c>
      <c r="AV231" s="31">
        <v>0</v>
      </c>
      <c r="AW231" s="31">
        <v>0</v>
      </c>
      <c r="AX231" s="31">
        <v>0</v>
      </c>
      <c r="AY231" s="31">
        <v>0</v>
      </c>
      <c r="AZ231" s="31">
        <v>0</v>
      </c>
      <c r="BA231" s="31">
        <v>0</v>
      </c>
      <c r="BB231" s="31">
        <v>0</v>
      </c>
      <c r="BC231" s="33" t="s">
        <v>25</v>
      </c>
      <c r="BD231" s="47">
        <v>47222</v>
      </c>
      <c r="BE231" s="47">
        <v>59066</v>
      </c>
      <c r="BF231" s="45">
        <f t="shared" si="95"/>
        <v>3.0800438024717107</v>
      </c>
      <c r="BG231" s="30">
        <v>1771</v>
      </c>
      <c r="BH231" s="30">
        <v>1869</v>
      </c>
      <c r="BI231" s="30">
        <v>803</v>
      </c>
      <c r="BJ231" s="30">
        <v>1481</v>
      </c>
      <c r="BK231" s="30">
        <v>1670</v>
      </c>
      <c r="BL231" s="30">
        <v>23</v>
      </c>
      <c r="BM231" s="30">
        <v>3348</v>
      </c>
      <c r="BN231" s="30">
        <v>2</v>
      </c>
      <c r="BO231" s="30">
        <v>51</v>
      </c>
      <c r="BP231" s="30">
        <v>16</v>
      </c>
      <c r="BQ231" s="30">
        <v>69</v>
      </c>
      <c r="BR231" s="47">
        <v>50474</v>
      </c>
      <c r="BS231" s="47">
        <v>66781</v>
      </c>
      <c r="BT231" s="1">
        <f t="shared" si="96"/>
        <v>3.482348646816499</v>
      </c>
      <c r="BU231" s="30">
        <v>103</v>
      </c>
      <c r="BV231" s="30">
        <v>0</v>
      </c>
      <c r="BW231" s="47">
        <v>13102</v>
      </c>
      <c r="BX231" s="52">
        <f t="shared" si="97"/>
        <v>0.68321426709078581</v>
      </c>
      <c r="BY231" s="47">
        <v>49556</v>
      </c>
      <c r="BZ231" s="47">
        <v>27</v>
      </c>
      <c r="CA231" s="47">
        <v>42779</v>
      </c>
      <c r="CB231" s="47">
        <v>930</v>
      </c>
      <c r="CC231" s="47">
        <v>93292</v>
      </c>
      <c r="CD231" s="55">
        <f t="shared" si="98"/>
        <v>4.8647859414924124</v>
      </c>
      <c r="CE231" s="3">
        <f t="shared" si="99"/>
        <v>14081.811320754718</v>
      </c>
      <c r="CF231" s="55">
        <f t="shared" si="100"/>
        <v>35.853958493466564</v>
      </c>
      <c r="CG231" s="55">
        <f t="shared" si="101"/>
        <v>1.4865118947083287</v>
      </c>
      <c r="CH231" s="55">
        <f t="shared" si="102"/>
        <v>1.3826537488207724</v>
      </c>
      <c r="CI231" s="30">
        <v>195</v>
      </c>
      <c r="CJ231" s="30">
        <v>0</v>
      </c>
      <c r="CK231" s="30">
        <v>1</v>
      </c>
      <c r="CL231" s="30">
        <v>196</v>
      </c>
      <c r="CM231" s="30">
        <v>6170</v>
      </c>
      <c r="CN231" s="30">
        <v>0</v>
      </c>
      <c r="CO231" s="30">
        <v>600</v>
      </c>
      <c r="CP231" s="30">
        <v>6770</v>
      </c>
      <c r="CQ231" s="1">
        <f t="shared" si="110"/>
        <v>0.3530270636700214</v>
      </c>
      <c r="CR231" s="47">
        <v>62759</v>
      </c>
      <c r="CS231" s="55">
        <f t="shared" si="103"/>
        <v>3.2726182406007198</v>
      </c>
      <c r="CT231" s="59">
        <v>8320</v>
      </c>
      <c r="CU231" s="29" t="s">
        <v>25</v>
      </c>
      <c r="CV231" s="29" t="s">
        <v>25</v>
      </c>
      <c r="CW231" s="29" t="s">
        <v>25</v>
      </c>
      <c r="CX231" s="35">
        <v>0</v>
      </c>
      <c r="CY231" s="49">
        <v>0</v>
      </c>
      <c r="CZ231" s="35">
        <v>1</v>
      </c>
      <c r="DA231" s="35">
        <v>5.625</v>
      </c>
      <c r="DB231" s="35">
        <v>6.625</v>
      </c>
      <c r="DC231" s="49">
        <f t="shared" si="104"/>
        <v>2894.6415094339623</v>
      </c>
      <c r="DD231" s="30">
        <v>467</v>
      </c>
      <c r="DE231" s="31">
        <v>40920</v>
      </c>
      <c r="DF231" s="35">
        <v>40</v>
      </c>
      <c r="DG231" s="29" t="s">
        <v>25</v>
      </c>
      <c r="DH231" s="29" t="s">
        <v>25</v>
      </c>
      <c r="DI231" s="29" t="s">
        <v>25</v>
      </c>
      <c r="DJ231" s="47">
        <v>495</v>
      </c>
      <c r="DK231" s="47">
        <v>91</v>
      </c>
      <c r="DL231" s="47">
        <v>7</v>
      </c>
      <c r="DM231" s="47">
        <v>7498</v>
      </c>
      <c r="DN231" s="47">
        <v>1224</v>
      </c>
      <c r="DO231" s="47">
        <v>6413</v>
      </c>
      <c r="DP231" s="29" t="s">
        <v>25</v>
      </c>
      <c r="DQ231" s="47">
        <v>33732</v>
      </c>
      <c r="DR231" s="47">
        <v>2602</v>
      </c>
      <c r="DS231" s="30">
        <v>52</v>
      </c>
      <c r="DT231" s="30">
        <v>55</v>
      </c>
      <c r="DU231" s="30">
        <v>55</v>
      </c>
      <c r="DV231" s="30">
        <v>49</v>
      </c>
      <c r="DX231" s="2">
        <f t="shared" si="105"/>
        <v>2602</v>
      </c>
      <c r="DY231" s="33" t="s">
        <v>2184</v>
      </c>
      <c r="DZ231" s="33" t="s">
        <v>667</v>
      </c>
      <c r="EA231" s="33" t="s">
        <v>2031</v>
      </c>
      <c r="EB231" s="33" t="s">
        <v>2027</v>
      </c>
      <c r="EC231" s="36">
        <v>183</v>
      </c>
      <c r="ED231" s="29" t="s">
        <v>665</v>
      </c>
      <c r="EE231" s="29" t="s">
        <v>666</v>
      </c>
      <c r="EF231" s="37">
        <v>41548</v>
      </c>
      <c r="EG231" s="37">
        <v>41912</v>
      </c>
      <c r="EH231" s="29" t="s">
        <v>665</v>
      </c>
      <c r="EI231" s="55">
        <f t="shared" si="106"/>
        <v>2.5841372477446942</v>
      </c>
      <c r="EJ231" s="54">
        <f t="shared" si="107"/>
        <v>1.4079365907076185E-3</v>
      </c>
      <c r="EK231" s="55">
        <f t="shared" si="108"/>
        <v>2.2307451634770818</v>
      </c>
      <c r="EL231" s="54">
        <f t="shared" si="109"/>
        <v>4.8495593679929082E-2</v>
      </c>
    </row>
    <row r="232" spans="1:142" ht="28.8" x14ac:dyDescent="0.3">
      <c r="A232" s="29" t="s">
        <v>1446</v>
      </c>
      <c r="B232" s="29"/>
      <c r="C232" s="30">
        <v>22000</v>
      </c>
      <c r="D232" s="30">
        <v>0</v>
      </c>
      <c r="E232" s="30">
        <v>0</v>
      </c>
      <c r="F232" s="30">
        <v>3800</v>
      </c>
      <c r="H232" s="2">
        <f t="shared" si="85"/>
        <v>3800</v>
      </c>
      <c r="I232" s="1">
        <f t="shared" si="84"/>
        <v>0.17272727272727273</v>
      </c>
      <c r="J232" s="31">
        <v>209524</v>
      </c>
      <c r="K232" s="31">
        <v>58594</v>
      </c>
      <c r="L232" s="31">
        <v>268118</v>
      </c>
      <c r="M232" s="45">
        <f t="shared" si="86"/>
        <v>12.187181818181818</v>
      </c>
      <c r="N232" s="31">
        <v>42867</v>
      </c>
      <c r="O232" s="31">
        <v>10368</v>
      </c>
      <c r="P232" s="31">
        <v>23735</v>
      </c>
      <c r="Q232" s="31">
        <v>76970</v>
      </c>
      <c r="R232" s="45">
        <f t="shared" si="87"/>
        <v>3.4986363636363635</v>
      </c>
      <c r="S232" s="31">
        <v>116291</v>
      </c>
      <c r="T232" s="31">
        <v>461379</v>
      </c>
      <c r="U232" s="31">
        <v>0</v>
      </c>
      <c r="V232" s="31">
        <v>461379</v>
      </c>
      <c r="W232" s="45">
        <f t="shared" si="88"/>
        <v>20.971772727272729</v>
      </c>
      <c r="X232" s="4">
        <f t="shared" si="89"/>
        <v>0.58112311136831107</v>
      </c>
      <c r="Y232" s="4">
        <f t="shared" si="90"/>
        <v>0.16682597170655794</v>
      </c>
      <c r="Z232" s="4">
        <f t="shared" si="91"/>
        <v>0.25205091692513099</v>
      </c>
      <c r="AA232" s="4">
        <f t="shared" si="92"/>
        <v>0</v>
      </c>
      <c r="AB232" s="31">
        <v>222488</v>
      </c>
      <c r="AC232" s="31">
        <v>76970</v>
      </c>
      <c r="AD232" s="31">
        <v>442614</v>
      </c>
      <c r="AE232" s="31">
        <v>442614</v>
      </c>
      <c r="AF232" s="31">
        <v>442614</v>
      </c>
      <c r="AG232" s="31">
        <v>6000</v>
      </c>
      <c r="AH232" s="31">
        <v>0</v>
      </c>
      <c r="AI232" s="31">
        <v>448614</v>
      </c>
      <c r="AJ232" s="45">
        <f t="shared" si="93"/>
        <v>20.391545454545454</v>
      </c>
      <c r="AK232" s="31">
        <v>0</v>
      </c>
      <c r="AL232" s="31">
        <v>0</v>
      </c>
      <c r="AM232" s="31">
        <v>0</v>
      </c>
      <c r="AN232" s="31">
        <v>0</v>
      </c>
      <c r="AO232" s="31">
        <v>0</v>
      </c>
      <c r="AP232" s="31">
        <v>36897</v>
      </c>
      <c r="AQ232" s="31">
        <v>36897</v>
      </c>
      <c r="AR232" s="31">
        <v>485511</v>
      </c>
      <c r="AS232" s="46">
        <f t="shared" si="94"/>
        <v>22.068681818181819</v>
      </c>
      <c r="AT232" s="31">
        <v>0</v>
      </c>
      <c r="AU232" s="31">
        <v>0</v>
      </c>
      <c r="AV232" s="31">
        <v>0</v>
      </c>
      <c r="AW232" s="31">
        <v>0</v>
      </c>
      <c r="AX232" s="31">
        <v>0</v>
      </c>
      <c r="AY232" s="31">
        <v>0</v>
      </c>
      <c r="AZ232" s="31">
        <v>0</v>
      </c>
      <c r="BA232" s="31">
        <v>0</v>
      </c>
      <c r="BB232" s="31">
        <v>0</v>
      </c>
      <c r="BC232" s="33" t="s">
        <v>25</v>
      </c>
      <c r="BD232" s="47">
        <v>60002</v>
      </c>
      <c r="BE232" s="47">
        <v>60108</v>
      </c>
      <c r="BF232" s="45">
        <f t="shared" si="95"/>
        <v>2.732181818181818</v>
      </c>
      <c r="BG232" s="30">
        <v>1628</v>
      </c>
      <c r="BH232" s="30">
        <v>1628</v>
      </c>
      <c r="BI232" s="30">
        <v>1671</v>
      </c>
      <c r="BJ232" s="30">
        <v>2313</v>
      </c>
      <c r="BK232" s="30">
        <v>2313</v>
      </c>
      <c r="BL232" s="30">
        <v>13</v>
      </c>
      <c r="BM232" s="30">
        <v>29929</v>
      </c>
      <c r="BN232" s="30">
        <v>0</v>
      </c>
      <c r="BO232" s="30">
        <v>51</v>
      </c>
      <c r="BP232" s="30">
        <v>0</v>
      </c>
      <c r="BQ232" s="30">
        <v>51</v>
      </c>
      <c r="BR232" s="47">
        <v>63943</v>
      </c>
      <c r="BS232" s="47">
        <v>95662</v>
      </c>
      <c r="BT232" s="1">
        <f t="shared" si="96"/>
        <v>4.3482727272727271</v>
      </c>
      <c r="BU232" s="30">
        <v>34</v>
      </c>
      <c r="BV232" s="30">
        <v>14</v>
      </c>
      <c r="BW232" s="47">
        <v>78681</v>
      </c>
      <c r="BX232" s="52">
        <f t="shared" si="97"/>
        <v>3.5764090909090909</v>
      </c>
      <c r="BY232" s="47">
        <v>108641</v>
      </c>
      <c r="BZ232" s="47">
        <v>1522</v>
      </c>
      <c r="CA232" s="47">
        <v>197821</v>
      </c>
      <c r="CB232" s="47">
        <v>222754</v>
      </c>
      <c r="CC232" s="47">
        <v>530738</v>
      </c>
      <c r="CD232" s="55">
        <f t="shared" si="98"/>
        <v>24.124454545454544</v>
      </c>
      <c r="CE232" s="3">
        <f t="shared" si="99"/>
        <v>68043.333333333328</v>
      </c>
      <c r="CF232" s="55">
        <f t="shared" si="100"/>
        <v>175.97413793103448</v>
      </c>
      <c r="CG232" s="55">
        <f t="shared" si="101"/>
        <v>1.9306865141726326</v>
      </c>
      <c r="CH232" s="55">
        <f t="shared" si="102"/>
        <v>3.2035918128410446</v>
      </c>
      <c r="CI232" s="30">
        <v>77</v>
      </c>
      <c r="CJ232" s="30">
        <v>12</v>
      </c>
      <c r="CK232" s="30">
        <v>50</v>
      </c>
      <c r="CL232" s="30">
        <v>139</v>
      </c>
      <c r="CM232" s="30">
        <v>28246</v>
      </c>
      <c r="CN232" s="30">
        <v>1863</v>
      </c>
      <c r="CO232" s="30">
        <v>38576</v>
      </c>
      <c r="CP232" s="30">
        <v>68685</v>
      </c>
      <c r="CQ232" s="1">
        <f t="shared" si="110"/>
        <v>3.1220454545454546</v>
      </c>
      <c r="CR232" s="47">
        <v>274896</v>
      </c>
      <c r="CS232" s="55">
        <f t="shared" si="103"/>
        <v>12.495272727272727</v>
      </c>
      <c r="CT232" s="59">
        <v>12990</v>
      </c>
      <c r="CU232" s="29" t="s">
        <v>25</v>
      </c>
      <c r="CV232" s="29" t="s">
        <v>25</v>
      </c>
      <c r="CW232" s="29" t="s">
        <v>25</v>
      </c>
      <c r="CX232" s="35">
        <v>2</v>
      </c>
      <c r="CY232" s="49">
        <f>C232/CX232</f>
        <v>11000</v>
      </c>
      <c r="CZ232" s="35">
        <v>0.4</v>
      </c>
      <c r="DA232" s="35">
        <v>5.4</v>
      </c>
      <c r="DB232" s="35">
        <v>7.8000000000000007</v>
      </c>
      <c r="DC232" s="49">
        <f t="shared" si="104"/>
        <v>2820.5128205128203</v>
      </c>
      <c r="DD232" s="30">
        <v>4683</v>
      </c>
      <c r="DE232" s="31">
        <v>45100</v>
      </c>
      <c r="DF232" s="35">
        <v>40</v>
      </c>
      <c r="DG232" s="29" t="s">
        <v>25</v>
      </c>
      <c r="DH232" s="29" t="s">
        <v>25</v>
      </c>
      <c r="DI232" s="29" t="s">
        <v>25</v>
      </c>
      <c r="DJ232" s="47">
        <v>5127</v>
      </c>
      <c r="DK232" s="47">
        <v>236</v>
      </c>
      <c r="DL232" s="47">
        <v>24</v>
      </c>
      <c r="DM232" s="47">
        <v>53928</v>
      </c>
      <c r="DN232" s="47">
        <v>8240</v>
      </c>
      <c r="DO232" s="47">
        <v>7874</v>
      </c>
      <c r="DP232" s="29" t="s">
        <v>2028</v>
      </c>
      <c r="DQ232" s="47">
        <v>0</v>
      </c>
      <c r="DR232" s="47">
        <v>3016</v>
      </c>
      <c r="DS232" s="30">
        <v>52</v>
      </c>
      <c r="DT232" s="30">
        <v>58</v>
      </c>
      <c r="DU232" s="30">
        <v>58</v>
      </c>
      <c r="DV232" s="30">
        <v>58</v>
      </c>
      <c r="DX232" s="2">
        <f t="shared" si="105"/>
        <v>3016</v>
      </c>
      <c r="DY232" s="33" t="s">
        <v>2186</v>
      </c>
      <c r="DZ232" s="33" t="s">
        <v>1448</v>
      </c>
      <c r="EA232" s="33" t="s">
        <v>2030</v>
      </c>
      <c r="EB232" s="33" t="s">
        <v>2027</v>
      </c>
      <c r="EC232" s="36">
        <v>455</v>
      </c>
      <c r="ED232" s="29" t="s">
        <v>1447</v>
      </c>
      <c r="EE232" s="29" t="s">
        <v>1315</v>
      </c>
      <c r="EF232" s="37">
        <v>41548</v>
      </c>
      <c r="EG232" s="37">
        <v>41912</v>
      </c>
      <c r="EH232" s="29" t="s">
        <v>1447</v>
      </c>
      <c r="EI232" s="55">
        <f t="shared" si="106"/>
        <v>4.9382272727272731</v>
      </c>
      <c r="EJ232" s="54">
        <f t="shared" si="107"/>
        <v>6.9181818181818178E-2</v>
      </c>
      <c r="EK232" s="55">
        <f t="shared" si="108"/>
        <v>8.9918636363636359</v>
      </c>
      <c r="EL232" s="54">
        <f t="shared" si="109"/>
        <v>10.125181818181819</v>
      </c>
    </row>
    <row r="233" spans="1:142" ht="28.8" x14ac:dyDescent="0.3">
      <c r="A233" s="29" t="s">
        <v>35</v>
      </c>
      <c r="B233" s="29"/>
      <c r="C233" s="30">
        <v>20624</v>
      </c>
      <c r="D233" s="30">
        <v>0</v>
      </c>
      <c r="E233" s="30">
        <v>0</v>
      </c>
      <c r="F233" s="30">
        <v>10497</v>
      </c>
      <c r="H233" s="2">
        <f t="shared" si="85"/>
        <v>10497</v>
      </c>
      <c r="I233" s="1">
        <f t="shared" si="84"/>
        <v>0.50897013188518236</v>
      </c>
      <c r="J233" s="31">
        <v>114800</v>
      </c>
      <c r="K233" s="31">
        <v>33626</v>
      </c>
      <c r="L233" s="31">
        <v>148426</v>
      </c>
      <c r="M233" s="45">
        <f t="shared" si="86"/>
        <v>7.1967610550814589</v>
      </c>
      <c r="N233" s="31">
        <v>10224</v>
      </c>
      <c r="O233" s="31">
        <v>0</v>
      </c>
      <c r="P233" s="31">
        <v>0</v>
      </c>
      <c r="Q233" s="31">
        <v>10224</v>
      </c>
      <c r="R233" s="45">
        <f t="shared" si="87"/>
        <v>0.49573312645461598</v>
      </c>
      <c r="S233" s="31">
        <v>80338</v>
      </c>
      <c r="T233" s="31">
        <v>238988</v>
      </c>
      <c r="U233" s="31">
        <v>33550</v>
      </c>
      <c r="V233" s="31">
        <v>272538</v>
      </c>
      <c r="W233" s="45">
        <f t="shared" si="88"/>
        <v>13.214604344453065</v>
      </c>
      <c r="X233" s="4">
        <f t="shared" si="89"/>
        <v>0.54460662366348911</v>
      </c>
      <c r="Y233" s="4">
        <f t="shared" si="90"/>
        <v>3.7514034740109635E-2</v>
      </c>
      <c r="Z233" s="4">
        <f t="shared" si="91"/>
        <v>0.29477724207266509</v>
      </c>
      <c r="AA233" s="4">
        <f t="shared" si="92"/>
        <v>0.12310209952373614</v>
      </c>
      <c r="AB233" s="31">
        <v>0</v>
      </c>
      <c r="AC233" s="31">
        <v>10224</v>
      </c>
      <c r="AD233" s="31">
        <v>272538</v>
      </c>
      <c r="AE233" s="31">
        <v>272538</v>
      </c>
      <c r="AF233" s="31">
        <v>224507</v>
      </c>
      <c r="AG233" s="31">
        <v>14481</v>
      </c>
      <c r="AH233" s="31">
        <v>0</v>
      </c>
      <c r="AI233" s="31">
        <v>238988</v>
      </c>
      <c r="AJ233" s="45">
        <f t="shared" si="93"/>
        <v>11.587858805275408</v>
      </c>
      <c r="AK233" s="31">
        <v>0</v>
      </c>
      <c r="AL233" s="31">
        <v>0</v>
      </c>
      <c r="AM233" s="31">
        <v>0</v>
      </c>
      <c r="AN233" s="31">
        <v>0</v>
      </c>
      <c r="AO233" s="31">
        <v>0</v>
      </c>
      <c r="AP233" s="31">
        <v>0</v>
      </c>
      <c r="AQ233" s="31">
        <v>0</v>
      </c>
      <c r="AR233" s="31">
        <v>238988</v>
      </c>
      <c r="AS233" s="46">
        <f t="shared" si="94"/>
        <v>11.587858805275408</v>
      </c>
      <c r="AT233" s="31">
        <v>0</v>
      </c>
      <c r="AU233" s="31">
        <v>0</v>
      </c>
      <c r="AV233" s="31">
        <v>0</v>
      </c>
      <c r="AW233" s="31">
        <v>0</v>
      </c>
      <c r="AX233" s="31">
        <v>0</v>
      </c>
      <c r="AY233" s="31">
        <v>0</v>
      </c>
      <c r="AZ233" s="31">
        <v>0</v>
      </c>
      <c r="BA233" s="31">
        <v>0</v>
      </c>
      <c r="BB233" s="31">
        <v>0</v>
      </c>
      <c r="BC233" s="33" t="s">
        <v>25</v>
      </c>
      <c r="BD233" s="47">
        <v>18846</v>
      </c>
      <c r="BE233" s="47">
        <v>19705</v>
      </c>
      <c r="BF233" s="45">
        <f t="shared" si="95"/>
        <v>0.95544026377036462</v>
      </c>
      <c r="BG233" s="30">
        <v>264</v>
      </c>
      <c r="BH233" s="30">
        <v>284</v>
      </c>
      <c r="BI233" s="30">
        <v>0</v>
      </c>
      <c r="BJ233" s="30">
        <v>542</v>
      </c>
      <c r="BK233" s="30">
        <v>547</v>
      </c>
      <c r="BL233" s="30">
        <v>0</v>
      </c>
      <c r="BM233" s="30">
        <v>0</v>
      </c>
      <c r="BN233" s="30">
        <v>0</v>
      </c>
      <c r="BO233" s="30">
        <v>51</v>
      </c>
      <c r="BP233" s="30">
        <v>0</v>
      </c>
      <c r="BQ233" s="30">
        <v>51</v>
      </c>
      <c r="BR233" s="47">
        <v>19652</v>
      </c>
      <c r="BS233" s="47">
        <v>20536</v>
      </c>
      <c r="BT233" s="1">
        <f t="shared" si="96"/>
        <v>0.99573312645461598</v>
      </c>
      <c r="BU233" s="30">
        <v>19</v>
      </c>
      <c r="BV233" s="30">
        <v>6</v>
      </c>
      <c r="BW233" s="47">
        <v>4784</v>
      </c>
      <c r="BX233" s="52">
        <f t="shared" si="97"/>
        <v>0.23196276183087663</v>
      </c>
      <c r="BY233" s="47">
        <v>1267</v>
      </c>
      <c r="BZ233" s="47">
        <v>0</v>
      </c>
      <c r="CA233" s="47">
        <v>6814</v>
      </c>
      <c r="CB233" s="47">
        <v>0</v>
      </c>
      <c r="CC233" s="47">
        <v>8081</v>
      </c>
      <c r="CD233" s="55">
        <f t="shared" si="98"/>
        <v>0.39182505818463925</v>
      </c>
      <c r="CE233" s="3">
        <f t="shared" si="99"/>
        <v>1482.7522935779816</v>
      </c>
      <c r="CF233" s="55">
        <f t="shared" si="100"/>
        <v>3.1690196078431372</v>
      </c>
      <c r="CG233" s="55">
        <f t="shared" si="101"/>
        <v>0.50493626593351659</v>
      </c>
      <c r="CH233" s="55">
        <f t="shared" si="102"/>
        <v>0.39350409037787298</v>
      </c>
      <c r="CI233" s="30">
        <v>22</v>
      </c>
      <c r="CJ233" s="30">
        <v>5</v>
      </c>
      <c r="CK233" s="30">
        <v>10</v>
      </c>
      <c r="CL233" s="30">
        <v>37</v>
      </c>
      <c r="CM233" s="30">
        <v>1667</v>
      </c>
      <c r="CN233" s="30">
        <v>605</v>
      </c>
      <c r="CO233" s="30">
        <v>640</v>
      </c>
      <c r="CP233" s="30">
        <v>2912</v>
      </c>
      <c r="CQ233" s="1">
        <f t="shared" si="110"/>
        <v>0.14119472459270752</v>
      </c>
      <c r="CR233" s="47">
        <v>16004</v>
      </c>
      <c r="CS233" s="55">
        <f t="shared" si="103"/>
        <v>0.775989138867339</v>
      </c>
      <c r="CT233" s="59">
        <v>8952</v>
      </c>
      <c r="CU233" s="29" t="s">
        <v>25</v>
      </c>
      <c r="CV233" s="29" t="s">
        <v>25</v>
      </c>
      <c r="CW233" s="29" t="s">
        <v>25</v>
      </c>
      <c r="CX233" s="35">
        <v>0</v>
      </c>
      <c r="CY233" s="49">
        <v>0</v>
      </c>
      <c r="CZ233" s="35">
        <v>1</v>
      </c>
      <c r="DA233" s="35">
        <v>4.45</v>
      </c>
      <c r="DB233" s="35">
        <v>5.45</v>
      </c>
      <c r="DC233" s="49">
        <f t="shared" si="104"/>
        <v>3784.2201834862385</v>
      </c>
      <c r="DD233" s="30">
        <v>320</v>
      </c>
      <c r="DE233" s="31">
        <v>45000</v>
      </c>
      <c r="DF233" s="35">
        <v>40</v>
      </c>
      <c r="DG233" s="29" t="s">
        <v>25</v>
      </c>
      <c r="DH233" s="29" t="s">
        <v>25</v>
      </c>
      <c r="DI233" s="29" t="s">
        <v>25</v>
      </c>
      <c r="DJ233" s="47">
        <v>20</v>
      </c>
      <c r="DK233" s="47">
        <v>22</v>
      </c>
      <c r="DL233" s="47">
        <v>95</v>
      </c>
      <c r="DM233" s="47">
        <v>9947</v>
      </c>
      <c r="DN233" s="47">
        <v>200</v>
      </c>
      <c r="DO233" s="47">
        <v>2022</v>
      </c>
      <c r="DP233" s="29" t="s">
        <v>2028</v>
      </c>
      <c r="DQ233" s="47">
        <v>0</v>
      </c>
      <c r="DR233" s="47">
        <v>2550</v>
      </c>
      <c r="DS233" s="30">
        <v>52</v>
      </c>
      <c r="DT233" s="30">
        <v>51</v>
      </c>
      <c r="DU233" s="30">
        <v>51</v>
      </c>
      <c r="DV233" s="30">
        <v>51</v>
      </c>
      <c r="DX233" s="2">
        <f t="shared" si="105"/>
        <v>2550</v>
      </c>
      <c r="DY233" s="33" t="s">
        <v>2180</v>
      </c>
      <c r="DZ233" s="33" t="s">
        <v>1697</v>
      </c>
      <c r="EA233" s="33" t="s">
        <v>2030</v>
      </c>
      <c r="EB233" s="33" t="s">
        <v>2027</v>
      </c>
      <c r="EC233" s="36">
        <v>579</v>
      </c>
      <c r="ED233" s="29" t="s">
        <v>1696</v>
      </c>
      <c r="EE233" s="29" t="s">
        <v>35</v>
      </c>
      <c r="EF233" s="37">
        <v>41548</v>
      </c>
      <c r="EG233" s="37">
        <v>41912</v>
      </c>
      <c r="EH233" s="29" t="s">
        <v>1696</v>
      </c>
      <c r="EI233" s="55">
        <f t="shared" si="106"/>
        <v>6.1433281613653995E-2</v>
      </c>
      <c r="EJ233" s="54">
        <f t="shared" si="107"/>
        <v>0</v>
      </c>
      <c r="EK233" s="55">
        <f t="shared" si="108"/>
        <v>0.33039177657098528</v>
      </c>
      <c r="EL233" s="54">
        <f t="shared" si="109"/>
        <v>0</v>
      </c>
    </row>
    <row r="234" spans="1:142" ht="28.8" x14ac:dyDescent="0.3">
      <c r="A234" s="29" t="s">
        <v>1400</v>
      </c>
      <c r="B234" s="29"/>
      <c r="C234" s="30">
        <v>660</v>
      </c>
      <c r="D234" s="30">
        <v>0</v>
      </c>
      <c r="E234" s="30">
        <v>0</v>
      </c>
      <c r="F234" s="30">
        <v>882</v>
      </c>
      <c r="H234" s="2">
        <f t="shared" si="85"/>
        <v>882</v>
      </c>
      <c r="I234" s="1">
        <f t="shared" si="84"/>
        <v>1.3363636363636364</v>
      </c>
      <c r="J234" s="31">
        <v>11362</v>
      </c>
      <c r="K234" s="31">
        <v>210</v>
      </c>
      <c r="L234" s="31">
        <v>11572</v>
      </c>
      <c r="M234" s="45">
        <f t="shared" si="86"/>
        <v>17.533333333333335</v>
      </c>
      <c r="N234" s="31">
        <v>4202</v>
      </c>
      <c r="O234" s="31">
        <v>0</v>
      </c>
      <c r="P234" s="31">
        <v>255</v>
      </c>
      <c r="Q234" s="31">
        <v>4457</v>
      </c>
      <c r="R234" s="45">
        <f t="shared" si="87"/>
        <v>6.7530303030303029</v>
      </c>
      <c r="S234" s="31">
        <v>3063</v>
      </c>
      <c r="T234" s="31">
        <v>19092</v>
      </c>
      <c r="U234" s="31">
        <v>0</v>
      </c>
      <c r="V234" s="31">
        <v>19092</v>
      </c>
      <c r="W234" s="45">
        <f t="shared" si="88"/>
        <v>28.927272727272726</v>
      </c>
      <c r="X234" s="4">
        <f t="shared" si="89"/>
        <v>0.60611774565262933</v>
      </c>
      <c r="Y234" s="4">
        <f t="shared" si="90"/>
        <v>0.23344856484391369</v>
      </c>
      <c r="Z234" s="4">
        <f t="shared" si="91"/>
        <v>0.16043368950345693</v>
      </c>
      <c r="AA234" s="4">
        <f t="shared" si="92"/>
        <v>0</v>
      </c>
      <c r="AB234" s="31">
        <v>0</v>
      </c>
      <c r="AC234" s="31">
        <v>4457</v>
      </c>
      <c r="AD234" s="31">
        <v>19092</v>
      </c>
      <c r="AE234" s="31">
        <v>15250</v>
      </c>
      <c r="AF234" s="31">
        <v>3000</v>
      </c>
      <c r="AG234" s="31">
        <v>12250</v>
      </c>
      <c r="AH234" s="31">
        <v>0</v>
      </c>
      <c r="AI234" s="31">
        <v>15250</v>
      </c>
      <c r="AJ234" s="45">
        <f t="shared" si="93"/>
        <v>23.106060606060606</v>
      </c>
      <c r="AK234" s="31">
        <v>0</v>
      </c>
      <c r="AL234" s="31">
        <v>0</v>
      </c>
      <c r="AM234" s="31">
        <v>0</v>
      </c>
      <c r="AN234" s="31">
        <v>0</v>
      </c>
      <c r="AO234" s="31">
        <v>0</v>
      </c>
      <c r="AP234" s="31">
        <v>1085</v>
      </c>
      <c r="AQ234" s="31">
        <v>1085</v>
      </c>
      <c r="AR234" s="31">
        <v>16335</v>
      </c>
      <c r="AS234" s="46">
        <f t="shared" si="94"/>
        <v>24.75</v>
      </c>
      <c r="AT234" s="31">
        <v>0</v>
      </c>
      <c r="AU234" s="31">
        <v>0</v>
      </c>
      <c r="AV234" s="31">
        <v>0</v>
      </c>
      <c r="AW234" s="31">
        <v>0</v>
      </c>
      <c r="AX234" s="31">
        <v>0</v>
      </c>
      <c r="AY234" s="31">
        <v>0</v>
      </c>
      <c r="AZ234" s="31">
        <v>0</v>
      </c>
      <c r="BA234" s="31">
        <v>0</v>
      </c>
      <c r="BB234" s="31">
        <v>0</v>
      </c>
      <c r="BC234" s="33" t="s">
        <v>25</v>
      </c>
      <c r="BD234" s="47">
        <v>8747</v>
      </c>
      <c r="BE234" s="47">
        <v>8859</v>
      </c>
      <c r="BF234" s="45">
        <f t="shared" si="95"/>
        <v>13.422727272727272</v>
      </c>
      <c r="BG234" s="30">
        <v>268</v>
      </c>
      <c r="BH234" s="30">
        <v>275</v>
      </c>
      <c r="BI234" s="30">
        <v>948</v>
      </c>
      <c r="BJ234" s="30">
        <v>293</v>
      </c>
      <c r="BK234" s="30">
        <v>300</v>
      </c>
      <c r="BL234" s="30">
        <v>23</v>
      </c>
      <c r="BM234" s="30">
        <v>3413</v>
      </c>
      <c r="BN234" s="30">
        <v>0</v>
      </c>
      <c r="BO234" s="30">
        <v>51</v>
      </c>
      <c r="BP234" s="30">
        <v>16</v>
      </c>
      <c r="BQ234" s="30">
        <v>67</v>
      </c>
      <c r="BR234" s="47">
        <v>9308</v>
      </c>
      <c r="BS234" s="47">
        <v>13818</v>
      </c>
      <c r="BT234" s="1">
        <f t="shared" si="96"/>
        <v>20.936363636363637</v>
      </c>
      <c r="BU234" s="30">
        <v>16</v>
      </c>
      <c r="BV234" s="30">
        <v>0</v>
      </c>
      <c r="BW234" s="47">
        <v>575</v>
      </c>
      <c r="BX234" s="52">
        <f t="shared" si="97"/>
        <v>0.87121212121212122</v>
      </c>
      <c r="BY234" s="47">
        <v>750</v>
      </c>
      <c r="BZ234" s="47">
        <v>0</v>
      </c>
      <c r="CA234" s="47">
        <v>1900</v>
      </c>
      <c r="CB234" s="47">
        <v>45</v>
      </c>
      <c r="CC234" s="47">
        <v>2695</v>
      </c>
      <c r="CD234" s="55">
        <f t="shared" si="98"/>
        <v>4.083333333333333</v>
      </c>
      <c r="CE234" s="3">
        <f t="shared" si="99"/>
        <v>3717.2413793103442</v>
      </c>
      <c r="CF234" s="55">
        <f t="shared" si="100"/>
        <v>2.5352775164628412</v>
      </c>
      <c r="CG234" s="55">
        <f t="shared" si="101"/>
        <v>0.89833333333333332</v>
      </c>
      <c r="CH234" s="55">
        <f t="shared" si="102"/>
        <v>0.19177883919525257</v>
      </c>
      <c r="CI234" s="30">
        <v>55</v>
      </c>
      <c r="CJ234" s="30">
        <v>0</v>
      </c>
      <c r="CK234" s="30">
        <v>11</v>
      </c>
      <c r="CL234" s="30">
        <v>66</v>
      </c>
      <c r="CM234" s="30">
        <v>300</v>
      </c>
      <c r="CN234" s="30">
        <v>0</v>
      </c>
      <c r="CO234" s="30">
        <v>200</v>
      </c>
      <c r="CP234" s="30">
        <v>500</v>
      </c>
      <c r="CQ234" s="1">
        <f t="shared" si="110"/>
        <v>0.75757575757575757</v>
      </c>
      <c r="CR234" s="47">
        <v>3000</v>
      </c>
      <c r="CS234" s="55">
        <f t="shared" si="103"/>
        <v>4.5454545454545459</v>
      </c>
      <c r="CT234" s="59">
        <v>375</v>
      </c>
      <c r="CU234" s="29" t="s">
        <v>25</v>
      </c>
      <c r="CV234" s="29" t="s">
        <v>25</v>
      </c>
      <c r="CW234" s="29" t="s">
        <v>25</v>
      </c>
      <c r="CX234" s="35">
        <v>0</v>
      </c>
      <c r="CY234" s="49">
        <v>0</v>
      </c>
      <c r="CZ234" s="35">
        <v>0.52500000000000002</v>
      </c>
      <c r="DA234" s="35">
        <v>0.2</v>
      </c>
      <c r="DB234" s="35">
        <v>0.72500000000000009</v>
      </c>
      <c r="DC234" s="49">
        <f t="shared" si="104"/>
        <v>910.34482758620675</v>
      </c>
      <c r="DD234" s="30">
        <v>20</v>
      </c>
      <c r="DE234" s="31">
        <v>10920</v>
      </c>
      <c r="DF234" s="35">
        <v>21</v>
      </c>
      <c r="DG234" s="29" t="s">
        <v>25</v>
      </c>
      <c r="DH234" s="29" t="s">
        <v>25</v>
      </c>
      <c r="DI234" s="29" t="s">
        <v>25</v>
      </c>
      <c r="DJ234" s="47">
        <v>4</v>
      </c>
      <c r="DK234" s="47">
        <v>10</v>
      </c>
      <c r="DL234" s="47">
        <v>2</v>
      </c>
      <c r="DM234" s="47">
        <v>450</v>
      </c>
      <c r="DN234" s="47">
        <v>25</v>
      </c>
      <c r="DO234" s="47">
        <v>50</v>
      </c>
      <c r="DP234" s="29" t="s">
        <v>25</v>
      </c>
      <c r="DQ234" s="47">
        <v>4200</v>
      </c>
      <c r="DR234" s="47">
        <v>1063</v>
      </c>
      <c r="DS234" s="30">
        <v>50</v>
      </c>
      <c r="DT234" s="30">
        <v>21</v>
      </c>
      <c r="DU234" s="30">
        <v>21</v>
      </c>
      <c r="DV234" s="30">
        <v>21</v>
      </c>
      <c r="DX234" s="2">
        <f t="shared" si="105"/>
        <v>1063</v>
      </c>
      <c r="DY234" s="33" t="s">
        <v>2184</v>
      </c>
      <c r="DZ234" s="33" t="s">
        <v>1403</v>
      </c>
      <c r="EA234" s="33" t="s">
        <v>2030</v>
      </c>
      <c r="EB234" s="33" t="s">
        <v>2027</v>
      </c>
      <c r="EC234" s="36">
        <v>436</v>
      </c>
      <c r="ED234" s="29" t="s">
        <v>1401</v>
      </c>
      <c r="EE234" s="29" t="s">
        <v>1402</v>
      </c>
      <c r="EF234" s="37">
        <v>41640</v>
      </c>
      <c r="EG234" s="37">
        <v>42004</v>
      </c>
      <c r="EH234" s="29" t="s">
        <v>1401</v>
      </c>
      <c r="EI234" s="55">
        <f t="shared" si="106"/>
        <v>1.1363636363636365</v>
      </c>
      <c r="EJ234" s="54">
        <f t="shared" si="107"/>
        <v>0</v>
      </c>
      <c r="EK234" s="55">
        <f t="shared" si="108"/>
        <v>2.8787878787878789</v>
      </c>
      <c r="EL234" s="54">
        <f t="shared" si="109"/>
        <v>6.8181818181818177E-2</v>
      </c>
    </row>
    <row r="235" spans="1:142" ht="28.8" x14ac:dyDescent="0.3">
      <c r="A235" s="29" t="s">
        <v>2057</v>
      </c>
      <c r="B235" s="29"/>
      <c r="C235" s="30">
        <v>8862</v>
      </c>
      <c r="D235" s="30">
        <v>0</v>
      </c>
      <c r="E235" s="30">
        <v>0</v>
      </c>
      <c r="F235" s="30">
        <v>5500</v>
      </c>
      <c r="H235" s="2">
        <f t="shared" si="85"/>
        <v>5500</v>
      </c>
      <c r="I235" s="1">
        <f t="shared" si="84"/>
        <v>0.62062739787858268</v>
      </c>
      <c r="J235" s="31">
        <v>342559</v>
      </c>
      <c r="K235" s="31">
        <v>99123</v>
      </c>
      <c r="L235" s="31">
        <v>441682</v>
      </c>
      <c r="M235" s="45">
        <f t="shared" si="86"/>
        <v>49.839990972692398</v>
      </c>
      <c r="N235" s="31">
        <v>69122</v>
      </c>
      <c r="O235" s="31">
        <v>25769</v>
      </c>
      <c r="P235" s="31">
        <v>17806</v>
      </c>
      <c r="Q235" s="31">
        <v>112697</v>
      </c>
      <c r="R235" s="45">
        <f t="shared" si="87"/>
        <v>12.716881065222298</v>
      </c>
      <c r="S235" s="31">
        <v>53653</v>
      </c>
      <c r="T235" s="31">
        <v>608032</v>
      </c>
      <c r="U235" s="31">
        <v>0</v>
      </c>
      <c r="V235" s="31">
        <v>608032</v>
      </c>
      <c r="W235" s="45">
        <f t="shared" si="88"/>
        <v>68.6111487248928</v>
      </c>
      <c r="X235" s="4">
        <f t="shared" si="89"/>
        <v>0.7264124256618073</v>
      </c>
      <c r="Y235" s="4">
        <f t="shared" si="90"/>
        <v>0.18534715278143254</v>
      </c>
      <c r="Z235" s="4">
        <f t="shared" si="91"/>
        <v>8.8240421556760165E-2</v>
      </c>
      <c r="AA235" s="4">
        <f t="shared" si="92"/>
        <v>0</v>
      </c>
      <c r="AB235" s="31">
        <v>0</v>
      </c>
      <c r="AC235" s="31">
        <v>112697</v>
      </c>
      <c r="AD235" s="31">
        <v>608032</v>
      </c>
      <c r="AE235" s="31">
        <v>608032</v>
      </c>
      <c r="AF235" s="31">
        <v>608032</v>
      </c>
      <c r="AG235" s="31">
        <v>0</v>
      </c>
      <c r="AH235" s="31">
        <v>0</v>
      </c>
      <c r="AI235" s="31">
        <v>608032</v>
      </c>
      <c r="AJ235" s="45">
        <f t="shared" si="93"/>
        <v>68.6111487248928</v>
      </c>
      <c r="AK235" s="31">
        <v>0</v>
      </c>
      <c r="AL235" s="31">
        <v>0</v>
      </c>
      <c r="AM235" s="31">
        <v>0</v>
      </c>
      <c r="AN235" s="31">
        <v>0</v>
      </c>
      <c r="AO235" s="31">
        <v>0</v>
      </c>
      <c r="AP235" s="31">
        <v>0</v>
      </c>
      <c r="AQ235" s="31">
        <v>0</v>
      </c>
      <c r="AR235" s="31">
        <v>608032</v>
      </c>
      <c r="AS235" s="46">
        <f t="shared" si="94"/>
        <v>68.6111487248928</v>
      </c>
      <c r="AT235" s="31">
        <v>0</v>
      </c>
      <c r="AU235" s="31">
        <v>0</v>
      </c>
      <c r="AV235" s="31">
        <v>0</v>
      </c>
      <c r="AW235" s="31">
        <v>0</v>
      </c>
      <c r="AX235" s="31">
        <v>0</v>
      </c>
      <c r="AY235" s="31">
        <v>0</v>
      </c>
      <c r="AZ235" s="31">
        <v>0</v>
      </c>
      <c r="BA235" s="31">
        <v>0</v>
      </c>
      <c r="BB235" s="31">
        <v>0</v>
      </c>
      <c r="BC235" s="33" t="s">
        <v>25</v>
      </c>
      <c r="BD235" s="47">
        <v>25869</v>
      </c>
      <c r="BE235" s="47">
        <v>26922</v>
      </c>
      <c r="BF235" s="45">
        <f t="shared" si="95"/>
        <v>3.0379146919431279</v>
      </c>
      <c r="BG235" s="30">
        <v>3502</v>
      </c>
      <c r="BH235" s="30">
        <v>3531</v>
      </c>
      <c r="BI235" s="30">
        <v>534</v>
      </c>
      <c r="BJ235" s="30">
        <v>2168</v>
      </c>
      <c r="BK235" s="30">
        <v>2228</v>
      </c>
      <c r="BL235" s="30">
        <v>0</v>
      </c>
      <c r="BM235" s="30">
        <v>2522</v>
      </c>
      <c r="BN235" s="30">
        <v>2</v>
      </c>
      <c r="BO235" s="30">
        <v>51</v>
      </c>
      <c r="BP235" s="30">
        <v>0</v>
      </c>
      <c r="BQ235" s="30">
        <v>53</v>
      </c>
      <c r="BR235" s="47">
        <v>31539</v>
      </c>
      <c r="BS235" s="47">
        <v>35739</v>
      </c>
      <c r="BT235" s="1">
        <f t="shared" si="96"/>
        <v>4.0328368314150307</v>
      </c>
      <c r="BU235" s="30">
        <v>112</v>
      </c>
      <c r="BV235" s="30">
        <v>2</v>
      </c>
      <c r="BW235" s="47">
        <v>500</v>
      </c>
      <c r="BX235" s="52">
        <f t="shared" si="97"/>
        <v>5.6420672534416613E-2</v>
      </c>
      <c r="BY235" s="47">
        <v>11082</v>
      </c>
      <c r="BZ235" s="47">
        <v>385</v>
      </c>
      <c r="CA235" s="47">
        <v>22360</v>
      </c>
      <c r="CB235" s="47">
        <v>2176</v>
      </c>
      <c r="CC235" s="47">
        <v>36003</v>
      </c>
      <c r="CD235" s="55">
        <f t="shared" si="98"/>
        <v>4.0626269465132028</v>
      </c>
      <c r="CE235" s="3">
        <f t="shared" si="99"/>
        <v>6057.2870662460573</v>
      </c>
      <c r="CF235" s="55">
        <f t="shared" si="100"/>
        <v>24.130697050938338</v>
      </c>
      <c r="CG235" s="55">
        <f t="shared" si="101"/>
        <v>1.8001499999999999</v>
      </c>
      <c r="CH235" s="55">
        <f t="shared" si="102"/>
        <v>0.93572847589468089</v>
      </c>
      <c r="CI235" s="30">
        <v>151</v>
      </c>
      <c r="CJ235" s="30">
        <v>0</v>
      </c>
      <c r="CK235" s="30">
        <v>15</v>
      </c>
      <c r="CL235" s="30">
        <v>166</v>
      </c>
      <c r="CM235" s="30">
        <v>1650</v>
      </c>
      <c r="CN235" s="30">
        <v>0</v>
      </c>
      <c r="CO235" s="30">
        <v>6000</v>
      </c>
      <c r="CP235" s="30">
        <v>7650</v>
      </c>
      <c r="CQ235" s="1">
        <f t="shared" si="110"/>
        <v>0.86323628977657418</v>
      </c>
      <c r="CR235" s="47">
        <v>20000</v>
      </c>
      <c r="CS235" s="55">
        <f t="shared" si="103"/>
        <v>2.2568269013766642</v>
      </c>
      <c r="CT235" s="59">
        <v>2359</v>
      </c>
      <c r="CU235" s="29" t="s">
        <v>25</v>
      </c>
      <c r="CV235" s="29" t="s">
        <v>25</v>
      </c>
      <c r="CW235" s="29" t="s">
        <v>25</v>
      </c>
      <c r="CX235" s="35">
        <v>2</v>
      </c>
      <c r="CY235" s="49">
        <f>C235/CX235</f>
        <v>4431</v>
      </c>
      <c r="CZ235" s="35">
        <v>0</v>
      </c>
      <c r="DA235" s="35">
        <v>3.9437500000000001</v>
      </c>
      <c r="DB235" s="35">
        <v>5.9437499999999996</v>
      </c>
      <c r="DC235" s="49">
        <f t="shared" si="104"/>
        <v>1490.9779179810726</v>
      </c>
      <c r="DD235" s="30">
        <v>100</v>
      </c>
      <c r="DE235" s="31">
        <v>118796</v>
      </c>
      <c r="DF235" s="35">
        <v>40</v>
      </c>
      <c r="DG235" s="29" t="s">
        <v>25</v>
      </c>
      <c r="DH235" s="29" t="s">
        <v>25</v>
      </c>
      <c r="DI235" s="29" t="s">
        <v>25</v>
      </c>
      <c r="DJ235" s="47">
        <v>3</v>
      </c>
      <c r="DK235" s="47">
        <v>0</v>
      </c>
      <c r="DL235" s="47">
        <v>10</v>
      </c>
      <c r="DM235" s="47">
        <v>-1</v>
      </c>
      <c r="DN235" s="47">
        <v>7</v>
      </c>
      <c r="DO235" s="47">
        <v>4400</v>
      </c>
      <c r="DP235" s="29" t="s">
        <v>2028</v>
      </c>
      <c r="DQ235" s="47">
        <v>0</v>
      </c>
      <c r="DR235" s="47">
        <v>1492</v>
      </c>
      <c r="DS235" s="30">
        <v>51</v>
      </c>
      <c r="DT235" s="30">
        <v>40</v>
      </c>
      <c r="DU235" s="30">
        <v>40</v>
      </c>
      <c r="DV235" s="30">
        <v>40</v>
      </c>
      <c r="DX235" s="2">
        <f t="shared" si="105"/>
        <v>1492</v>
      </c>
      <c r="DY235" s="33" t="s">
        <v>2182</v>
      </c>
      <c r="DZ235" s="33" t="s">
        <v>669</v>
      </c>
      <c r="EA235" s="33" t="s">
        <v>2030</v>
      </c>
      <c r="EB235" s="33" t="s">
        <v>2027</v>
      </c>
      <c r="EC235" s="36">
        <v>184</v>
      </c>
      <c r="ED235" s="29" t="s">
        <v>668</v>
      </c>
      <c r="EE235" s="29" t="s">
        <v>269</v>
      </c>
      <c r="EF235" s="37">
        <v>41548</v>
      </c>
      <c r="EG235" s="37">
        <v>41912</v>
      </c>
      <c r="EH235" s="29" t="s">
        <v>668</v>
      </c>
      <c r="EI235" s="55">
        <f t="shared" si="106"/>
        <v>1.2505077860528098</v>
      </c>
      <c r="EJ235" s="54">
        <f t="shared" si="107"/>
        <v>4.3443917851500792E-2</v>
      </c>
      <c r="EK235" s="55">
        <f t="shared" si="108"/>
        <v>2.5231324757391107</v>
      </c>
      <c r="EL235" s="54">
        <f t="shared" si="109"/>
        <v>0.24554276686978108</v>
      </c>
    </row>
    <row r="236" spans="1:142" ht="28.8" x14ac:dyDescent="0.3">
      <c r="A236" s="29" t="s">
        <v>670</v>
      </c>
      <c r="B236" s="29"/>
      <c r="C236" s="30">
        <v>8356</v>
      </c>
      <c r="D236" s="30">
        <v>0</v>
      </c>
      <c r="E236" s="30">
        <v>0</v>
      </c>
      <c r="F236" s="30">
        <v>12382</v>
      </c>
      <c r="H236" s="2">
        <f t="shared" si="85"/>
        <v>12382</v>
      </c>
      <c r="I236" s="1">
        <f t="shared" si="84"/>
        <v>1.4818094782192437</v>
      </c>
      <c r="J236" s="31">
        <v>209099</v>
      </c>
      <c r="K236" s="31">
        <v>71652</v>
      </c>
      <c r="L236" s="31">
        <v>280751</v>
      </c>
      <c r="M236" s="45">
        <f t="shared" si="86"/>
        <v>33.598731450454764</v>
      </c>
      <c r="N236" s="31">
        <v>17749</v>
      </c>
      <c r="O236" s="31">
        <v>0</v>
      </c>
      <c r="P236" s="31">
        <v>5267</v>
      </c>
      <c r="Q236" s="31">
        <v>23016</v>
      </c>
      <c r="R236" s="45">
        <f t="shared" si="87"/>
        <v>2.7544279559597893</v>
      </c>
      <c r="S236" s="31">
        <v>96759</v>
      </c>
      <c r="T236" s="31">
        <v>400526</v>
      </c>
      <c r="U236" s="31">
        <v>0</v>
      </c>
      <c r="V236" s="31">
        <v>400526</v>
      </c>
      <c r="W236" s="45">
        <f t="shared" si="88"/>
        <v>47.932742939205362</v>
      </c>
      <c r="X236" s="4">
        <f t="shared" si="89"/>
        <v>0.70095574319769505</v>
      </c>
      <c r="Y236" s="4">
        <f t="shared" si="90"/>
        <v>5.7464434268936347E-2</v>
      </c>
      <c r="Z236" s="4">
        <f t="shared" si="91"/>
        <v>0.24157982253336863</v>
      </c>
      <c r="AA236" s="4">
        <f t="shared" si="92"/>
        <v>0</v>
      </c>
      <c r="AB236" s="31">
        <v>0</v>
      </c>
      <c r="AC236" s="31">
        <v>23016</v>
      </c>
      <c r="AD236" s="31">
        <v>400526</v>
      </c>
      <c r="AE236" s="31">
        <v>400526</v>
      </c>
      <c r="AF236" s="31">
        <v>400526</v>
      </c>
      <c r="AG236" s="31">
        <v>0</v>
      </c>
      <c r="AH236" s="31">
        <v>0</v>
      </c>
      <c r="AI236" s="31">
        <v>400526</v>
      </c>
      <c r="AJ236" s="45">
        <f t="shared" si="93"/>
        <v>47.932742939205362</v>
      </c>
      <c r="AK236" s="31">
        <v>0</v>
      </c>
      <c r="AL236" s="31">
        <v>0</v>
      </c>
      <c r="AM236" s="31">
        <v>0</v>
      </c>
      <c r="AN236" s="31">
        <v>0</v>
      </c>
      <c r="AO236" s="31">
        <v>0</v>
      </c>
      <c r="AP236" s="31">
        <v>0</v>
      </c>
      <c r="AQ236" s="31">
        <v>0</v>
      </c>
      <c r="AR236" s="31">
        <v>400526</v>
      </c>
      <c r="AS236" s="46">
        <f t="shared" si="94"/>
        <v>47.932742939205362</v>
      </c>
      <c r="AT236" s="31">
        <v>0</v>
      </c>
      <c r="AU236" s="31">
        <v>0</v>
      </c>
      <c r="AV236" s="31">
        <v>0</v>
      </c>
      <c r="AW236" s="31">
        <v>0</v>
      </c>
      <c r="AX236" s="31">
        <v>0</v>
      </c>
      <c r="AY236" s="31">
        <v>0</v>
      </c>
      <c r="AZ236" s="31">
        <v>0</v>
      </c>
      <c r="BA236" s="31">
        <v>0</v>
      </c>
      <c r="BB236" s="31">
        <v>0</v>
      </c>
      <c r="BC236" s="33" t="s">
        <v>25</v>
      </c>
      <c r="BD236" s="47">
        <v>37992</v>
      </c>
      <c r="BE236" s="47">
        <v>41088</v>
      </c>
      <c r="BF236" s="45">
        <f t="shared" si="95"/>
        <v>4.9171852561033988</v>
      </c>
      <c r="BG236" s="30">
        <v>1314</v>
      </c>
      <c r="BH236" s="30">
        <v>1348</v>
      </c>
      <c r="BI236" s="30">
        <v>0</v>
      </c>
      <c r="BJ236" s="30">
        <v>2062</v>
      </c>
      <c r="BK236" s="30">
        <v>2215</v>
      </c>
      <c r="BL236" s="30">
        <v>0</v>
      </c>
      <c r="BM236" s="30">
        <v>0</v>
      </c>
      <c r="BN236" s="30">
        <v>0</v>
      </c>
      <c r="BO236" s="30">
        <v>51</v>
      </c>
      <c r="BP236" s="30">
        <v>0</v>
      </c>
      <c r="BQ236" s="30">
        <v>51</v>
      </c>
      <c r="BR236" s="47">
        <v>41368</v>
      </c>
      <c r="BS236" s="47">
        <v>44651</v>
      </c>
      <c r="BT236" s="1">
        <f t="shared" si="96"/>
        <v>5.3435854475825755</v>
      </c>
      <c r="BU236" s="30">
        <v>75</v>
      </c>
      <c r="BV236" s="30">
        <v>99</v>
      </c>
      <c r="BW236" s="47">
        <v>26650</v>
      </c>
      <c r="BX236" s="52">
        <f t="shared" si="97"/>
        <v>3.1893250359023457</v>
      </c>
      <c r="BY236" s="47">
        <v>28882</v>
      </c>
      <c r="BZ236" s="47">
        <v>0</v>
      </c>
      <c r="CA236" s="47">
        <v>49363</v>
      </c>
      <c r="CB236" s="47">
        <v>0</v>
      </c>
      <c r="CC236" s="47">
        <v>78245</v>
      </c>
      <c r="CD236" s="55">
        <f t="shared" si="98"/>
        <v>9.3639301101005259</v>
      </c>
      <c r="CE236" s="3">
        <f t="shared" si="99"/>
        <v>12037.692307692309</v>
      </c>
      <c r="CF236" s="55">
        <f t="shared" si="100"/>
        <v>33.309919114516816</v>
      </c>
      <c r="CG236" s="55">
        <f t="shared" si="101"/>
        <v>1.0616689280868385</v>
      </c>
      <c r="CH236" s="55">
        <f t="shared" si="102"/>
        <v>1.7523683680096751</v>
      </c>
      <c r="CI236" s="30">
        <v>83</v>
      </c>
      <c r="CJ236" s="30">
        <v>3</v>
      </c>
      <c r="CK236" s="30">
        <v>13</v>
      </c>
      <c r="CL236" s="30">
        <v>99</v>
      </c>
      <c r="CM236" s="30">
        <v>3827</v>
      </c>
      <c r="CN236" s="30">
        <v>192</v>
      </c>
      <c r="CO236" s="30">
        <v>406</v>
      </c>
      <c r="CP236" s="30">
        <v>4425</v>
      </c>
      <c r="CQ236" s="1">
        <f t="shared" si="110"/>
        <v>0.52955959789372908</v>
      </c>
      <c r="CR236" s="47">
        <v>73700</v>
      </c>
      <c r="CS236" s="55">
        <f t="shared" si="103"/>
        <v>8.8200095739588313</v>
      </c>
      <c r="CT236" s="59">
        <v>17206</v>
      </c>
      <c r="CU236" s="29" t="s">
        <v>25</v>
      </c>
      <c r="CV236" s="29" t="s">
        <v>25</v>
      </c>
      <c r="CW236" s="29" t="s">
        <v>25</v>
      </c>
      <c r="CX236" s="35">
        <v>0</v>
      </c>
      <c r="CY236" s="49">
        <v>0</v>
      </c>
      <c r="CZ236" s="35">
        <v>2</v>
      </c>
      <c r="DA236" s="35">
        <v>4.5</v>
      </c>
      <c r="DB236" s="35">
        <v>6.5</v>
      </c>
      <c r="DC236" s="49">
        <f t="shared" si="104"/>
        <v>1285.5384615384614</v>
      </c>
      <c r="DD236" s="30">
        <v>156</v>
      </c>
      <c r="DE236" s="31">
        <v>68031</v>
      </c>
      <c r="DF236" s="35">
        <v>40</v>
      </c>
      <c r="DG236" s="29" t="s">
        <v>25</v>
      </c>
      <c r="DH236" s="29" t="s">
        <v>25</v>
      </c>
      <c r="DI236" s="29" t="s">
        <v>25</v>
      </c>
      <c r="DJ236" s="47">
        <v>453</v>
      </c>
      <c r="DK236" s="47">
        <v>38</v>
      </c>
      <c r="DL236" s="47">
        <v>26</v>
      </c>
      <c r="DM236" s="47">
        <v>17277</v>
      </c>
      <c r="DN236" s="47">
        <v>305</v>
      </c>
      <c r="DO236" s="47">
        <v>109200</v>
      </c>
      <c r="DP236" s="29" t="s">
        <v>2028</v>
      </c>
      <c r="DQ236" s="47">
        <v>0</v>
      </c>
      <c r="DR236" s="47">
        <v>2349</v>
      </c>
      <c r="DS236" s="30">
        <v>52</v>
      </c>
      <c r="DT236" s="30">
        <v>47</v>
      </c>
      <c r="DU236" s="30">
        <v>47</v>
      </c>
      <c r="DV236" s="30">
        <v>47</v>
      </c>
      <c r="DX236" s="2">
        <f t="shared" si="105"/>
        <v>2349</v>
      </c>
      <c r="DY236" s="33" t="s">
        <v>2186</v>
      </c>
      <c r="DZ236" s="33" t="s">
        <v>672</v>
      </c>
      <c r="EA236" s="33" t="s">
        <v>2030</v>
      </c>
      <c r="EB236" s="33" t="s">
        <v>2027</v>
      </c>
      <c r="EC236" s="36">
        <v>185</v>
      </c>
      <c r="ED236" s="29" t="s">
        <v>671</v>
      </c>
      <c r="EE236" s="29" t="s">
        <v>458</v>
      </c>
      <c r="EF236" s="37">
        <v>41548</v>
      </c>
      <c r="EG236" s="37">
        <v>41912</v>
      </c>
      <c r="EH236" s="29" t="s">
        <v>671</v>
      </c>
      <c r="EI236" s="55">
        <f t="shared" si="106"/>
        <v>3.4564384873145046</v>
      </c>
      <c r="EJ236" s="54">
        <f t="shared" si="107"/>
        <v>0</v>
      </c>
      <c r="EK236" s="55">
        <f t="shared" si="108"/>
        <v>5.9074916227860221</v>
      </c>
      <c r="EL236" s="54">
        <f t="shared" si="109"/>
        <v>0</v>
      </c>
    </row>
    <row r="237" spans="1:142" ht="43.2" x14ac:dyDescent="0.3">
      <c r="A237" s="29" t="s">
        <v>673</v>
      </c>
      <c r="B237" s="29"/>
      <c r="C237" s="30">
        <v>8449</v>
      </c>
      <c r="D237" s="30">
        <v>0</v>
      </c>
      <c r="E237" s="30">
        <v>0</v>
      </c>
      <c r="F237" s="30">
        <v>6840</v>
      </c>
      <c r="H237" s="2">
        <f t="shared" si="85"/>
        <v>6840</v>
      </c>
      <c r="I237" s="1">
        <f t="shared" si="84"/>
        <v>0.80956326192448813</v>
      </c>
      <c r="J237" s="31">
        <v>73760</v>
      </c>
      <c r="K237" s="31">
        <v>5818</v>
      </c>
      <c r="L237" s="31">
        <v>79578</v>
      </c>
      <c r="M237" s="45">
        <f t="shared" si="86"/>
        <v>9.4186294236004269</v>
      </c>
      <c r="N237" s="31">
        <v>11583</v>
      </c>
      <c r="O237" s="31">
        <v>2865</v>
      </c>
      <c r="P237" s="31">
        <v>273</v>
      </c>
      <c r="Q237" s="31">
        <v>14721</v>
      </c>
      <c r="R237" s="45">
        <f t="shared" si="87"/>
        <v>1.7423363711681856</v>
      </c>
      <c r="S237" s="31">
        <v>50705</v>
      </c>
      <c r="T237" s="31">
        <v>145004</v>
      </c>
      <c r="U237" s="31">
        <v>0</v>
      </c>
      <c r="V237" s="31">
        <v>145004</v>
      </c>
      <c r="W237" s="45">
        <f t="shared" si="88"/>
        <v>17.162267723991004</v>
      </c>
      <c r="X237" s="4">
        <f t="shared" si="89"/>
        <v>0.54879865383023918</v>
      </c>
      <c r="Y237" s="4">
        <f t="shared" si="90"/>
        <v>0.10152133734241814</v>
      </c>
      <c r="Z237" s="4">
        <f t="shared" si="91"/>
        <v>0.34968000882734268</v>
      </c>
      <c r="AA237" s="4">
        <f t="shared" si="92"/>
        <v>0</v>
      </c>
      <c r="AB237" s="31">
        <v>0</v>
      </c>
      <c r="AC237" s="31">
        <v>14721</v>
      </c>
      <c r="AD237" s="31">
        <v>145004</v>
      </c>
      <c r="AE237" s="31">
        <v>132923</v>
      </c>
      <c r="AF237" s="31">
        <v>119715</v>
      </c>
      <c r="AG237" s="31">
        <v>13208</v>
      </c>
      <c r="AH237" s="31">
        <v>0</v>
      </c>
      <c r="AI237" s="31">
        <v>132923</v>
      </c>
      <c r="AJ237" s="45">
        <f t="shared" si="93"/>
        <v>15.732394366197184</v>
      </c>
      <c r="AK237" s="31">
        <v>0</v>
      </c>
      <c r="AL237" s="31">
        <v>0</v>
      </c>
      <c r="AM237" s="31">
        <v>0</v>
      </c>
      <c r="AN237" s="31">
        <v>0</v>
      </c>
      <c r="AO237" s="31">
        <v>0</v>
      </c>
      <c r="AP237" s="31">
        <v>11765</v>
      </c>
      <c r="AQ237" s="31">
        <v>11765</v>
      </c>
      <c r="AR237" s="31">
        <v>144688</v>
      </c>
      <c r="AS237" s="46">
        <f t="shared" si="94"/>
        <v>17.124866848147711</v>
      </c>
      <c r="AT237" s="31">
        <v>0</v>
      </c>
      <c r="AU237" s="31">
        <v>0</v>
      </c>
      <c r="AV237" s="31">
        <v>0</v>
      </c>
      <c r="AW237" s="31">
        <v>0</v>
      </c>
      <c r="AX237" s="31">
        <v>0</v>
      </c>
      <c r="AY237" s="31">
        <v>0</v>
      </c>
      <c r="AZ237" s="31">
        <v>0</v>
      </c>
      <c r="BA237" s="31">
        <v>0</v>
      </c>
      <c r="BB237" s="31">
        <v>0</v>
      </c>
      <c r="BC237" s="33" t="s">
        <v>25</v>
      </c>
      <c r="BD237" s="47">
        <v>30889</v>
      </c>
      <c r="BE237" s="47">
        <v>31367</v>
      </c>
      <c r="BF237" s="45">
        <f t="shared" si="95"/>
        <v>3.7125103562551782</v>
      </c>
      <c r="BG237" s="30">
        <v>703</v>
      </c>
      <c r="BH237" s="30">
        <v>703</v>
      </c>
      <c r="BI237" s="30">
        <v>0</v>
      </c>
      <c r="BJ237" s="30">
        <v>1179</v>
      </c>
      <c r="BK237" s="30">
        <v>1186</v>
      </c>
      <c r="BL237" s="30">
        <v>0</v>
      </c>
      <c r="BM237" s="30">
        <v>7821</v>
      </c>
      <c r="BN237" s="30">
        <v>1</v>
      </c>
      <c r="BO237" s="30">
        <v>51</v>
      </c>
      <c r="BP237" s="30">
        <v>0</v>
      </c>
      <c r="BQ237" s="30">
        <v>52</v>
      </c>
      <c r="BR237" s="47">
        <v>32771</v>
      </c>
      <c r="BS237" s="47">
        <v>41078</v>
      </c>
      <c r="BT237" s="1">
        <f t="shared" si="96"/>
        <v>4.8618771452242866</v>
      </c>
      <c r="BU237" s="30">
        <v>73</v>
      </c>
      <c r="BV237" s="30">
        <v>0</v>
      </c>
      <c r="BW237" s="47">
        <v>2036</v>
      </c>
      <c r="BX237" s="52">
        <f t="shared" si="97"/>
        <v>0.24097526334477454</v>
      </c>
      <c r="BY237" s="47">
        <v>6493</v>
      </c>
      <c r="BZ237" s="47">
        <v>76</v>
      </c>
      <c r="CA237" s="47">
        <v>6434</v>
      </c>
      <c r="CB237" s="47">
        <v>457</v>
      </c>
      <c r="CC237" s="47">
        <v>13460</v>
      </c>
      <c r="CD237" s="55">
        <f t="shared" si="98"/>
        <v>1.5930879394011126</v>
      </c>
      <c r="CE237" s="3">
        <f t="shared" si="99"/>
        <v>4239.3700787401576</v>
      </c>
      <c r="CF237" s="55">
        <f t="shared" si="100"/>
        <v>7.5279642058165548</v>
      </c>
      <c r="CG237" s="55">
        <f t="shared" si="101"/>
        <v>0.71254632080465852</v>
      </c>
      <c r="CH237" s="55">
        <f t="shared" si="102"/>
        <v>0.31469399678660109</v>
      </c>
      <c r="CI237" s="30">
        <v>102</v>
      </c>
      <c r="CJ237" s="30">
        <v>4</v>
      </c>
      <c r="CK237" s="30">
        <v>126</v>
      </c>
      <c r="CL237" s="30">
        <v>232</v>
      </c>
      <c r="CM237" s="30">
        <v>2970</v>
      </c>
      <c r="CN237" s="30">
        <v>41</v>
      </c>
      <c r="CO237" s="30">
        <v>441</v>
      </c>
      <c r="CP237" s="30">
        <v>3452</v>
      </c>
      <c r="CQ237" s="1">
        <f t="shared" si="110"/>
        <v>0.40856906142738786</v>
      </c>
      <c r="CR237" s="47">
        <v>18890</v>
      </c>
      <c r="CS237" s="55">
        <f t="shared" si="103"/>
        <v>2.2357675464552016</v>
      </c>
      <c r="CT237" s="59">
        <v>4403</v>
      </c>
      <c r="CU237" s="29" t="s">
        <v>25</v>
      </c>
      <c r="CV237" s="29" t="s">
        <v>25</v>
      </c>
      <c r="CW237" s="29" t="s">
        <v>25</v>
      </c>
      <c r="CX237" s="35">
        <v>0</v>
      </c>
      <c r="CY237" s="49">
        <v>0</v>
      </c>
      <c r="CZ237" s="35">
        <v>1</v>
      </c>
      <c r="DA237" s="35">
        <v>2.1749999999999998</v>
      </c>
      <c r="DB237" s="35">
        <v>3.1749999999999998</v>
      </c>
      <c r="DC237" s="49">
        <f t="shared" si="104"/>
        <v>2661.1023622047246</v>
      </c>
      <c r="DD237" s="30">
        <v>545</v>
      </c>
      <c r="DE237" s="31">
        <v>41470</v>
      </c>
      <c r="DF237" s="35">
        <v>40</v>
      </c>
      <c r="DG237" s="29" t="s">
        <v>25</v>
      </c>
      <c r="DH237" s="29" t="s">
        <v>25</v>
      </c>
      <c r="DI237" s="29" t="s">
        <v>25</v>
      </c>
      <c r="DJ237" s="47">
        <v>209</v>
      </c>
      <c r="DK237" s="47">
        <v>66</v>
      </c>
      <c r="DL237" s="47">
        <v>16</v>
      </c>
      <c r="DM237" s="47">
        <v>7411</v>
      </c>
      <c r="DN237" s="47">
        <v>187</v>
      </c>
      <c r="DO237" s="47">
        <v>-1</v>
      </c>
      <c r="DP237" s="29" t="s">
        <v>25</v>
      </c>
      <c r="DQ237" s="47">
        <v>6920</v>
      </c>
      <c r="DR237" s="47">
        <v>1788</v>
      </c>
      <c r="DS237" s="30">
        <v>52</v>
      </c>
      <c r="DT237" s="30">
        <v>34</v>
      </c>
      <c r="DU237" s="30">
        <v>34</v>
      </c>
      <c r="DV237" s="30">
        <v>34</v>
      </c>
      <c r="DX237" s="2">
        <f t="shared" si="105"/>
        <v>1788</v>
      </c>
      <c r="DY237" s="33" t="s">
        <v>2185</v>
      </c>
      <c r="DZ237" s="33" t="s">
        <v>675</v>
      </c>
      <c r="EA237" s="33" t="s">
        <v>2032</v>
      </c>
      <c r="EB237" s="33" t="s">
        <v>2027</v>
      </c>
      <c r="EC237" s="36">
        <v>186</v>
      </c>
      <c r="ED237" s="29" t="s">
        <v>674</v>
      </c>
      <c r="EE237" s="29" t="s">
        <v>440</v>
      </c>
      <c r="EF237" s="37">
        <v>41548</v>
      </c>
      <c r="EG237" s="37">
        <v>41912</v>
      </c>
      <c r="EH237" s="29" t="s">
        <v>674</v>
      </c>
      <c r="EI237" s="55">
        <f t="shared" si="106"/>
        <v>0.76849331281808497</v>
      </c>
      <c r="EJ237" s="54">
        <f t="shared" si="107"/>
        <v>8.9951473547165341E-3</v>
      </c>
      <c r="EK237" s="55">
        <f t="shared" si="108"/>
        <v>0.76151023789797612</v>
      </c>
      <c r="EL237" s="54">
        <f t="shared" si="109"/>
        <v>5.408924133033495E-2</v>
      </c>
    </row>
    <row r="238" spans="1:142" ht="28.8" x14ac:dyDescent="0.3">
      <c r="A238" s="29" t="s">
        <v>738</v>
      </c>
      <c r="B238" s="29"/>
      <c r="C238" s="30">
        <v>1128</v>
      </c>
      <c r="D238" s="30">
        <v>0</v>
      </c>
      <c r="E238" s="30">
        <v>0</v>
      </c>
      <c r="F238" s="30">
        <v>2000</v>
      </c>
      <c r="H238" s="2">
        <f t="shared" si="85"/>
        <v>2000</v>
      </c>
      <c r="I238" s="1">
        <f t="shared" si="84"/>
        <v>1.7730496453900708</v>
      </c>
      <c r="J238" s="31">
        <v>14140</v>
      </c>
      <c r="K238" s="31">
        <v>922</v>
      </c>
      <c r="L238" s="31">
        <v>15062</v>
      </c>
      <c r="M238" s="45">
        <f t="shared" si="86"/>
        <v>13.352836879432624</v>
      </c>
      <c r="N238" s="31">
        <v>0</v>
      </c>
      <c r="O238" s="31">
        <v>0</v>
      </c>
      <c r="P238" s="31">
        <v>0</v>
      </c>
      <c r="Q238" s="31">
        <v>0</v>
      </c>
      <c r="R238" s="45">
        <f t="shared" si="87"/>
        <v>0</v>
      </c>
      <c r="S238" s="31">
        <v>15299</v>
      </c>
      <c r="T238" s="31">
        <v>30361</v>
      </c>
      <c r="U238" s="31">
        <v>0</v>
      </c>
      <c r="V238" s="31">
        <v>30361</v>
      </c>
      <c r="W238" s="45">
        <f t="shared" si="88"/>
        <v>26.915780141843971</v>
      </c>
      <c r="X238" s="4">
        <f t="shared" si="89"/>
        <v>0.49609696650307961</v>
      </c>
      <c r="Y238" s="4">
        <f t="shared" si="90"/>
        <v>0</v>
      </c>
      <c r="Z238" s="4">
        <f t="shared" si="91"/>
        <v>0.50390303349692034</v>
      </c>
      <c r="AA238" s="4">
        <f t="shared" si="92"/>
        <v>0</v>
      </c>
      <c r="AB238" s="31">
        <v>0</v>
      </c>
      <c r="AC238" s="31">
        <v>0</v>
      </c>
      <c r="AD238" s="31">
        <v>29311</v>
      </c>
      <c r="AE238" s="31">
        <v>11899</v>
      </c>
      <c r="AF238" s="31">
        <v>11899</v>
      </c>
      <c r="AG238" s="31">
        <v>0</v>
      </c>
      <c r="AH238" s="31">
        <v>0</v>
      </c>
      <c r="AI238" s="31">
        <v>11899</v>
      </c>
      <c r="AJ238" s="45">
        <f t="shared" si="93"/>
        <v>10.548758865248226</v>
      </c>
      <c r="AK238" s="31">
        <v>0</v>
      </c>
      <c r="AL238" s="31">
        <v>0</v>
      </c>
      <c r="AM238" s="31">
        <v>0</v>
      </c>
      <c r="AN238" s="31">
        <v>0</v>
      </c>
      <c r="AO238" s="31">
        <v>0</v>
      </c>
      <c r="AP238" s="31">
        <v>16244</v>
      </c>
      <c r="AQ238" s="31">
        <v>16244</v>
      </c>
      <c r="AR238" s="31">
        <v>28143</v>
      </c>
      <c r="AS238" s="46">
        <f t="shared" si="94"/>
        <v>24.949468085106382</v>
      </c>
      <c r="AT238" s="31">
        <v>0</v>
      </c>
      <c r="AU238" s="31">
        <v>0</v>
      </c>
      <c r="AV238" s="31">
        <v>0</v>
      </c>
      <c r="AW238" s="31">
        <v>0</v>
      </c>
      <c r="AX238" s="31">
        <v>0</v>
      </c>
      <c r="AY238" s="31">
        <v>0</v>
      </c>
      <c r="AZ238" s="31">
        <v>0</v>
      </c>
      <c r="BA238" s="31">
        <v>0</v>
      </c>
      <c r="BB238" s="31">
        <v>0</v>
      </c>
      <c r="BC238" s="33" t="s">
        <v>25</v>
      </c>
      <c r="BD238" s="47">
        <v>9922</v>
      </c>
      <c r="BE238" s="47">
        <v>9926</v>
      </c>
      <c r="BF238" s="45">
        <f t="shared" si="95"/>
        <v>8.7996453900709213</v>
      </c>
      <c r="BG238" s="30">
        <v>41</v>
      </c>
      <c r="BH238" s="30">
        <v>41</v>
      </c>
      <c r="BI238" s="30">
        <v>0</v>
      </c>
      <c r="BJ238" s="30">
        <v>0</v>
      </c>
      <c r="BK238" s="30">
        <v>0</v>
      </c>
      <c r="BL238" s="30">
        <v>0</v>
      </c>
      <c r="BM238" s="30">
        <v>0</v>
      </c>
      <c r="BN238" s="30">
        <v>0</v>
      </c>
      <c r="BO238" s="30">
        <v>51</v>
      </c>
      <c r="BP238" s="30">
        <v>0</v>
      </c>
      <c r="BQ238" s="30">
        <v>51</v>
      </c>
      <c r="BR238" s="47">
        <v>9963</v>
      </c>
      <c r="BS238" s="47">
        <v>9967</v>
      </c>
      <c r="BT238" s="1">
        <f t="shared" si="96"/>
        <v>8.835992907801419</v>
      </c>
      <c r="BU238" s="30">
        <v>0</v>
      </c>
      <c r="BV238" s="30">
        <v>2</v>
      </c>
      <c r="BW238" s="47">
        <v>236</v>
      </c>
      <c r="BX238" s="52">
        <f t="shared" si="97"/>
        <v>0.20921985815602837</v>
      </c>
      <c r="BY238" s="47">
        <v>1352</v>
      </c>
      <c r="BZ238" s="47">
        <v>0</v>
      </c>
      <c r="CA238" s="47">
        <v>1003</v>
      </c>
      <c r="CB238" s="47">
        <v>0</v>
      </c>
      <c r="CC238" s="47">
        <v>2355</v>
      </c>
      <c r="CD238" s="55">
        <f t="shared" si="98"/>
        <v>2.0877659574468086</v>
      </c>
      <c r="CE238" s="3">
        <f t="shared" si="99"/>
        <v>3925</v>
      </c>
      <c r="CF238" s="55">
        <f t="shared" si="100"/>
        <v>1.5096153846153846</v>
      </c>
      <c r="CG238" s="55">
        <f t="shared" si="101"/>
        <v>0.88733986435568957</v>
      </c>
      <c r="CH238" s="55">
        <f t="shared" si="102"/>
        <v>0.23627972308618442</v>
      </c>
      <c r="CI238" s="30">
        <v>0</v>
      </c>
      <c r="CJ238" s="30">
        <v>0</v>
      </c>
      <c r="CK238" s="30">
        <v>0</v>
      </c>
      <c r="CL238" s="30">
        <v>0</v>
      </c>
      <c r="CM238" s="30">
        <v>0</v>
      </c>
      <c r="CN238" s="30">
        <v>0</v>
      </c>
      <c r="CO238" s="30">
        <v>0</v>
      </c>
      <c r="CP238" s="30">
        <v>0</v>
      </c>
      <c r="CQ238" s="1">
        <f t="shared" si="110"/>
        <v>0</v>
      </c>
      <c r="CR238" s="47">
        <v>2654</v>
      </c>
      <c r="CS238" s="55">
        <f t="shared" si="103"/>
        <v>2.352836879432624</v>
      </c>
      <c r="CT238" s="59">
        <v>1356</v>
      </c>
      <c r="CU238" s="29" t="s">
        <v>25</v>
      </c>
      <c r="CV238" s="29" t="s">
        <v>25</v>
      </c>
      <c r="CW238" s="29" t="s">
        <v>25</v>
      </c>
      <c r="CX238" s="35">
        <v>0</v>
      </c>
      <c r="CY238" s="49">
        <v>0</v>
      </c>
      <c r="CZ238" s="35">
        <v>0.6</v>
      </c>
      <c r="DA238" s="35">
        <v>0</v>
      </c>
      <c r="DB238" s="35">
        <v>0.6</v>
      </c>
      <c r="DC238" s="49">
        <f t="shared" si="104"/>
        <v>1880</v>
      </c>
      <c r="DD238" s="30">
        <v>422</v>
      </c>
      <c r="DE238" s="31">
        <v>14140</v>
      </c>
      <c r="DF238" s="35">
        <v>24</v>
      </c>
      <c r="DG238" s="29" t="s">
        <v>25</v>
      </c>
      <c r="DH238" s="29" t="s">
        <v>26</v>
      </c>
      <c r="DI238" s="29" t="s">
        <v>26</v>
      </c>
      <c r="DJ238" s="47">
        <v>0</v>
      </c>
      <c r="DK238" s="47">
        <v>0</v>
      </c>
      <c r="DL238" s="47">
        <v>5</v>
      </c>
      <c r="DM238" s="47">
        <v>385</v>
      </c>
      <c r="DN238" s="47">
        <v>100</v>
      </c>
      <c r="DO238" s="47">
        <v>152</v>
      </c>
      <c r="DP238" s="29" t="s">
        <v>2028</v>
      </c>
      <c r="DQ238" s="47">
        <v>0</v>
      </c>
      <c r="DR238" s="47">
        <v>1560</v>
      </c>
      <c r="DS238" s="30">
        <v>50</v>
      </c>
      <c r="DT238" s="30">
        <v>32</v>
      </c>
      <c r="DU238" s="30">
        <v>32</v>
      </c>
      <c r="DV238" s="30">
        <v>32</v>
      </c>
      <c r="DX238" s="2">
        <f t="shared" si="105"/>
        <v>1560</v>
      </c>
      <c r="DY238" s="33" t="s">
        <v>2186</v>
      </c>
      <c r="DZ238" s="33" t="s">
        <v>1732</v>
      </c>
      <c r="EA238" s="33" t="s">
        <v>2032</v>
      </c>
      <c r="EB238" s="33" t="s">
        <v>2027</v>
      </c>
      <c r="EC238" s="36">
        <v>599</v>
      </c>
      <c r="ED238" s="29" t="s">
        <v>1731</v>
      </c>
      <c r="EE238" s="29" t="s">
        <v>128</v>
      </c>
      <c r="EF238" s="37">
        <v>41640</v>
      </c>
      <c r="EG238" s="37">
        <v>42004</v>
      </c>
      <c r="EH238" s="29" t="s">
        <v>1731</v>
      </c>
      <c r="EI238" s="55">
        <f t="shared" si="106"/>
        <v>1.198581560283688</v>
      </c>
      <c r="EJ238" s="54">
        <f t="shared" si="107"/>
        <v>0</v>
      </c>
      <c r="EK238" s="55">
        <f t="shared" si="108"/>
        <v>0.88918439716312059</v>
      </c>
      <c r="EL238" s="54">
        <f t="shared" si="109"/>
        <v>0</v>
      </c>
    </row>
    <row r="239" spans="1:142" ht="28.8" x14ac:dyDescent="0.3">
      <c r="A239" s="29" t="s">
        <v>676</v>
      </c>
      <c r="B239" s="29"/>
      <c r="C239" s="30">
        <v>9002</v>
      </c>
      <c r="D239" s="30">
        <v>0</v>
      </c>
      <c r="E239" s="30">
        <v>0</v>
      </c>
      <c r="F239" s="30">
        <v>6435</v>
      </c>
      <c r="H239" s="2">
        <f t="shared" si="85"/>
        <v>6435</v>
      </c>
      <c r="I239" s="1">
        <f t="shared" si="84"/>
        <v>0.71484114641190843</v>
      </c>
      <c r="J239" s="31">
        <v>110809</v>
      </c>
      <c r="K239" s="31">
        <v>35087</v>
      </c>
      <c r="L239" s="31">
        <v>145896</v>
      </c>
      <c r="M239" s="45">
        <f t="shared" si="86"/>
        <v>16.207065096645191</v>
      </c>
      <c r="N239" s="31">
        <v>12170</v>
      </c>
      <c r="O239" s="31">
        <v>2123</v>
      </c>
      <c r="P239" s="31">
        <v>0</v>
      </c>
      <c r="Q239" s="31">
        <v>14293</v>
      </c>
      <c r="R239" s="45">
        <f t="shared" si="87"/>
        <v>1.5877582759386804</v>
      </c>
      <c r="S239" s="31">
        <v>62502</v>
      </c>
      <c r="T239" s="31">
        <v>222691</v>
      </c>
      <c r="U239" s="31">
        <v>0</v>
      </c>
      <c r="V239" s="31">
        <v>222691</v>
      </c>
      <c r="W239" s="45">
        <f t="shared" si="88"/>
        <v>24.737947122861588</v>
      </c>
      <c r="X239" s="4">
        <f t="shared" si="89"/>
        <v>0.65514996115693946</v>
      </c>
      <c r="Y239" s="4">
        <f t="shared" si="90"/>
        <v>6.4183105738444754E-2</v>
      </c>
      <c r="Z239" s="4">
        <f t="shared" si="91"/>
        <v>0.28066693310461582</v>
      </c>
      <c r="AA239" s="4">
        <f t="shared" si="92"/>
        <v>0</v>
      </c>
      <c r="AB239" s="31">
        <v>0</v>
      </c>
      <c r="AC239" s="31">
        <v>14293</v>
      </c>
      <c r="AD239" s="31">
        <v>222691</v>
      </c>
      <c r="AE239" s="31">
        <v>222691</v>
      </c>
      <c r="AF239" s="31">
        <v>222691</v>
      </c>
      <c r="AG239" s="31">
        <v>0</v>
      </c>
      <c r="AH239" s="31">
        <v>0</v>
      </c>
      <c r="AI239" s="31">
        <v>222691</v>
      </c>
      <c r="AJ239" s="45">
        <f t="shared" si="93"/>
        <v>24.737947122861588</v>
      </c>
      <c r="AK239" s="31">
        <v>0</v>
      </c>
      <c r="AL239" s="31">
        <v>0</v>
      </c>
      <c r="AM239" s="31">
        <v>0</v>
      </c>
      <c r="AN239" s="31">
        <v>0</v>
      </c>
      <c r="AO239" s="31">
        <v>0</v>
      </c>
      <c r="AP239" s="31">
        <v>1579</v>
      </c>
      <c r="AQ239" s="31">
        <v>1579</v>
      </c>
      <c r="AR239" s="31">
        <v>224270</v>
      </c>
      <c r="AS239" s="46">
        <f t="shared" si="94"/>
        <v>24.913352588313707</v>
      </c>
      <c r="AT239" s="31">
        <v>0</v>
      </c>
      <c r="AU239" s="31">
        <v>0</v>
      </c>
      <c r="AV239" s="31">
        <v>0</v>
      </c>
      <c r="AW239" s="31">
        <v>0</v>
      </c>
      <c r="AX239" s="31">
        <v>0</v>
      </c>
      <c r="AY239" s="31">
        <v>0</v>
      </c>
      <c r="AZ239" s="31">
        <v>0</v>
      </c>
      <c r="BA239" s="31">
        <v>0</v>
      </c>
      <c r="BB239" s="31">
        <v>0</v>
      </c>
      <c r="BC239" s="33" t="s">
        <v>25</v>
      </c>
      <c r="BD239" s="47">
        <v>21641</v>
      </c>
      <c r="BE239" s="47">
        <v>23590</v>
      </c>
      <c r="BF239" s="45">
        <f t="shared" si="95"/>
        <v>2.6205287713841368</v>
      </c>
      <c r="BG239" s="30">
        <v>510</v>
      </c>
      <c r="BH239" s="30">
        <v>521</v>
      </c>
      <c r="BI239" s="30">
        <v>0</v>
      </c>
      <c r="BJ239" s="30">
        <v>664</v>
      </c>
      <c r="BK239" s="30">
        <v>716</v>
      </c>
      <c r="BL239" s="30">
        <v>0</v>
      </c>
      <c r="BM239" s="30">
        <v>4334</v>
      </c>
      <c r="BN239" s="30">
        <v>1</v>
      </c>
      <c r="BO239" s="30">
        <v>51</v>
      </c>
      <c r="BP239" s="30">
        <v>0</v>
      </c>
      <c r="BQ239" s="30">
        <v>52</v>
      </c>
      <c r="BR239" s="47">
        <v>22815</v>
      </c>
      <c r="BS239" s="47">
        <v>29162</v>
      </c>
      <c r="BT239" s="1">
        <f t="shared" si="96"/>
        <v>3.2395023328149302</v>
      </c>
      <c r="BU239" s="30">
        <v>15</v>
      </c>
      <c r="BV239" s="30">
        <v>0</v>
      </c>
      <c r="BW239" s="47">
        <v>3824</v>
      </c>
      <c r="BX239" s="52">
        <f t="shared" si="97"/>
        <v>0.42479449011330817</v>
      </c>
      <c r="BY239" s="47">
        <v>7000</v>
      </c>
      <c r="BZ239" s="47">
        <v>150</v>
      </c>
      <c r="CA239" s="47">
        <v>20317</v>
      </c>
      <c r="CB239" s="47">
        <v>1521</v>
      </c>
      <c r="CC239" s="47">
        <v>28988</v>
      </c>
      <c r="CD239" s="55">
        <f t="shared" si="98"/>
        <v>3.2201732948233728</v>
      </c>
      <c r="CE239" s="3">
        <f t="shared" si="99"/>
        <v>6943.2335329341322</v>
      </c>
      <c r="CF239" s="55">
        <f t="shared" si="100"/>
        <v>11.98842018196857</v>
      </c>
      <c r="CG239" s="55">
        <f t="shared" si="101"/>
        <v>0.57986437558760573</v>
      </c>
      <c r="CH239" s="55">
        <f t="shared" si="102"/>
        <v>0.93673273438035798</v>
      </c>
      <c r="CI239" s="30">
        <v>34</v>
      </c>
      <c r="CJ239" s="30">
        <v>4</v>
      </c>
      <c r="CK239" s="30">
        <v>3</v>
      </c>
      <c r="CL239" s="30">
        <v>41</v>
      </c>
      <c r="CM239" s="30">
        <v>2382</v>
      </c>
      <c r="CN239" s="30">
        <v>48</v>
      </c>
      <c r="CO239" s="30">
        <v>28</v>
      </c>
      <c r="CP239" s="30">
        <v>2458</v>
      </c>
      <c r="CQ239" s="1">
        <f t="shared" si="110"/>
        <v>0.27305043323705841</v>
      </c>
      <c r="CR239" s="47">
        <v>49991</v>
      </c>
      <c r="CS239" s="55">
        <f t="shared" si="103"/>
        <v>5.5533214841146412</v>
      </c>
      <c r="CT239" s="59">
        <v>7681</v>
      </c>
      <c r="CU239" s="29" t="s">
        <v>25</v>
      </c>
      <c r="CV239" s="29" t="s">
        <v>25</v>
      </c>
      <c r="CW239" s="29" t="s">
        <v>25</v>
      </c>
      <c r="CX239" s="35">
        <v>0</v>
      </c>
      <c r="CY239" s="49">
        <v>0</v>
      </c>
      <c r="CZ239" s="35">
        <v>0.72499999999999998</v>
      </c>
      <c r="DA239" s="35">
        <v>3.45</v>
      </c>
      <c r="DB239" s="35">
        <v>4.1749999999999998</v>
      </c>
      <c r="DC239" s="49">
        <f t="shared" si="104"/>
        <v>2156.1676646706587</v>
      </c>
      <c r="DD239" s="30">
        <v>2244</v>
      </c>
      <c r="DE239" s="31">
        <v>24000</v>
      </c>
      <c r="DF239" s="35">
        <v>24</v>
      </c>
      <c r="DG239" s="29" t="s">
        <v>25</v>
      </c>
      <c r="DH239" s="29" t="s">
        <v>25</v>
      </c>
      <c r="DI239" s="29" t="s">
        <v>25</v>
      </c>
      <c r="DJ239" s="47">
        <v>456</v>
      </c>
      <c r="DK239" s="47">
        <v>10</v>
      </c>
      <c r="DL239" s="47">
        <v>18</v>
      </c>
      <c r="DM239" s="47">
        <v>34605</v>
      </c>
      <c r="DN239" s="47">
        <v>325</v>
      </c>
      <c r="DO239" s="47">
        <v>4244</v>
      </c>
      <c r="DP239" s="29" t="s">
        <v>2028</v>
      </c>
      <c r="DQ239" s="47">
        <v>0</v>
      </c>
      <c r="DR239" s="47">
        <v>2418</v>
      </c>
      <c r="DS239" s="30">
        <v>52</v>
      </c>
      <c r="DT239" s="30">
        <v>47</v>
      </c>
      <c r="DU239" s="30">
        <v>47</v>
      </c>
      <c r="DV239" s="30">
        <v>47</v>
      </c>
      <c r="DX239" s="2">
        <f t="shared" si="105"/>
        <v>2418</v>
      </c>
      <c r="DY239" s="33" t="s">
        <v>2187</v>
      </c>
      <c r="DZ239" s="33" t="s">
        <v>678</v>
      </c>
      <c r="EA239" s="33" t="s">
        <v>2030</v>
      </c>
      <c r="EB239" s="33" t="s">
        <v>2027</v>
      </c>
      <c r="EC239" s="36">
        <v>187</v>
      </c>
      <c r="ED239" s="29" t="s">
        <v>677</v>
      </c>
      <c r="EE239" s="29" t="s">
        <v>277</v>
      </c>
      <c r="EF239" s="37">
        <v>41548</v>
      </c>
      <c r="EG239" s="37">
        <v>41912</v>
      </c>
      <c r="EH239" s="29" t="s">
        <v>677</v>
      </c>
      <c r="EI239" s="55">
        <f t="shared" si="106"/>
        <v>0.77760497667185069</v>
      </c>
      <c r="EJ239" s="54">
        <f t="shared" si="107"/>
        <v>1.6662963785825373E-2</v>
      </c>
      <c r="EK239" s="55">
        <f t="shared" si="108"/>
        <v>2.2569429015774274</v>
      </c>
      <c r="EL239" s="54">
        <f t="shared" si="109"/>
        <v>0.16896245278826927</v>
      </c>
    </row>
    <row r="240" spans="1:142" ht="28.8" x14ac:dyDescent="0.3">
      <c r="A240" s="29" t="s">
        <v>680</v>
      </c>
      <c r="B240" s="29"/>
      <c r="C240" s="30">
        <v>1674</v>
      </c>
      <c r="D240" s="30">
        <v>0</v>
      </c>
      <c r="E240" s="30">
        <v>0</v>
      </c>
      <c r="F240" s="30">
        <v>8184</v>
      </c>
      <c r="H240" s="2">
        <f t="shared" si="85"/>
        <v>8184</v>
      </c>
      <c r="I240" s="1">
        <f t="shared" si="84"/>
        <v>4.8888888888888893</v>
      </c>
      <c r="J240" s="31">
        <v>63186</v>
      </c>
      <c r="K240" s="31">
        <v>5632</v>
      </c>
      <c r="L240" s="31">
        <v>68818</v>
      </c>
      <c r="M240" s="45">
        <f t="shared" si="86"/>
        <v>41.109916367980887</v>
      </c>
      <c r="N240" s="31">
        <v>16605</v>
      </c>
      <c r="O240" s="31">
        <v>3067</v>
      </c>
      <c r="P240" s="31">
        <v>7958</v>
      </c>
      <c r="Q240" s="31">
        <v>27630</v>
      </c>
      <c r="R240" s="45">
        <f t="shared" si="87"/>
        <v>16.50537634408602</v>
      </c>
      <c r="S240" s="31">
        <v>34629</v>
      </c>
      <c r="T240" s="31">
        <v>131077</v>
      </c>
      <c r="U240" s="31">
        <v>0</v>
      </c>
      <c r="V240" s="31">
        <v>131077</v>
      </c>
      <c r="W240" s="45">
        <f t="shared" si="88"/>
        <v>78.301672640382321</v>
      </c>
      <c r="X240" s="4">
        <f t="shared" si="89"/>
        <v>0.52501964494152287</v>
      </c>
      <c r="Y240" s="4">
        <f t="shared" si="90"/>
        <v>0.21079212981682521</v>
      </c>
      <c r="Z240" s="4">
        <f t="shared" si="91"/>
        <v>0.26418822524165186</v>
      </c>
      <c r="AA240" s="4">
        <f t="shared" si="92"/>
        <v>0</v>
      </c>
      <c r="AB240" s="31">
        <v>0</v>
      </c>
      <c r="AC240" s="31">
        <v>27630</v>
      </c>
      <c r="AD240" s="31">
        <v>114284</v>
      </c>
      <c r="AE240" s="31">
        <v>2500</v>
      </c>
      <c r="AF240" s="31">
        <v>2500</v>
      </c>
      <c r="AG240" s="31">
        <v>0</v>
      </c>
      <c r="AH240" s="31">
        <v>0</v>
      </c>
      <c r="AI240" s="31">
        <v>2500</v>
      </c>
      <c r="AJ240" s="45">
        <f t="shared" si="93"/>
        <v>1.4934289127837514</v>
      </c>
      <c r="AK240" s="31">
        <v>0</v>
      </c>
      <c r="AL240" s="31">
        <v>0</v>
      </c>
      <c r="AM240" s="31">
        <v>0</v>
      </c>
      <c r="AN240" s="31">
        <v>0</v>
      </c>
      <c r="AO240" s="31">
        <v>17000</v>
      </c>
      <c r="AP240" s="31">
        <v>96284</v>
      </c>
      <c r="AQ240" s="31">
        <v>113284</v>
      </c>
      <c r="AR240" s="31">
        <v>115784</v>
      </c>
      <c r="AS240" s="46">
        <f t="shared" si="94"/>
        <v>69.166069295101551</v>
      </c>
      <c r="AT240" s="31">
        <v>0</v>
      </c>
      <c r="AU240" s="31">
        <v>0</v>
      </c>
      <c r="AV240" s="31">
        <v>0</v>
      </c>
      <c r="AW240" s="31">
        <v>0</v>
      </c>
      <c r="AX240" s="31">
        <v>0</v>
      </c>
      <c r="AY240" s="31">
        <v>0</v>
      </c>
      <c r="AZ240" s="31">
        <v>0</v>
      </c>
      <c r="BA240" s="31">
        <v>0</v>
      </c>
      <c r="BB240" s="31">
        <v>0</v>
      </c>
      <c r="BC240" s="33" t="s">
        <v>25</v>
      </c>
      <c r="BD240" s="47">
        <v>18799</v>
      </c>
      <c r="BE240" s="47">
        <v>19070</v>
      </c>
      <c r="BF240" s="45">
        <f t="shared" si="95"/>
        <v>11.391875746714456</v>
      </c>
      <c r="BG240" s="30">
        <v>606</v>
      </c>
      <c r="BH240" s="30">
        <v>613</v>
      </c>
      <c r="BI240" s="30">
        <v>0</v>
      </c>
      <c r="BJ240" s="30">
        <v>2249</v>
      </c>
      <c r="BK240" s="30">
        <v>2308</v>
      </c>
      <c r="BL240" s="30">
        <v>0</v>
      </c>
      <c r="BM240" s="30">
        <v>250</v>
      </c>
      <c r="BN240" s="30">
        <v>2</v>
      </c>
      <c r="BO240" s="30">
        <v>51</v>
      </c>
      <c r="BP240" s="30">
        <v>2</v>
      </c>
      <c r="BQ240" s="30">
        <v>55</v>
      </c>
      <c r="BR240" s="47">
        <v>21654</v>
      </c>
      <c r="BS240" s="47">
        <v>22243</v>
      </c>
      <c r="BT240" s="1">
        <f t="shared" si="96"/>
        <v>13.287335722819593</v>
      </c>
      <c r="BU240" s="30">
        <v>35</v>
      </c>
      <c r="BV240" s="30">
        <v>2</v>
      </c>
      <c r="BW240" s="47">
        <v>486</v>
      </c>
      <c r="BX240" s="52">
        <f t="shared" si="97"/>
        <v>0.29032258064516131</v>
      </c>
      <c r="BY240" s="47">
        <v>5393</v>
      </c>
      <c r="BZ240" s="47">
        <v>536</v>
      </c>
      <c r="CA240" s="47">
        <v>28109</v>
      </c>
      <c r="CB240" s="47">
        <v>848</v>
      </c>
      <c r="CC240" s="47">
        <v>34886</v>
      </c>
      <c r="CD240" s="55">
        <f t="shared" si="98"/>
        <v>20.839904420549583</v>
      </c>
      <c r="CE240" s="3">
        <f t="shared" si="99"/>
        <v>13680.784313725491</v>
      </c>
      <c r="CF240" s="55">
        <f t="shared" si="100"/>
        <v>19.178669598680592</v>
      </c>
      <c r="CG240" s="55">
        <f t="shared" si="101"/>
        <v>1.0610420024939931</v>
      </c>
      <c r="CH240" s="55">
        <f t="shared" si="102"/>
        <v>1.5061817200917142</v>
      </c>
      <c r="CI240" s="30">
        <v>78</v>
      </c>
      <c r="CJ240" s="30">
        <v>43</v>
      </c>
      <c r="CK240" s="30">
        <v>262</v>
      </c>
      <c r="CL240" s="30">
        <v>383</v>
      </c>
      <c r="CM240" s="30">
        <v>2316</v>
      </c>
      <c r="CN240" s="30">
        <v>654</v>
      </c>
      <c r="CO240" s="30">
        <v>2910</v>
      </c>
      <c r="CP240" s="30">
        <v>5880</v>
      </c>
      <c r="CQ240" s="1">
        <f t="shared" si="110"/>
        <v>3.5125448028673834</v>
      </c>
      <c r="CR240" s="47">
        <v>32879</v>
      </c>
      <c r="CS240" s="55">
        <f t="shared" si="103"/>
        <v>19.640979689366787</v>
      </c>
      <c r="CT240" s="59">
        <v>2478</v>
      </c>
      <c r="CU240" s="29" t="s">
        <v>25</v>
      </c>
      <c r="CV240" s="29" t="s">
        <v>25</v>
      </c>
      <c r="CW240" s="29" t="s">
        <v>25</v>
      </c>
      <c r="CX240" s="35">
        <v>0</v>
      </c>
      <c r="CY240" s="49">
        <v>0</v>
      </c>
      <c r="CZ240" s="35">
        <v>0.9</v>
      </c>
      <c r="DA240" s="35">
        <v>1.65</v>
      </c>
      <c r="DB240" s="35">
        <v>2.5499999999999998</v>
      </c>
      <c r="DC240" s="49">
        <f t="shared" si="104"/>
        <v>656.47058823529414</v>
      </c>
      <c r="DD240" s="30">
        <v>198</v>
      </c>
      <c r="DE240" s="31">
        <v>24500</v>
      </c>
      <c r="DF240" s="35">
        <v>36</v>
      </c>
      <c r="DG240" s="29" t="s">
        <v>25</v>
      </c>
      <c r="DH240" s="29" t="s">
        <v>25</v>
      </c>
      <c r="DI240" s="29" t="s">
        <v>25</v>
      </c>
      <c r="DJ240" s="47">
        <v>6</v>
      </c>
      <c r="DK240" s="47">
        <v>0</v>
      </c>
      <c r="DL240" s="47">
        <v>37</v>
      </c>
      <c r="DM240" s="47">
        <v>7463</v>
      </c>
      <c r="DN240" s="47">
        <v>121</v>
      </c>
      <c r="DO240" s="47">
        <v>693</v>
      </c>
      <c r="DP240" s="29" t="s">
        <v>2028</v>
      </c>
      <c r="DQ240" s="47">
        <v>0</v>
      </c>
      <c r="DR240" s="47">
        <v>1819</v>
      </c>
      <c r="DS240" s="30">
        <v>52</v>
      </c>
      <c r="DT240" s="30">
        <v>36</v>
      </c>
      <c r="DU240" s="30">
        <v>36</v>
      </c>
      <c r="DV240" s="30">
        <v>36</v>
      </c>
      <c r="DX240" s="2">
        <f t="shared" si="105"/>
        <v>1819</v>
      </c>
      <c r="DY240" s="33" t="s">
        <v>2182</v>
      </c>
      <c r="DZ240" s="33" t="s">
        <v>681</v>
      </c>
      <c r="EA240" s="33" t="s">
        <v>2032</v>
      </c>
      <c r="EB240" s="33" t="s">
        <v>2027</v>
      </c>
      <c r="EC240" s="36">
        <v>188</v>
      </c>
      <c r="ED240" s="29" t="s">
        <v>679</v>
      </c>
      <c r="EE240" s="29" t="s">
        <v>180</v>
      </c>
      <c r="EF240" s="37">
        <v>41640</v>
      </c>
      <c r="EG240" s="37">
        <v>42004</v>
      </c>
      <c r="EH240" s="29" t="s">
        <v>679</v>
      </c>
      <c r="EI240" s="55">
        <f t="shared" si="106"/>
        <v>3.2216248506571086</v>
      </c>
      <c r="EJ240" s="54">
        <f t="shared" si="107"/>
        <v>0.32019115890083633</v>
      </c>
      <c r="EK240" s="55">
        <f t="shared" si="108"/>
        <v>16.791517323775388</v>
      </c>
      <c r="EL240" s="54">
        <f t="shared" si="109"/>
        <v>0.50657108721624855</v>
      </c>
    </row>
    <row r="241" spans="1:142" ht="28.8" x14ac:dyDescent="0.3">
      <c r="A241" s="29" t="s">
        <v>374</v>
      </c>
      <c r="B241" s="29"/>
      <c r="C241" s="30">
        <v>2195914</v>
      </c>
      <c r="D241" s="30">
        <v>41</v>
      </c>
      <c r="E241" s="30">
        <v>0</v>
      </c>
      <c r="F241" s="30">
        <v>268663</v>
      </c>
      <c r="G241">
        <v>581310</v>
      </c>
      <c r="H241" s="2">
        <f t="shared" si="85"/>
        <v>849973</v>
      </c>
      <c r="I241" s="1">
        <f t="shared" si="84"/>
        <v>0.38707025867133232</v>
      </c>
      <c r="J241" s="31">
        <v>18344347</v>
      </c>
      <c r="K241" s="31">
        <v>9363228</v>
      </c>
      <c r="L241" s="31">
        <v>27707575</v>
      </c>
      <c r="M241" s="45">
        <f t="shared" si="86"/>
        <v>12.617786944297455</v>
      </c>
      <c r="N241" s="31">
        <v>3035794</v>
      </c>
      <c r="O241" s="31">
        <v>1534065</v>
      </c>
      <c r="P241" s="31">
        <v>537624</v>
      </c>
      <c r="Q241" s="31">
        <v>5107483</v>
      </c>
      <c r="R241" s="45">
        <f t="shared" si="87"/>
        <v>2.3259030180599058</v>
      </c>
      <c r="S241" s="31">
        <v>5100572</v>
      </c>
      <c r="T241" s="31">
        <v>37915630</v>
      </c>
      <c r="U241" s="31">
        <v>0</v>
      </c>
      <c r="V241" s="31">
        <v>37915630</v>
      </c>
      <c r="W241" s="45">
        <f t="shared" si="88"/>
        <v>17.266445771555716</v>
      </c>
      <c r="X241" s="4">
        <f t="shared" si="89"/>
        <v>0.73076921048127119</v>
      </c>
      <c r="Y241" s="4">
        <f t="shared" si="90"/>
        <v>0.13470653131703206</v>
      </c>
      <c r="Z241" s="4">
        <f t="shared" si="91"/>
        <v>0.13452425820169678</v>
      </c>
      <c r="AA241" s="4">
        <f t="shared" si="92"/>
        <v>0</v>
      </c>
      <c r="AB241" s="31">
        <v>0</v>
      </c>
      <c r="AC241" s="31">
        <v>5107483</v>
      </c>
      <c r="AD241" s="31">
        <v>37915630</v>
      </c>
      <c r="AE241" s="31">
        <v>37915630</v>
      </c>
      <c r="AF241" s="31">
        <v>37915630</v>
      </c>
      <c r="AG241" s="31">
        <v>0</v>
      </c>
      <c r="AH241" s="31">
        <v>0</v>
      </c>
      <c r="AI241" s="31">
        <v>37915630</v>
      </c>
      <c r="AJ241" s="45">
        <f t="shared" si="93"/>
        <v>17.266445771555716</v>
      </c>
      <c r="AK241" s="31">
        <v>0</v>
      </c>
      <c r="AL241" s="31">
        <v>0</v>
      </c>
      <c r="AM241" s="31">
        <v>97000</v>
      </c>
      <c r="AN241" s="31">
        <v>97000</v>
      </c>
      <c r="AO241" s="31">
        <v>800000</v>
      </c>
      <c r="AP241" s="31">
        <v>588935</v>
      </c>
      <c r="AQ241" s="31">
        <v>1388935</v>
      </c>
      <c r="AR241" s="31">
        <v>39401565</v>
      </c>
      <c r="AS241" s="46">
        <f t="shared" si="94"/>
        <v>17.943127554175618</v>
      </c>
      <c r="AT241" s="31">
        <v>0</v>
      </c>
      <c r="AU241" s="31">
        <v>0</v>
      </c>
      <c r="AV241" s="31">
        <v>0</v>
      </c>
      <c r="AW241" s="31">
        <v>0</v>
      </c>
      <c r="AX241" s="31">
        <v>0</v>
      </c>
      <c r="AY241" s="31">
        <v>0</v>
      </c>
      <c r="AZ241" s="31">
        <v>0</v>
      </c>
      <c r="BA241" s="31">
        <v>0</v>
      </c>
      <c r="BB241" s="31">
        <v>0</v>
      </c>
      <c r="BC241" s="33" t="s">
        <v>25</v>
      </c>
      <c r="BD241" s="47">
        <v>829094</v>
      </c>
      <c r="BE241" s="47">
        <v>2347127</v>
      </c>
      <c r="BF241" s="45">
        <f t="shared" si="95"/>
        <v>1.0688610756158938</v>
      </c>
      <c r="BG241" s="30">
        <v>47612</v>
      </c>
      <c r="BH241" s="30">
        <v>148665</v>
      </c>
      <c r="BI241" s="30">
        <v>11327</v>
      </c>
      <c r="BJ241" s="30">
        <v>18062</v>
      </c>
      <c r="BK241" s="30">
        <v>97921</v>
      </c>
      <c r="BL241" s="30">
        <v>322</v>
      </c>
      <c r="BM241" s="30">
        <v>29670</v>
      </c>
      <c r="BN241" s="30">
        <v>117</v>
      </c>
      <c r="BO241" s="30">
        <v>51</v>
      </c>
      <c r="BP241" s="30">
        <v>6</v>
      </c>
      <c r="BQ241" s="30">
        <v>174</v>
      </c>
      <c r="BR241" s="47">
        <v>894768</v>
      </c>
      <c r="BS241" s="47">
        <v>2635149</v>
      </c>
      <c r="BT241" s="1">
        <f t="shared" si="96"/>
        <v>1.2000237714227424</v>
      </c>
      <c r="BU241" s="30">
        <v>8524</v>
      </c>
      <c r="BV241" s="30">
        <v>6</v>
      </c>
      <c r="BW241" s="47">
        <v>769088</v>
      </c>
      <c r="BX241" s="52">
        <f t="shared" si="97"/>
        <v>0.3502359382015871</v>
      </c>
      <c r="BY241" s="47">
        <v>2012784</v>
      </c>
      <c r="BZ241" s="47">
        <v>25559</v>
      </c>
      <c r="CA241" s="47">
        <v>1931027</v>
      </c>
      <c r="CB241" s="47">
        <v>355202</v>
      </c>
      <c r="CC241" s="47">
        <v>4324572</v>
      </c>
      <c r="CD241" s="55">
        <f t="shared" si="98"/>
        <v>1.9693722067439801</v>
      </c>
      <c r="CE241" s="3">
        <f t="shared" si="99"/>
        <v>7891.554744525547</v>
      </c>
      <c r="CF241" s="55">
        <f t="shared" si="100"/>
        <v>54.272884716749076</v>
      </c>
      <c r="CG241" s="55">
        <f t="shared" si="101"/>
        <v>1.059886966879237</v>
      </c>
      <c r="CH241" s="55">
        <f t="shared" si="102"/>
        <v>1.4966178383081943</v>
      </c>
      <c r="CI241" s="30">
        <v>6394</v>
      </c>
      <c r="CJ241" s="30">
        <v>2380</v>
      </c>
      <c r="CK241" s="30">
        <v>8041</v>
      </c>
      <c r="CL241" s="30">
        <v>16815</v>
      </c>
      <c r="CM241" s="30">
        <v>156029</v>
      </c>
      <c r="CN241" s="30">
        <v>42320</v>
      </c>
      <c r="CO241" s="30">
        <v>65585</v>
      </c>
      <c r="CP241" s="30">
        <v>263934</v>
      </c>
      <c r="CQ241" s="1">
        <f t="shared" si="110"/>
        <v>0.12019323161107402</v>
      </c>
      <c r="CR241" s="47">
        <v>4080220</v>
      </c>
      <c r="CS241" s="55">
        <f t="shared" si="103"/>
        <v>1.8580964463999956</v>
      </c>
      <c r="CT241" s="59">
        <v>942529</v>
      </c>
      <c r="CU241" s="29" t="s">
        <v>25</v>
      </c>
      <c r="CV241" s="29" t="s">
        <v>25</v>
      </c>
      <c r="CW241" s="29" t="s">
        <v>25</v>
      </c>
      <c r="CX241" s="35">
        <v>111.5</v>
      </c>
      <c r="CY241" s="49">
        <f>C241/CX241</f>
        <v>19694.295964125562</v>
      </c>
      <c r="CZ241" s="35">
        <v>52</v>
      </c>
      <c r="DA241" s="35">
        <v>384.5</v>
      </c>
      <c r="DB241" s="35">
        <v>548</v>
      </c>
      <c r="DC241" s="49">
        <f t="shared" si="104"/>
        <v>4007.1423357664235</v>
      </c>
      <c r="DD241" s="30">
        <v>47791</v>
      </c>
      <c r="DE241" s="31">
        <v>158524</v>
      </c>
      <c r="DF241" s="35">
        <v>60</v>
      </c>
      <c r="DG241" s="29" t="s">
        <v>25</v>
      </c>
      <c r="DH241" s="29" t="s">
        <v>25</v>
      </c>
      <c r="DI241" s="29" t="s">
        <v>25</v>
      </c>
      <c r="DJ241" s="47">
        <v>9310</v>
      </c>
      <c r="DK241" s="47">
        <v>1436</v>
      </c>
      <c r="DL241" s="47">
        <v>1297</v>
      </c>
      <c r="DM241" s="47">
        <v>1185065</v>
      </c>
      <c r="DN241" s="47">
        <v>27227</v>
      </c>
      <c r="DO241" s="47">
        <v>2811029</v>
      </c>
      <c r="DP241" s="29" t="s">
        <v>25</v>
      </c>
      <c r="DQ241" s="47">
        <v>4540452</v>
      </c>
      <c r="DR241" s="47">
        <v>2907</v>
      </c>
      <c r="DS241" s="30">
        <v>50</v>
      </c>
      <c r="DT241" s="30">
        <v>64</v>
      </c>
      <c r="DU241" s="30">
        <v>54</v>
      </c>
      <c r="DV241" s="30">
        <v>54</v>
      </c>
      <c r="DW241">
        <f>VLOOKUP(EC241,branch!$I$4:$K$77,3,0)</f>
        <v>76775</v>
      </c>
      <c r="DX241" s="2">
        <f t="shared" si="105"/>
        <v>79682</v>
      </c>
      <c r="DY241" s="33" t="s">
        <v>2185</v>
      </c>
      <c r="DZ241" s="33" t="s">
        <v>683</v>
      </c>
      <c r="EA241" s="33" t="s">
        <v>2030</v>
      </c>
      <c r="EB241" s="33" t="s">
        <v>2027</v>
      </c>
      <c r="EC241" s="36">
        <v>189</v>
      </c>
      <c r="ED241" s="29" t="s">
        <v>682</v>
      </c>
      <c r="EE241" s="29" t="s">
        <v>140</v>
      </c>
      <c r="EF241" s="37">
        <v>41456</v>
      </c>
      <c r="EG241" s="37">
        <v>41820</v>
      </c>
      <c r="EH241" s="29" t="s">
        <v>682</v>
      </c>
      <c r="EI241" s="55">
        <f t="shared" si="106"/>
        <v>0.91660420216820881</v>
      </c>
      <c r="EJ241" s="54">
        <f t="shared" si="107"/>
        <v>1.1639344710220892E-2</v>
      </c>
      <c r="EK241" s="55">
        <f t="shared" si="108"/>
        <v>0.87937278053694268</v>
      </c>
      <c r="EL241" s="54">
        <f t="shared" si="109"/>
        <v>0.16175587932860758</v>
      </c>
    </row>
    <row r="242" spans="1:142" ht="28.8" x14ac:dyDescent="0.3">
      <c r="A242" s="29" t="s">
        <v>2058</v>
      </c>
      <c r="B242" s="29"/>
      <c r="C242" s="30">
        <v>1896701</v>
      </c>
      <c r="D242" s="30">
        <v>28</v>
      </c>
      <c r="E242" s="30">
        <v>0</v>
      </c>
      <c r="F242" s="30">
        <v>0</v>
      </c>
      <c r="G242">
        <v>501751</v>
      </c>
      <c r="H242" s="2">
        <f t="shared" si="85"/>
        <v>501751</v>
      </c>
      <c r="I242" s="1">
        <f t="shared" si="84"/>
        <v>0.26453879657362966</v>
      </c>
      <c r="J242" s="31">
        <v>12086509</v>
      </c>
      <c r="K242" s="31">
        <v>5521699</v>
      </c>
      <c r="L242" s="31">
        <v>17608208</v>
      </c>
      <c r="M242" s="45">
        <f t="shared" si="86"/>
        <v>9.2835971510533284</v>
      </c>
      <c r="N242" s="31">
        <v>1933930</v>
      </c>
      <c r="O242" s="31">
        <v>612565</v>
      </c>
      <c r="P242" s="31">
        <v>277958</v>
      </c>
      <c r="Q242" s="31">
        <v>2824453</v>
      </c>
      <c r="R242" s="45">
        <f t="shared" si="87"/>
        <v>1.4891398275215757</v>
      </c>
      <c r="S242" s="31">
        <v>4193119</v>
      </c>
      <c r="T242" s="31">
        <v>24625780</v>
      </c>
      <c r="U242" s="31">
        <v>1681186</v>
      </c>
      <c r="V242" s="31">
        <v>26306966</v>
      </c>
      <c r="W242" s="45">
        <f t="shared" si="88"/>
        <v>13.869854025489522</v>
      </c>
      <c r="X242" s="4">
        <f t="shared" si="89"/>
        <v>0.66933632711579127</v>
      </c>
      <c r="Y242" s="4">
        <f t="shared" si="90"/>
        <v>0.10736521269689557</v>
      </c>
      <c r="Z242" s="4">
        <f t="shared" si="91"/>
        <v>0.15939196485067872</v>
      </c>
      <c r="AA242" s="4">
        <f t="shared" si="92"/>
        <v>6.3906495336634409E-2</v>
      </c>
      <c r="AB242" s="31">
        <v>85590</v>
      </c>
      <c r="AC242" s="31">
        <v>2806551</v>
      </c>
      <c r="AD242" s="31">
        <v>26212408</v>
      </c>
      <c r="AE242" s="31">
        <v>25901057</v>
      </c>
      <c r="AF242" s="31">
        <v>573875</v>
      </c>
      <c r="AG242" s="31">
        <v>23645996</v>
      </c>
      <c r="AH242" s="31">
        <v>0</v>
      </c>
      <c r="AI242" s="31">
        <v>24219871</v>
      </c>
      <c r="AJ242" s="45">
        <f t="shared" si="93"/>
        <v>12.769472362802571</v>
      </c>
      <c r="AK242" s="31">
        <v>0</v>
      </c>
      <c r="AL242" s="31">
        <v>0</v>
      </c>
      <c r="AM242" s="31">
        <v>75058</v>
      </c>
      <c r="AN242" s="31">
        <v>75058</v>
      </c>
      <c r="AO242" s="31">
        <v>19500</v>
      </c>
      <c r="AP242" s="31">
        <v>450522</v>
      </c>
      <c r="AQ242" s="31">
        <v>470022</v>
      </c>
      <c r="AR242" s="31">
        <v>24764951</v>
      </c>
      <c r="AS242" s="46">
        <f t="shared" si="94"/>
        <v>13.056855561314093</v>
      </c>
      <c r="AT242" s="31">
        <v>0</v>
      </c>
      <c r="AU242" s="31">
        <v>0</v>
      </c>
      <c r="AV242" s="31">
        <v>0</v>
      </c>
      <c r="AW242" s="31">
        <v>0</v>
      </c>
      <c r="AX242" s="31">
        <v>0</v>
      </c>
      <c r="AY242" s="31">
        <v>0</v>
      </c>
      <c r="AZ242" s="31">
        <v>0</v>
      </c>
      <c r="BA242" s="31">
        <v>0</v>
      </c>
      <c r="BB242" s="31">
        <v>0</v>
      </c>
      <c r="BC242" s="33" t="s">
        <v>25</v>
      </c>
      <c r="BD242" s="47">
        <v>348640</v>
      </c>
      <c r="BE242" s="47">
        <v>1939368</v>
      </c>
      <c r="BF242" s="45">
        <f t="shared" si="95"/>
        <v>1.0224953748640402</v>
      </c>
      <c r="BG242" s="30">
        <v>25477</v>
      </c>
      <c r="BH242" s="30">
        <v>93964</v>
      </c>
      <c r="BI242" s="30">
        <v>21093</v>
      </c>
      <c r="BJ242" s="30">
        <v>31184</v>
      </c>
      <c r="BK242" s="30">
        <v>114845</v>
      </c>
      <c r="BL242" s="30">
        <v>735</v>
      </c>
      <c r="BM242" s="30">
        <v>55742</v>
      </c>
      <c r="BN242" s="30">
        <v>17</v>
      </c>
      <c r="BO242" s="30">
        <v>51</v>
      </c>
      <c r="BP242" s="30">
        <v>3</v>
      </c>
      <c r="BQ242" s="30">
        <v>71</v>
      </c>
      <c r="BR242" s="47">
        <v>405301</v>
      </c>
      <c r="BS242" s="47">
        <v>2225764</v>
      </c>
      <c r="BT242" s="1">
        <f t="shared" si="96"/>
        <v>1.1734922900341171</v>
      </c>
      <c r="BU242" s="30">
        <v>2133</v>
      </c>
      <c r="BV242" s="30">
        <v>0</v>
      </c>
      <c r="BW242" s="47">
        <v>1303167</v>
      </c>
      <c r="BX242" s="52">
        <f t="shared" si="97"/>
        <v>0.68707033950000551</v>
      </c>
      <c r="BY242" s="47">
        <v>3416071</v>
      </c>
      <c r="BZ242" s="47">
        <v>229419</v>
      </c>
      <c r="CA242" s="47">
        <v>5503591</v>
      </c>
      <c r="CB242" s="47">
        <v>609169</v>
      </c>
      <c r="CC242" s="47">
        <v>9758250</v>
      </c>
      <c r="CD242" s="55">
        <f t="shared" si="98"/>
        <v>5.1448541441165476</v>
      </c>
      <c r="CE242" s="3">
        <f t="shared" si="99"/>
        <v>28424.847072531313</v>
      </c>
      <c r="CF242" s="55">
        <f t="shared" si="100"/>
        <v>150.92800247467326</v>
      </c>
      <c r="CG242" s="55">
        <f t="shared" si="101"/>
        <v>2.0235747259130168</v>
      </c>
      <c r="CH242" s="55">
        <f t="shared" si="102"/>
        <v>4.0074608089626755</v>
      </c>
      <c r="CI242" s="30">
        <v>7784</v>
      </c>
      <c r="CJ242" s="30">
        <v>1565</v>
      </c>
      <c r="CK242" s="30">
        <v>24015</v>
      </c>
      <c r="CL242" s="30">
        <v>33364</v>
      </c>
      <c r="CM242" s="30">
        <v>212438</v>
      </c>
      <c r="CN242" s="30">
        <v>23893</v>
      </c>
      <c r="CO242" s="30">
        <v>571069</v>
      </c>
      <c r="CP242" s="30">
        <v>807400</v>
      </c>
      <c r="CQ242" s="1">
        <f t="shared" si="110"/>
        <v>0.42568649460299751</v>
      </c>
      <c r="CR242" s="47">
        <v>4822283</v>
      </c>
      <c r="CS242" s="55">
        <f t="shared" si="103"/>
        <v>2.542458194517744</v>
      </c>
      <c r="CT242" s="59">
        <v>1188234</v>
      </c>
      <c r="CU242" s="29" t="s">
        <v>25</v>
      </c>
      <c r="CV242" s="29" t="s">
        <v>25</v>
      </c>
      <c r="CW242" s="29" t="s">
        <v>25</v>
      </c>
      <c r="CX242" s="35">
        <v>108.7</v>
      </c>
      <c r="CY242" s="49">
        <f>C242/CX242</f>
        <v>17448.951241950323</v>
      </c>
      <c r="CZ242" s="35">
        <v>0</v>
      </c>
      <c r="DA242" s="35">
        <v>234.6</v>
      </c>
      <c r="DB242" s="35">
        <v>343.3</v>
      </c>
      <c r="DC242" s="49">
        <f t="shared" si="104"/>
        <v>5524.9082435187884</v>
      </c>
      <c r="DD242" s="30">
        <v>58788</v>
      </c>
      <c r="DE242" s="31">
        <v>150800</v>
      </c>
      <c r="DF242" s="35">
        <v>40</v>
      </c>
      <c r="DG242" s="29" t="s">
        <v>25</v>
      </c>
      <c r="DH242" s="29" t="s">
        <v>25</v>
      </c>
      <c r="DI242" s="29" t="s">
        <v>25</v>
      </c>
      <c r="DJ242" s="47">
        <v>13670</v>
      </c>
      <c r="DK242" s="47">
        <v>4258</v>
      </c>
      <c r="DL242" s="47">
        <v>1839</v>
      </c>
      <c r="DM242" s="47">
        <v>1069430</v>
      </c>
      <c r="DN242" s="47">
        <v>20839</v>
      </c>
      <c r="DO242" s="47">
        <v>207998</v>
      </c>
      <c r="DP242" s="29" t="s">
        <v>25</v>
      </c>
      <c r="DQ242" s="47">
        <v>5567804</v>
      </c>
      <c r="DR242" s="47">
        <v>0</v>
      </c>
      <c r="DS242" s="30">
        <v>0</v>
      </c>
      <c r="DT242" s="30">
        <v>85</v>
      </c>
      <c r="DU242" s="30">
        <v>0</v>
      </c>
      <c r="DV242" s="30">
        <v>0</v>
      </c>
      <c r="DW242">
        <f>VLOOKUP(EC242,branch!$I$4:$K$77,3,0)</f>
        <v>64655</v>
      </c>
      <c r="DX242" s="2">
        <f t="shared" si="105"/>
        <v>64655</v>
      </c>
      <c r="DY242" s="33" t="s">
        <v>2185</v>
      </c>
      <c r="DZ242" s="33" t="s">
        <v>685</v>
      </c>
      <c r="EA242" s="33" t="s">
        <v>2031</v>
      </c>
      <c r="EB242" s="33" t="s">
        <v>2027</v>
      </c>
      <c r="EC242" s="36">
        <v>190</v>
      </c>
      <c r="ED242" s="29" t="s">
        <v>684</v>
      </c>
      <c r="EE242" s="29" t="s">
        <v>140</v>
      </c>
      <c r="EF242" s="37">
        <v>41334</v>
      </c>
      <c r="EG242" s="37">
        <v>41698</v>
      </c>
      <c r="EH242" s="29" t="s">
        <v>684</v>
      </c>
      <c r="EI242" s="55">
        <f t="shared" si="106"/>
        <v>1.8010593129860741</v>
      </c>
      <c r="EJ242" s="54">
        <f t="shared" si="107"/>
        <v>0.12095686141358074</v>
      </c>
      <c r="EK242" s="55">
        <f t="shared" si="108"/>
        <v>2.9016650489455111</v>
      </c>
      <c r="EL242" s="54">
        <f t="shared" si="109"/>
        <v>0.32117292077138149</v>
      </c>
    </row>
    <row r="243" spans="1:142" ht="28.8" x14ac:dyDescent="0.3">
      <c r="A243" s="29" t="s">
        <v>686</v>
      </c>
      <c r="B243" s="29"/>
      <c r="C243" s="30">
        <v>7490</v>
      </c>
      <c r="D243" s="30">
        <v>0</v>
      </c>
      <c r="E243" s="30">
        <v>0</v>
      </c>
      <c r="F243" s="30">
        <v>4500</v>
      </c>
      <c r="H243" s="2">
        <f t="shared" si="85"/>
        <v>4500</v>
      </c>
      <c r="I243" s="1">
        <f t="shared" si="84"/>
        <v>0.6008010680907877</v>
      </c>
      <c r="J243" s="31">
        <v>88734</v>
      </c>
      <c r="K243" s="31">
        <v>5716</v>
      </c>
      <c r="L243" s="31">
        <v>94450</v>
      </c>
      <c r="M243" s="45">
        <f t="shared" si="86"/>
        <v>12.610146862483312</v>
      </c>
      <c r="N243" s="31">
        <v>7802</v>
      </c>
      <c r="O243" s="31">
        <v>1480</v>
      </c>
      <c r="P243" s="31">
        <v>813</v>
      </c>
      <c r="Q243" s="31">
        <v>10095</v>
      </c>
      <c r="R243" s="45">
        <f t="shared" si="87"/>
        <v>1.3477970627503337</v>
      </c>
      <c r="S243" s="31">
        <v>46118</v>
      </c>
      <c r="T243" s="31">
        <v>150663</v>
      </c>
      <c r="U243" s="31">
        <v>0</v>
      </c>
      <c r="V243" s="31">
        <v>150663</v>
      </c>
      <c r="W243" s="45">
        <f t="shared" si="88"/>
        <v>20.115220293724967</v>
      </c>
      <c r="X243" s="4">
        <f t="shared" si="89"/>
        <v>0.6268957872868588</v>
      </c>
      <c r="Y243" s="4">
        <f t="shared" si="90"/>
        <v>6.7003843013878656E-2</v>
      </c>
      <c r="Z243" s="4">
        <f t="shared" si="91"/>
        <v>0.30610036969926258</v>
      </c>
      <c r="AA243" s="4">
        <f t="shared" si="92"/>
        <v>0</v>
      </c>
      <c r="AB243" s="31">
        <v>0</v>
      </c>
      <c r="AC243" s="31">
        <v>10095</v>
      </c>
      <c r="AD243" s="31">
        <v>150663</v>
      </c>
      <c r="AE243" s="31">
        <v>150613</v>
      </c>
      <c r="AF243" s="31">
        <v>24948</v>
      </c>
      <c r="AG243" s="31">
        <v>1234</v>
      </c>
      <c r="AH243" s="31">
        <v>124431</v>
      </c>
      <c r="AI243" s="31">
        <v>150613</v>
      </c>
      <c r="AJ243" s="45">
        <f t="shared" si="93"/>
        <v>20.108544726301737</v>
      </c>
      <c r="AK243" s="31">
        <v>0</v>
      </c>
      <c r="AL243" s="31">
        <v>0</v>
      </c>
      <c r="AM243" s="31">
        <v>0</v>
      </c>
      <c r="AN243" s="31">
        <v>0</v>
      </c>
      <c r="AO243" s="31">
        <v>0</v>
      </c>
      <c r="AP243" s="31">
        <v>50</v>
      </c>
      <c r="AQ243" s="31">
        <v>50</v>
      </c>
      <c r="AR243" s="31">
        <v>150663</v>
      </c>
      <c r="AS243" s="46">
        <f t="shared" si="94"/>
        <v>20.115220293724967</v>
      </c>
      <c r="AT243" s="31">
        <v>0</v>
      </c>
      <c r="AU243" s="31">
        <v>0</v>
      </c>
      <c r="AV243" s="31">
        <v>0</v>
      </c>
      <c r="AW243" s="31">
        <v>0</v>
      </c>
      <c r="AX243" s="31">
        <v>0</v>
      </c>
      <c r="AY243" s="31">
        <v>0</v>
      </c>
      <c r="AZ243" s="31">
        <v>0</v>
      </c>
      <c r="BA243" s="31">
        <v>0</v>
      </c>
      <c r="BB243" s="31">
        <v>0</v>
      </c>
      <c r="BC243" s="33" t="s">
        <v>25</v>
      </c>
      <c r="BD243" s="47">
        <v>18789</v>
      </c>
      <c r="BE243" s="47">
        <v>19263</v>
      </c>
      <c r="BF243" s="45">
        <f t="shared" si="95"/>
        <v>2.5718291054739653</v>
      </c>
      <c r="BG243" s="30">
        <v>302</v>
      </c>
      <c r="BH243" s="30">
        <v>304</v>
      </c>
      <c r="BI243" s="30">
        <v>34</v>
      </c>
      <c r="BJ243" s="30">
        <v>1525</v>
      </c>
      <c r="BK243" s="30">
        <v>1532</v>
      </c>
      <c r="BL243" s="30">
        <v>0</v>
      </c>
      <c r="BM243" s="30">
        <v>232</v>
      </c>
      <c r="BN243" s="30">
        <v>19</v>
      </c>
      <c r="BO243" s="30">
        <v>51</v>
      </c>
      <c r="BP243" s="30">
        <v>0</v>
      </c>
      <c r="BQ243" s="30">
        <v>70</v>
      </c>
      <c r="BR243" s="47">
        <v>20616</v>
      </c>
      <c r="BS243" s="47">
        <v>21384</v>
      </c>
      <c r="BT243" s="1">
        <f t="shared" si="96"/>
        <v>2.8550066755674233</v>
      </c>
      <c r="BU243" s="30">
        <v>89</v>
      </c>
      <c r="BV243" s="30">
        <v>0</v>
      </c>
      <c r="BW243" s="47">
        <v>9232</v>
      </c>
      <c r="BX243" s="52">
        <f t="shared" si="97"/>
        <v>1.2325767690253671</v>
      </c>
      <c r="BY243" s="47">
        <v>31058</v>
      </c>
      <c r="BZ243" s="47">
        <v>1334</v>
      </c>
      <c r="CA243" s="47">
        <v>6701</v>
      </c>
      <c r="CB243" s="47">
        <v>50</v>
      </c>
      <c r="CC243" s="47">
        <v>39143</v>
      </c>
      <c r="CD243" s="55">
        <f t="shared" si="98"/>
        <v>5.2260347129506011</v>
      </c>
      <c r="CE243" s="3">
        <f t="shared" si="99"/>
        <v>18864.096385542169</v>
      </c>
      <c r="CF243" s="55">
        <f t="shared" si="100"/>
        <v>16.141443298969072</v>
      </c>
      <c r="CG243" s="55">
        <f t="shared" si="101"/>
        <v>1.230989370400654</v>
      </c>
      <c r="CH243" s="55">
        <f t="shared" si="102"/>
        <v>1.7657594463150019</v>
      </c>
      <c r="CI243" s="30">
        <v>879</v>
      </c>
      <c r="CJ243" s="30">
        <v>231</v>
      </c>
      <c r="CK243" s="30">
        <v>10</v>
      </c>
      <c r="CL243" s="30">
        <v>1120</v>
      </c>
      <c r="CM243" s="30">
        <v>14855</v>
      </c>
      <c r="CN243" s="30">
        <v>3478</v>
      </c>
      <c r="CO243" s="30">
        <v>350</v>
      </c>
      <c r="CP243" s="30">
        <v>18683</v>
      </c>
      <c r="CQ243" s="1">
        <f t="shared" si="110"/>
        <v>2.4943925233644859</v>
      </c>
      <c r="CR243" s="47">
        <v>31798</v>
      </c>
      <c r="CS243" s="55">
        <f t="shared" si="103"/>
        <v>4.2453938584779705</v>
      </c>
      <c r="CT243" s="59">
        <v>2242</v>
      </c>
      <c r="CU243" s="29" t="s">
        <v>25</v>
      </c>
      <c r="CV243" s="29" t="s">
        <v>25</v>
      </c>
      <c r="CW243" s="29" t="s">
        <v>25</v>
      </c>
      <c r="CX243" s="35">
        <v>1</v>
      </c>
      <c r="CY243" s="49">
        <f>C243/CX243</f>
        <v>7490</v>
      </c>
      <c r="CZ243" s="35">
        <v>0</v>
      </c>
      <c r="DA243" s="35">
        <v>1.075</v>
      </c>
      <c r="DB243" s="35">
        <v>2.0750000000000002</v>
      </c>
      <c r="DC243" s="49">
        <f t="shared" si="104"/>
        <v>3609.6385542168673</v>
      </c>
      <c r="DD243" s="30">
        <v>536</v>
      </c>
      <c r="DE243" s="31">
        <v>62433</v>
      </c>
      <c r="DF243" s="35">
        <v>40</v>
      </c>
      <c r="DG243" s="29" t="s">
        <v>25</v>
      </c>
      <c r="DH243" s="29" t="s">
        <v>25</v>
      </c>
      <c r="DI243" s="29" t="s">
        <v>25</v>
      </c>
      <c r="DJ243" s="47">
        <v>12</v>
      </c>
      <c r="DK243" s="47">
        <v>17</v>
      </c>
      <c r="DL243" s="47">
        <v>10</v>
      </c>
      <c r="DM243" s="47">
        <v>3156</v>
      </c>
      <c r="DN243" s="47">
        <v>1656</v>
      </c>
      <c r="DO243" s="47">
        <v>290</v>
      </c>
      <c r="DP243" s="29" t="s">
        <v>25</v>
      </c>
      <c r="DQ243" s="47">
        <v>4734</v>
      </c>
      <c r="DR243" s="47">
        <v>2425</v>
      </c>
      <c r="DS243" s="30">
        <v>50</v>
      </c>
      <c r="DT243" s="30">
        <v>51</v>
      </c>
      <c r="DU243" s="30">
        <v>51</v>
      </c>
      <c r="DV243" s="30">
        <v>48</v>
      </c>
      <c r="DX243" s="2">
        <f t="shared" si="105"/>
        <v>2425</v>
      </c>
      <c r="DY243" s="33" t="s">
        <v>2182</v>
      </c>
      <c r="DZ243" s="33" t="s">
        <v>688</v>
      </c>
      <c r="EA243" s="33" t="s">
        <v>2030</v>
      </c>
      <c r="EB243" s="33" t="s">
        <v>2027</v>
      </c>
      <c r="EC243" s="36">
        <v>191</v>
      </c>
      <c r="ED243" s="29" t="s">
        <v>687</v>
      </c>
      <c r="EE243" s="29" t="s">
        <v>421</v>
      </c>
      <c r="EF243" s="37">
        <v>41518</v>
      </c>
      <c r="EG243" s="37">
        <v>41882</v>
      </c>
      <c r="EH243" s="29" t="s">
        <v>687</v>
      </c>
      <c r="EI243" s="55">
        <f t="shared" si="106"/>
        <v>4.1465954606141526</v>
      </c>
      <c r="EJ243" s="54">
        <f t="shared" si="107"/>
        <v>0.1781041388518024</v>
      </c>
      <c r="EK243" s="55">
        <f t="shared" si="108"/>
        <v>0.89465954606141518</v>
      </c>
      <c r="EL243" s="54">
        <f t="shared" si="109"/>
        <v>6.6755674232309749E-3</v>
      </c>
    </row>
    <row r="244" spans="1:142" ht="43.2" x14ac:dyDescent="0.3">
      <c r="A244" s="29" t="s">
        <v>1811</v>
      </c>
      <c r="B244" s="29"/>
      <c r="C244" s="30">
        <v>1766</v>
      </c>
      <c r="D244" s="30">
        <v>0</v>
      </c>
      <c r="E244" s="30">
        <v>0</v>
      </c>
      <c r="F244" s="30">
        <v>4698</v>
      </c>
      <c r="H244" s="2">
        <f t="shared" si="85"/>
        <v>4698</v>
      </c>
      <c r="I244" s="1">
        <f t="shared" si="84"/>
        <v>2.6602491506228767</v>
      </c>
      <c r="J244" s="31">
        <v>18700</v>
      </c>
      <c r="K244" s="31">
        <v>1430</v>
      </c>
      <c r="L244" s="31">
        <v>20130</v>
      </c>
      <c r="M244" s="45">
        <f t="shared" si="86"/>
        <v>11.398640996602492</v>
      </c>
      <c r="N244" s="31">
        <v>4779</v>
      </c>
      <c r="O244" s="31">
        <v>0</v>
      </c>
      <c r="P244" s="31">
        <v>344</v>
      </c>
      <c r="Q244" s="31">
        <v>5123</v>
      </c>
      <c r="R244" s="45">
        <f t="shared" si="87"/>
        <v>2.9009060022650055</v>
      </c>
      <c r="S244" s="31">
        <v>15101</v>
      </c>
      <c r="T244" s="31">
        <v>40354</v>
      </c>
      <c r="U244" s="31">
        <v>0</v>
      </c>
      <c r="V244" s="31">
        <v>40354</v>
      </c>
      <c r="W244" s="45">
        <f t="shared" si="88"/>
        <v>22.850509626274064</v>
      </c>
      <c r="X244" s="4">
        <f t="shared" si="89"/>
        <v>0.49883530752837391</v>
      </c>
      <c r="Y244" s="4">
        <f t="shared" si="90"/>
        <v>0.12695147940724588</v>
      </c>
      <c r="Z244" s="4">
        <f t="shared" si="91"/>
        <v>0.37421321306438021</v>
      </c>
      <c r="AA244" s="4">
        <f t="shared" si="92"/>
        <v>0</v>
      </c>
      <c r="AB244" s="31">
        <v>0</v>
      </c>
      <c r="AC244" s="31">
        <v>2137</v>
      </c>
      <c r="AD244" s="31">
        <v>35354</v>
      </c>
      <c r="AE244" s="31">
        <v>5000</v>
      </c>
      <c r="AF244" s="31">
        <v>5000</v>
      </c>
      <c r="AG244" s="31">
        <v>0</v>
      </c>
      <c r="AH244" s="31">
        <v>0</v>
      </c>
      <c r="AI244" s="31">
        <v>5000</v>
      </c>
      <c r="AJ244" s="45">
        <f t="shared" si="93"/>
        <v>2.8312570781426953</v>
      </c>
      <c r="AK244" s="31">
        <v>0</v>
      </c>
      <c r="AL244" s="31">
        <v>0</v>
      </c>
      <c r="AM244" s="31">
        <v>0</v>
      </c>
      <c r="AN244" s="31">
        <v>0</v>
      </c>
      <c r="AO244" s="31">
        <v>2500</v>
      </c>
      <c r="AP244" s="31">
        <v>31397</v>
      </c>
      <c r="AQ244" s="31">
        <v>33897</v>
      </c>
      <c r="AR244" s="31">
        <v>38897</v>
      </c>
      <c r="AS244" s="46">
        <f t="shared" si="94"/>
        <v>22.025481313703285</v>
      </c>
      <c r="AT244" s="31">
        <v>0</v>
      </c>
      <c r="AU244" s="31">
        <v>0</v>
      </c>
      <c r="AV244" s="31">
        <v>0</v>
      </c>
      <c r="AW244" s="31">
        <v>0</v>
      </c>
      <c r="AX244" s="31">
        <v>0</v>
      </c>
      <c r="AY244" s="31">
        <v>0</v>
      </c>
      <c r="AZ244" s="31">
        <v>0</v>
      </c>
      <c r="BA244" s="31">
        <v>0</v>
      </c>
      <c r="BB244" s="31">
        <v>0</v>
      </c>
      <c r="BC244" s="33" t="s">
        <v>25</v>
      </c>
      <c r="BD244" s="47">
        <v>13572</v>
      </c>
      <c r="BE244" s="47">
        <v>15507</v>
      </c>
      <c r="BF244" s="45">
        <f t="shared" si="95"/>
        <v>8.780860702151756</v>
      </c>
      <c r="BG244" s="30">
        <v>377</v>
      </c>
      <c r="BH244" s="30">
        <v>393</v>
      </c>
      <c r="BI244" s="30">
        <v>0</v>
      </c>
      <c r="BJ244" s="30">
        <v>629</v>
      </c>
      <c r="BK244" s="30">
        <v>652</v>
      </c>
      <c r="BL244" s="30">
        <v>0</v>
      </c>
      <c r="BM244" s="30">
        <v>0</v>
      </c>
      <c r="BN244" s="30">
        <v>0</v>
      </c>
      <c r="BO244" s="30">
        <v>51</v>
      </c>
      <c r="BP244" s="30">
        <v>0</v>
      </c>
      <c r="BQ244" s="30">
        <v>51</v>
      </c>
      <c r="BR244" s="47">
        <v>14578</v>
      </c>
      <c r="BS244" s="47">
        <v>16552</v>
      </c>
      <c r="BT244" s="1">
        <f t="shared" si="96"/>
        <v>9.3725934314835779</v>
      </c>
      <c r="BU244" s="30">
        <v>14</v>
      </c>
      <c r="BV244" s="30">
        <v>0</v>
      </c>
      <c r="BW244" s="47">
        <v>1409</v>
      </c>
      <c r="BX244" s="52">
        <f t="shared" si="97"/>
        <v>0.79784824462061155</v>
      </c>
      <c r="BY244" s="47">
        <v>7180</v>
      </c>
      <c r="BZ244" s="47">
        <v>0</v>
      </c>
      <c r="CA244" s="47">
        <v>9529</v>
      </c>
      <c r="CB244" s="47">
        <v>0</v>
      </c>
      <c r="CC244" s="47">
        <v>16709</v>
      </c>
      <c r="CD244" s="55">
        <f t="shared" si="98"/>
        <v>9.4614949037372593</v>
      </c>
      <c r="CE244" s="3">
        <f t="shared" si="99"/>
        <v>8354.5</v>
      </c>
      <c r="CF244" s="55">
        <f t="shared" si="100"/>
        <v>15.273308957952468</v>
      </c>
      <c r="CG244" s="55">
        <f t="shared" si="101"/>
        <v>1.6727400140154169</v>
      </c>
      <c r="CH244" s="55">
        <f t="shared" si="102"/>
        <v>1.0094852585790237</v>
      </c>
      <c r="CI244" s="30">
        <v>51</v>
      </c>
      <c r="CJ244" s="30">
        <v>6</v>
      </c>
      <c r="CK244" s="30">
        <v>137</v>
      </c>
      <c r="CL244" s="30">
        <v>194</v>
      </c>
      <c r="CM244" s="30">
        <v>2440</v>
      </c>
      <c r="CN244" s="30">
        <v>61</v>
      </c>
      <c r="CO244" s="30">
        <v>3454</v>
      </c>
      <c r="CP244" s="30">
        <v>5955</v>
      </c>
      <c r="CQ244" s="1">
        <f t="shared" si="110"/>
        <v>3.37202718006795</v>
      </c>
      <c r="CR244" s="47">
        <v>9989</v>
      </c>
      <c r="CS244" s="55">
        <f t="shared" si="103"/>
        <v>5.6562853907134771</v>
      </c>
      <c r="CT244" s="59">
        <v>1920</v>
      </c>
      <c r="CU244" s="29" t="s">
        <v>25</v>
      </c>
      <c r="CV244" s="29" t="s">
        <v>25</v>
      </c>
      <c r="CW244" s="29" t="s">
        <v>25</v>
      </c>
      <c r="CX244" s="35">
        <v>0</v>
      </c>
      <c r="CY244" s="49">
        <v>0</v>
      </c>
      <c r="CZ244" s="35">
        <v>0.9</v>
      </c>
      <c r="DA244" s="35">
        <v>1.1000000000000001</v>
      </c>
      <c r="DB244" s="35">
        <v>2</v>
      </c>
      <c r="DC244" s="49">
        <f t="shared" si="104"/>
        <v>883</v>
      </c>
      <c r="DD244" s="30">
        <v>5216</v>
      </c>
      <c r="DE244" s="31">
        <v>1</v>
      </c>
      <c r="DF244" s="35">
        <v>36</v>
      </c>
      <c r="DG244" s="29" t="s">
        <v>25</v>
      </c>
      <c r="DH244" s="29" t="s">
        <v>25</v>
      </c>
      <c r="DI244" s="29" t="s">
        <v>25</v>
      </c>
      <c r="DJ244" s="47">
        <v>1</v>
      </c>
      <c r="DK244" s="47">
        <v>18</v>
      </c>
      <c r="DL244" s="47">
        <v>11</v>
      </c>
      <c r="DM244" s="47">
        <v>3167</v>
      </c>
      <c r="DN244" s="47">
        <v>170</v>
      </c>
      <c r="DO244" s="47">
        <v>1325</v>
      </c>
      <c r="DP244" s="29" t="s">
        <v>25</v>
      </c>
      <c r="DQ244" s="47">
        <v>4318</v>
      </c>
      <c r="DR244" s="47">
        <v>1094</v>
      </c>
      <c r="DS244" s="30">
        <v>52</v>
      </c>
      <c r="DT244" s="30">
        <v>26</v>
      </c>
      <c r="DU244" s="30">
        <v>26</v>
      </c>
      <c r="DV244" s="30">
        <v>26</v>
      </c>
      <c r="DX244" s="2">
        <f t="shared" si="105"/>
        <v>1094</v>
      </c>
      <c r="DY244" s="33" t="s">
        <v>2182</v>
      </c>
      <c r="DZ244" s="33" t="s">
        <v>1812</v>
      </c>
      <c r="EA244" s="33" t="s">
        <v>2032</v>
      </c>
      <c r="EB244" s="33" t="s">
        <v>2027</v>
      </c>
      <c r="EC244" s="36">
        <v>643</v>
      </c>
      <c r="ED244" s="29" t="s">
        <v>1810</v>
      </c>
      <c r="EE244" s="29" t="s">
        <v>106</v>
      </c>
      <c r="EF244" s="37">
        <v>41640</v>
      </c>
      <c r="EG244" s="37">
        <v>42004</v>
      </c>
      <c r="EH244" s="29" t="s">
        <v>1810</v>
      </c>
      <c r="EI244" s="55">
        <f t="shared" si="106"/>
        <v>4.0656851642129102</v>
      </c>
      <c r="EJ244" s="54">
        <f t="shared" si="107"/>
        <v>0</v>
      </c>
      <c r="EK244" s="55">
        <f t="shared" si="108"/>
        <v>5.3958097395243492</v>
      </c>
      <c r="EL244" s="54">
        <f t="shared" si="109"/>
        <v>0</v>
      </c>
    </row>
    <row r="245" spans="1:142" ht="28.8" x14ac:dyDescent="0.3">
      <c r="A245" s="29" t="s">
        <v>1684</v>
      </c>
      <c r="B245" s="29"/>
      <c r="C245" s="30">
        <v>8367</v>
      </c>
      <c r="D245" s="30">
        <v>0</v>
      </c>
      <c r="E245" s="30">
        <v>0</v>
      </c>
      <c r="F245" s="30">
        <v>2500</v>
      </c>
      <c r="H245" s="2">
        <f t="shared" si="85"/>
        <v>2500</v>
      </c>
      <c r="I245" s="1">
        <f t="shared" si="84"/>
        <v>0.29879287677781763</v>
      </c>
      <c r="J245" s="31">
        <v>76400</v>
      </c>
      <c r="K245" s="31">
        <v>4020</v>
      </c>
      <c r="L245" s="31">
        <v>80420</v>
      </c>
      <c r="M245" s="45">
        <f t="shared" si="86"/>
        <v>9.6115692601888369</v>
      </c>
      <c r="N245" s="31">
        <v>32500</v>
      </c>
      <c r="O245" s="31">
        <v>750</v>
      </c>
      <c r="P245" s="31">
        <v>0</v>
      </c>
      <c r="Q245" s="31">
        <v>33250</v>
      </c>
      <c r="R245" s="45">
        <f t="shared" si="87"/>
        <v>3.9739452611449742</v>
      </c>
      <c r="S245" s="31">
        <v>37500</v>
      </c>
      <c r="T245" s="31">
        <v>151170</v>
      </c>
      <c r="U245" s="31">
        <v>0</v>
      </c>
      <c r="V245" s="31">
        <v>151170</v>
      </c>
      <c r="W245" s="45">
        <f t="shared" si="88"/>
        <v>18.067407673001075</v>
      </c>
      <c r="X245" s="4">
        <f t="shared" si="89"/>
        <v>0.53198385923132896</v>
      </c>
      <c r="Y245" s="4">
        <f t="shared" si="90"/>
        <v>0.2199510484884567</v>
      </c>
      <c r="Z245" s="4">
        <f t="shared" si="91"/>
        <v>0.24806509228021434</v>
      </c>
      <c r="AA245" s="4">
        <f t="shared" si="92"/>
        <v>0</v>
      </c>
      <c r="AB245" s="31">
        <v>0</v>
      </c>
      <c r="AC245" s="31">
        <v>33250</v>
      </c>
      <c r="AD245" s="31">
        <v>151170</v>
      </c>
      <c r="AE245" s="31">
        <v>151170</v>
      </c>
      <c r="AF245" s="31">
        <v>0</v>
      </c>
      <c r="AG245" s="31">
        <v>0</v>
      </c>
      <c r="AH245" s="31">
        <v>151170</v>
      </c>
      <c r="AI245" s="31">
        <v>151170</v>
      </c>
      <c r="AJ245" s="45">
        <f t="shared" si="93"/>
        <v>18.067407673001075</v>
      </c>
      <c r="AK245" s="31">
        <v>0</v>
      </c>
      <c r="AL245" s="31">
        <v>0</v>
      </c>
      <c r="AM245" s="31">
        <v>0</v>
      </c>
      <c r="AN245" s="31">
        <v>0</v>
      </c>
      <c r="AO245" s="31">
        <v>13900</v>
      </c>
      <c r="AP245" s="31">
        <v>10000</v>
      </c>
      <c r="AQ245" s="31">
        <v>23900</v>
      </c>
      <c r="AR245" s="31">
        <v>175070</v>
      </c>
      <c r="AS245" s="46">
        <f t="shared" si="94"/>
        <v>20.923867574997011</v>
      </c>
      <c r="AT245" s="31">
        <v>0</v>
      </c>
      <c r="AU245" s="31">
        <v>0</v>
      </c>
      <c r="AV245" s="31">
        <v>0</v>
      </c>
      <c r="AW245" s="31">
        <v>0</v>
      </c>
      <c r="AX245" s="31">
        <v>0</v>
      </c>
      <c r="AY245" s="31">
        <v>0</v>
      </c>
      <c r="AZ245" s="31">
        <v>0</v>
      </c>
      <c r="BA245" s="31">
        <v>0</v>
      </c>
      <c r="BB245" s="31">
        <v>0</v>
      </c>
      <c r="BC245" s="33" t="s">
        <v>25</v>
      </c>
      <c r="BD245" s="47">
        <v>34000</v>
      </c>
      <c r="BE245" s="47">
        <v>34000</v>
      </c>
      <c r="BF245" s="45">
        <f t="shared" si="95"/>
        <v>4.0635831241783196</v>
      </c>
      <c r="BG245" s="30">
        <v>200</v>
      </c>
      <c r="BH245" s="30">
        <v>200</v>
      </c>
      <c r="BI245" s="30">
        <v>0</v>
      </c>
      <c r="BJ245" s="30">
        <v>335</v>
      </c>
      <c r="BK245" s="30">
        <v>335</v>
      </c>
      <c r="BL245" s="30">
        <v>0</v>
      </c>
      <c r="BM245" s="30">
        <v>0</v>
      </c>
      <c r="BN245" s="30">
        <v>1</v>
      </c>
      <c r="BO245" s="30">
        <v>51</v>
      </c>
      <c r="BP245" s="30">
        <v>0</v>
      </c>
      <c r="BQ245" s="30">
        <v>52</v>
      </c>
      <c r="BR245" s="47">
        <v>34535</v>
      </c>
      <c r="BS245" s="47">
        <v>34536</v>
      </c>
      <c r="BT245" s="1">
        <f t="shared" si="96"/>
        <v>4.1276443169594836</v>
      </c>
      <c r="BU245" s="30">
        <v>8</v>
      </c>
      <c r="BV245" s="30">
        <v>0</v>
      </c>
      <c r="BW245" s="47">
        <v>37</v>
      </c>
      <c r="BX245" s="52">
        <f t="shared" si="97"/>
        <v>4.4221345763117009E-3</v>
      </c>
      <c r="BY245" s="47">
        <v>41000</v>
      </c>
      <c r="BZ245" s="47">
        <v>0</v>
      </c>
      <c r="CA245" s="47">
        <v>62000</v>
      </c>
      <c r="CB245" s="47">
        <v>0</v>
      </c>
      <c r="CC245" s="47">
        <v>103000</v>
      </c>
      <c r="CD245" s="55">
        <f t="shared" si="98"/>
        <v>12.310266523246085</v>
      </c>
      <c r="CE245" s="3">
        <f t="shared" si="99"/>
        <v>46818.181818181816</v>
      </c>
      <c r="CF245" s="55">
        <f t="shared" si="100"/>
        <v>57.477678571428569</v>
      </c>
      <c r="CG245" s="55">
        <f t="shared" si="101"/>
        <v>8.7399236317352571</v>
      </c>
      <c r="CH245" s="55">
        <f t="shared" si="102"/>
        <v>2.98239518183924</v>
      </c>
      <c r="CI245" s="30">
        <v>10</v>
      </c>
      <c r="CJ245" s="30">
        <v>2</v>
      </c>
      <c r="CK245" s="30">
        <v>5</v>
      </c>
      <c r="CL245" s="30">
        <v>17</v>
      </c>
      <c r="CM245" s="30">
        <v>411</v>
      </c>
      <c r="CN245" s="30">
        <v>52</v>
      </c>
      <c r="CO245" s="30">
        <v>103</v>
      </c>
      <c r="CP245" s="30">
        <v>566</v>
      </c>
      <c r="CQ245" s="1">
        <f t="shared" si="110"/>
        <v>6.7646707302497902E-2</v>
      </c>
      <c r="CR245" s="47">
        <v>11785</v>
      </c>
      <c r="CS245" s="55">
        <f t="shared" si="103"/>
        <v>1.4085096211306323</v>
      </c>
      <c r="CT245" s="59">
        <v>6686</v>
      </c>
      <c r="CU245" s="29" t="s">
        <v>25</v>
      </c>
      <c r="CV245" s="29" t="s">
        <v>25</v>
      </c>
      <c r="CW245" s="29" t="s">
        <v>25</v>
      </c>
      <c r="CX245" s="35">
        <v>0</v>
      </c>
      <c r="CY245" s="49">
        <v>0</v>
      </c>
      <c r="CZ245" s="35">
        <v>1</v>
      </c>
      <c r="DA245" s="35">
        <v>1.2</v>
      </c>
      <c r="DB245" s="35">
        <v>2.2000000000000002</v>
      </c>
      <c r="DC245" s="49">
        <f t="shared" si="104"/>
        <v>3803.181818181818</v>
      </c>
      <c r="DD245" s="30">
        <v>135</v>
      </c>
      <c r="DE245" s="31">
        <v>64000</v>
      </c>
      <c r="DF245" s="35">
        <v>40</v>
      </c>
      <c r="DG245" s="29" t="s">
        <v>25</v>
      </c>
      <c r="DH245" s="29" t="s">
        <v>25</v>
      </c>
      <c r="DI245" s="29" t="s">
        <v>25</v>
      </c>
      <c r="DJ245" s="47">
        <v>42</v>
      </c>
      <c r="DK245" s="47">
        <v>0</v>
      </c>
      <c r="DL245" s="47">
        <v>6</v>
      </c>
      <c r="DM245" s="47">
        <v>6974</v>
      </c>
      <c r="DN245" s="47">
        <v>42</v>
      </c>
      <c r="DO245" s="47">
        <v>980</v>
      </c>
      <c r="DP245" s="29" t="s">
        <v>2028</v>
      </c>
      <c r="DQ245" s="47">
        <v>0</v>
      </c>
      <c r="DR245" s="47">
        <v>1792</v>
      </c>
      <c r="DS245" s="30">
        <v>52</v>
      </c>
      <c r="DT245" s="30">
        <v>48</v>
      </c>
      <c r="DU245" s="30">
        <v>48</v>
      </c>
      <c r="DV245" s="30">
        <v>44</v>
      </c>
      <c r="DX245" s="2">
        <f t="shared" si="105"/>
        <v>1792</v>
      </c>
      <c r="DY245" s="33" t="s">
        <v>2185</v>
      </c>
      <c r="DZ245" s="33" t="s">
        <v>1686</v>
      </c>
      <c r="EA245" s="33" t="s">
        <v>2032</v>
      </c>
      <c r="EB245" s="33" t="s">
        <v>2027</v>
      </c>
      <c r="EC245" s="36">
        <v>575</v>
      </c>
      <c r="ED245" s="29" t="s">
        <v>1685</v>
      </c>
      <c r="EE245" s="29" t="s">
        <v>436</v>
      </c>
      <c r="EF245" s="37">
        <v>41518</v>
      </c>
      <c r="EG245" s="37">
        <v>41882</v>
      </c>
      <c r="EH245" s="29" t="s">
        <v>1685</v>
      </c>
      <c r="EI245" s="55">
        <f t="shared" si="106"/>
        <v>4.9002031791562093</v>
      </c>
      <c r="EJ245" s="54">
        <f t="shared" si="107"/>
        <v>0</v>
      </c>
      <c r="EK245" s="55">
        <f t="shared" si="108"/>
        <v>7.4100633440898767</v>
      </c>
      <c r="EL245" s="54">
        <f t="shared" si="109"/>
        <v>0</v>
      </c>
    </row>
    <row r="246" spans="1:142" ht="28.8" x14ac:dyDescent="0.3">
      <c r="A246" s="29" t="s">
        <v>689</v>
      </c>
      <c r="B246" s="29"/>
      <c r="C246" s="30">
        <v>26038</v>
      </c>
      <c r="D246" s="30">
        <v>0</v>
      </c>
      <c r="E246" s="30">
        <v>0</v>
      </c>
      <c r="F246" s="30">
        <v>22000</v>
      </c>
      <c r="H246" s="2">
        <f t="shared" si="85"/>
        <v>22000</v>
      </c>
      <c r="I246" s="1">
        <f t="shared" si="84"/>
        <v>0.84491896459021432</v>
      </c>
      <c r="J246" s="31">
        <v>301539</v>
      </c>
      <c r="K246" s="31">
        <v>85002</v>
      </c>
      <c r="L246" s="31">
        <v>386541</v>
      </c>
      <c r="M246" s="45">
        <f t="shared" si="86"/>
        <v>14.845264613257546</v>
      </c>
      <c r="N246" s="31">
        <v>46088</v>
      </c>
      <c r="O246" s="31">
        <v>7349</v>
      </c>
      <c r="P246" s="31">
        <v>9440</v>
      </c>
      <c r="Q246" s="31">
        <v>62877</v>
      </c>
      <c r="R246" s="45">
        <f t="shared" si="87"/>
        <v>2.4148168062063138</v>
      </c>
      <c r="S246" s="31">
        <v>118514</v>
      </c>
      <c r="T246" s="31">
        <v>567932</v>
      </c>
      <c r="U246" s="31">
        <v>0</v>
      </c>
      <c r="V246" s="31">
        <v>567932</v>
      </c>
      <c r="W246" s="45">
        <f t="shared" si="88"/>
        <v>21.811659881711346</v>
      </c>
      <c r="X246" s="4">
        <f t="shared" si="89"/>
        <v>0.68061141122528757</v>
      </c>
      <c r="Y246" s="4">
        <f t="shared" si="90"/>
        <v>0.1107121979391899</v>
      </c>
      <c r="Z246" s="4">
        <f t="shared" si="91"/>
        <v>0.20867639083552256</v>
      </c>
      <c r="AA246" s="4">
        <f t="shared" si="92"/>
        <v>0</v>
      </c>
      <c r="AB246" s="31">
        <v>23489</v>
      </c>
      <c r="AC246" s="31">
        <v>62877</v>
      </c>
      <c r="AD246" s="31">
        <v>567933</v>
      </c>
      <c r="AE246" s="31">
        <v>536427</v>
      </c>
      <c r="AF246" s="31">
        <v>536427</v>
      </c>
      <c r="AG246" s="31">
        <v>0</v>
      </c>
      <c r="AH246" s="31">
        <v>0</v>
      </c>
      <c r="AI246" s="31">
        <v>536427</v>
      </c>
      <c r="AJ246" s="45">
        <f t="shared" si="93"/>
        <v>20.601697519010678</v>
      </c>
      <c r="AK246" s="31">
        <v>0</v>
      </c>
      <c r="AL246" s="31">
        <v>0</v>
      </c>
      <c r="AM246" s="31">
        <v>0</v>
      </c>
      <c r="AN246" s="31">
        <v>0</v>
      </c>
      <c r="AO246" s="31">
        <v>0</v>
      </c>
      <c r="AP246" s="31">
        <v>8017</v>
      </c>
      <c r="AQ246" s="31">
        <v>8017</v>
      </c>
      <c r="AR246" s="31">
        <v>544444</v>
      </c>
      <c r="AS246" s="46">
        <f t="shared" si="94"/>
        <v>20.909593670788848</v>
      </c>
      <c r="AT246" s="31">
        <v>0</v>
      </c>
      <c r="AU246" s="31">
        <v>0</v>
      </c>
      <c r="AV246" s="31">
        <v>0</v>
      </c>
      <c r="AW246" s="31">
        <v>0</v>
      </c>
      <c r="AX246" s="31">
        <v>0</v>
      </c>
      <c r="AY246" s="31">
        <v>0</v>
      </c>
      <c r="AZ246" s="31">
        <v>0</v>
      </c>
      <c r="BA246" s="31">
        <v>23489</v>
      </c>
      <c r="BB246" s="31">
        <v>23489</v>
      </c>
      <c r="BC246" s="33" t="s">
        <v>25</v>
      </c>
      <c r="BD246" s="47">
        <v>57345</v>
      </c>
      <c r="BE246" s="47">
        <v>66559</v>
      </c>
      <c r="BF246" s="45">
        <f t="shared" si="95"/>
        <v>2.5562255165527308</v>
      </c>
      <c r="BG246" s="30">
        <v>4027</v>
      </c>
      <c r="BH246" s="30">
        <v>4299</v>
      </c>
      <c r="BI246" s="30">
        <v>5687</v>
      </c>
      <c r="BJ246" s="30">
        <v>5356</v>
      </c>
      <c r="BK246" s="30">
        <v>6301</v>
      </c>
      <c r="BL246" s="30">
        <v>0</v>
      </c>
      <c r="BM246" s="30">
        <v>5687</v>
      </c>
      <c r="BN246" s="30">
        <v>11</v>
      </c>
      <c r="BO246" s="30">
        <v>51</v>
      </c>
      <c r="BP246" s="30">
        <v>2</v>
      </c>
      <c r="BQ246" s="30">
        <v>64</v>
      </c>
      <c r="BR246" s="47">
        <v>66728</v>
      </c>
      <c r="BS246" s="47">
        <v>88544</v>
      </c>
      <c r="BT246" s="1">
        <f t="shared" si="96"/>
        <v>3.4005684000307244</v>
      </c>
      <c r="BU246" s="30">
        <v>57</v>
      </c>
      <c r="BV246" s="30">
        <v>4</v>
      </c>
      <c r="BW246" s="47">
        <v>22879</v>
      </c>
      <c r="BX246" s="52">
        <f t="shared" si="97"/>
        <v>0.8786773177663415</v>
      </c>
      <c r="BY246" s="47">
        <v>69220</v>
      </c>
      <c r="BZ246" s="47">
        <v>3941</v>
      </c>
      <c r="CA246" s="47">
        <v>77810</v>
      </c>
      <c r="CB246" s="47">
        <v>20084</v>
      </c>
      <c r="CC246" s="47">
        <v>171055</v>
      </c>
      <c r="CD246" s="55">
        <f t="shared" si="98"/>
        <v>6.5694369767263234</v>
      </c>
      <c r="CE246" s="3">
        <f t="shared" si="99"/>
        <v>22536.8906455863</v>
      </c>
      <c r="CF246" s="55">
        <f t="shared" si="100"/>
        <v>80.762511803588296</v>
      </c>
      <c r="CG246" s="55">
        <f t="shared" si="101"/>
        <v>1.7990261037841022</v>
      </c>
      <c r="CH246" s="55">
        <f t="shared" si="102"/>
        <v>1.6605303577882182</v>
      </c>
      <c r="CI246" s="30">
        <v>115</v>
      </c>
      <c r="CJ246" s="30">
        <v>53</v>
      </c>
      <c r="CK246" s="30">
        <v>74</v>
      </c>
      <c r="CL246" s="30">
        <v>242</v>
      </c>
      <c r="CM246" s="30">
        <v>7422</v>
      </c>
      <c r="CN246" s="30">
        <v>365</v>
      </c>
      <c r="CO246" s="30">
        <v>654</v>
      </c>
      <c r="CP246" s="30">
        <v>8441</v>
      </c>
      <c r="CQ246" s="1">
        <f t="shared" si="110"/>
        <v>0.32418004455027266</v>
      </c>
      <c r="CR246" s="47">
        <v>95082</v>
      </c>
      <c r="CS246" s="55">
        <f t="shared" si="103"/>
        <v>3.6516629541439434</v>
      </c>
      <c r="CT246" s="59">
        <v>26774</v>
      </c>
      <c r="CU246" s="29" t="s">
        <v>25</v>
      </c>
      <c r="CV246" s="29" t="s">
        <v>25</v>
      </c>
      <c r="CW246" s="29" t="s">
        <v>25</v>
      </c>
      <c r="CX246" s="35">
        <v>1</v>
      </c>
      <c r="CY246" s="49">
        <f>C246/CX246</f>
        <v>26038</v>
      </c>
      <c r="CZ246" s="35">
        <v>5.15</v>
      </c>
      <c r="DA246" s="35">
        <v>1.44</v>
      </c>
      <c r="DB246" s="35">
        <v>7.59</v>
      </c>
      <c r="DC246" s="49">
        <f t="shared" si="104"/>
        <v>3430.566534914361</v>
      </c>
      <c r="DD246" s="30">
        <v>4934</v>
      </c>
      <c r="DE246" s="31">
        <v>74904</v>
      </c>
      <c r="DF246" s="35">
        <v>40</v>
      </c>
      <c r="DG246" s="29" t="s">
        <v>25</v>
      </c>
      <c r="DH246" s="29" t="s">
        <v>26</v>
      </c>
      <c r="DI246" s="29" t="s">
        <v>26</v>
      </c>
      <c r="DJ246" s="47">
        <v>586</v>
      </c>
      <c r="DK246" s="47">
        <v>0</v>
      </c>
      <c r="DL246" s="47">
        <v>50</v>
      </c>
      <c r="DM246" s="47">
        <v>38365</v>
      </c>
      <c r="DN246" s="47">
        <v>23298</v>
      </c>
      <c r="DO246" s="47">
        <v>4100</v>
      </c>
      <c r="DP246" s="29" t="s">
        <v>2028</v>
      </c>
      <c r="DQ246" s="47">
        <v>0</v>
      </c>
      <c r="DR246" s="47">
        <v>2118</v>
      </c>
      <c r="DS246" s="30">
        <v>52</v>
      </c>
      <c r="DT246" s="30">
        <v>42</v>
      </c>
      <c r="DU246" s="30">
        <v>42</v>
      </c>
      <c r="DV246" s="30">
        <v>42</v>
      </c>
      <c r="DX246" s="2">
        <f t="shared" si="105"/>
        <v>2118</v>
      </c>
      <c r="DY246" s="33" t="s">
        <v>2185</v>
      </c>
      <c r="DZ246" s="33" t="s">
        <v>691</v>
      </c>
      <c r="EA246" s="33" t="s">
        <v>2030</v>
      </c>
      <c r="EB246" s="33" t="s">
        <v>2027</v>
      </c>
      <c r="EC246" s="36">
        <v>192</v>
      </c>
      <c r="ED246" s="29" t="s">
        <v>690</v>
      </c>
      <c r="EE246" s="29" t="s">
        <v>118</v>
      </c>
      <c r="EF246" s="37">
        <v>41548</v>
      </c>
      <c r="EG246" s="37">
        <v>41912</v>
      </c>
      <c r="EH246" s="29" t="s">
        <v>690</v>
      </c>
      <c r="EI246" s="55">
        <f t="shared" si="106"/>
        <v>2.6584223058606651</v>
      </c>
      <c r="EJ246" s="54">
        <f t="shared" si="107"/>
        <v>0.15135571088409247</v>
      </c>
      <c r="EK246" s="55">
        <f t="shared" si="108"/>
        <v>2.9883247561256625</v>
      </c>
      <c r="EL246" s="54">
        <f t="shared" si="109"/>
        <v>0.7713342038559029</v>
      </c>
    </row>
    <row r="247" spans="1:142" ht="28.8" x14ac:dyDescent="0.3">
      <c r="A247" s="29" t="s">
        <v>692</v>
      </c>
      <c r="B247" s="29"/>
      <c r="C247" s="30">
        <v>38448</v>
      </c>
      <c r="D247" s="30">
        <v>0</v>
      </c>
      <c r="E247" s="30">
        <v>0</v>
      </c>
      <c r="F247" s="30">
        <v>50390</v>
      </c>
      <c r="H247" s="2">
        <f t="shared" si="85"/>
        <v>50390</v>
      </c>
      <c r="I247" s="1">
        <f t="shared" si="84"/>
        <v>1.3106013316687475</v>
      </c>
      <c r="J247" s="31">
        <v>985262</v>
      </c>
      <c r="K247" s="31">
        <v>292088</v>
      </c>
      <c r="L247" s="31">
        <v>1277350</v>
      </c>
      <c r="M247" s="45">
        <f t="shared" si="86"/>
        <v>33.222794423637119</v>
      </c>
      <c r="N247" s="31">
        <v>114945</v>
      </c>
      <c r="O247" s="31">
        <v>62303</v>
      </c>
      <c r="P247" s="31">
        <v>70893</v>
      </c>
      <c r="Q247" s="31">
        <v>248141</v>
      </c>
      <c r="R247" s="45">
        <f t="shared" si="87"/>
        <v>6.453937786100707</v>
      </c>
      <c r="S247" s="31">
        <v>428467</v>
      </c>
      <c r="T247" s="31">
        <v>1953958</v>
      </c>
      <c r="U247" s="31">
        <v>0</v>
      </c>
      <c r="V247" s="31">
        <v>1953958</v>
      </c>
      <c r="W247" s="45">
        <f t="shared" si="88"/>
        <v>50.820796920516024</v>
      </c>
      <c r="X247" s="4">
        <f t="shared" si="89"/>
        <v>0.65372438916291953</v>
      </c>
      <c r="Y247" s="4">
        <f t="shared" si="90"/>
        <v>0.12699402955437117</v>
      </c>
      <c r="Z247" s="4">
        <f t="shared" si="91"/>
        <v>0.21928158128270925</v>
      </c>
      <c r="AA247" s="4">
        <f t="shared" si="92"/>
        <v>0</v>
      </c>
      <c r="AB247" s="31">
        <v>0</v>
      </c>
      <c r="AC247" s="31">
        <v>248141</v>
      </c>
      <c r="AD247" s="31">
        <v>1953958</v>
      </c>
      <c r="AE247" s="31">
        <v>1953958</v>
      </c>
      <c r="AF247" s="31">
        <v>2091464</v>
      </c>
      <c r="AG247" s="31">
        <v>0</v>
      </c>
      <c r="AH247" s="31">
        <v>0</v>
      </c>
      <c r="AI247" s="31">
        <v>2091464</v>
      </c>
      <c r="AJ247" s="45">
        <f t="shared" si="93"/>
        <v>54.39721181856013</v>
      </c>
      <c r="AK247" s="31">
        <v>0</v>
      </c>
      <c r="AL247" s="31">
        <v>0</v>
      </c>
      <c r="AM247" s="31">
        <v>0</v>
      </c>
      <c r="AN247" s="31">
        <v>0</v>
      </c>
      <c r="AO247" s="31">
        <v>0</v>
      </c>
      <c r="AP247" s="31">
        <v>0</v>
      </c>
      <c r="AQ247" s="31">
        <v>0</v>
      </c>
      <c r="AR247" s="31">
        <v>2091464</v>
      </c>
      <c r="AS247" s="46">
        <f t="shared" si="94"/>
        <v>54.39721181856013</v>
      </c>
      <c r="AT247" s="31">
        <v>148966</v>
      </c>
      <c r="AU247" s="31">
        <v>0</v>
      </c>
      <c r="AV247" s="31">
        <v>0</v>
      </c>
      <c r="AW247" s="31">
        <v>0</v>
      </c>
      <c r="AX247" s="31">
        <v>0</v>
      </c>
      <c r="AY247" s="31">
        <v>0</v>
      </c>
      <c r="AZ247" s="31">
        <v>0</v>
      </c>
      <c r="BA247" s="31">
        <v>0</v>
      </c>
      <c r="BB247" s="31">
        <v>148966</v>
      </c>
      <c r="BC247" s="33" t="s">
        <v>25</v>
      </c>
      <c r="BD247" s="47">
        <v>103006</v>
      </c>
      <c r="BE247" s="47">
        <v>116793</v>
      </c>
      <c r="BF247" s="45">
        <f t="shared" si="95"/>
        <v>3.0376872659176031</v>
      </c>
      <c r="BG247" s="30">
        <v>7616</v>
      </c>
      <c r="BH247" s="30">
        <v>7885</v>
      </c>
      <c r="BI247" s="30">
        <v>9419</v>
      </c>
      <c r="BJ247" s="30">
        <v>11423</v>
      </c>
      <c r="BK247" s="30">
        <v>16322</v>
      </c>
      <c r="BL247" s="30">
        <v>0</v>
      </c>
      <c r="BM247" s="30">
        <v>7310</v>
      </c>
      <c r="BN247" s="30">
        <v>18</v>
      </c>
      <c r="BO247" s="30">
        <v>51</v>
      </c>
      <c r="BP247" s="30">
        <v>0</v>
      </c>
      <c r="BQ247" s="30">
        <v>69</v>
      </c>
      <c r="BR247" s="47">
        <v>122045</v>
      </c>
      <c r="BS247" s="47">
        <v>157747</v>
      </c>
      <c r="BT247" s="1">
        <f t="shared" si="96"/>
        <v>4.1028662089055343</v>
      </c>
      <c r="BU247" s="30">
        <v>222</v>
      </c>
      <c r="BV247" s="30">
        <v>85</v>
      </c>
      <c r="BW247" s="47">
        <v>48904</v>
      </c>
      <c r="BX247" s="52">
        <f t="shared" si="97"/>
        <v>1.2719517270079068</v>
      </c>
      <c r="BY247" s="47">
        <v>147586</v>
      </c>
      <c r="BZ247" s="47">
        <v>0</v>
      </c>
      <c r="CA247" s="47">
        <v>266090</v>
      </c>
      <c r="CB247" s="47">
        <v>16649</v>
      </c>
      <c r="CC247" s="47">
        <v>430325</v>
      </c>
      <c r="CD247" s="55">
        <f t="shared" si="98"/>
        <v>11.192389721181856</v>
      </c>
      <c r="CE247" s="3">
        <f t="shared" si="99"/>
        <v>16711.650485436894</v>
      </c>
      <c r="CF247" s="55">
        <f t="shared" si="100"/>
        <v>156.93836615609044</v>
      </c>
      <c r="CG247" s="55">
        <f t="shared" si="101"/>
        <v>2.6229093524478251</v>
      </c>
      <c r="CH247" s="55">
        <f t="shared" si="102"/>
        <v>2.6224016938515473</v>
      </c>
      <c r="CI247" s="30">
        <v>376</v>
      </c>
      <c r="CJ247" s="30">
        <v>30</v>
      </c>
      <c r="CK247" s="30">
        <v>59</v>
      </c>
      <c r="CL247" s="30">
        <v>465</v>
      </c>
      <c r="CM247" s="30">
        <v>12372</v>
      </c>
      <c r="CN247" s="30">
        <v>343</v>
      </c>
      <c r="CO247" s="30">
        <v>4746</v>
      </c>
      <c r="CP247" s="30">
        <v>17461</v>
      </c>
      <c r="CQ247" s="1">
        <f t="shared" si="110"/>
        <v>0.45414585934248858</v>
      </c>
      <c r="CR247" s="47">
        <v>164064</v>
      </c>
      <c r="CS247" s="55">
        <f t="shared" si="103"/>
        <v>4.2671660424469415</v>
      </c>
      <c r="CT247" s="59">
        <v>31168</v>
      </c>
      <c r="CU247" s="29" t="s">
        <v>25</v>
      </c>
      <c r="CV247" s="29" t="s">
        <v>25</v>
      </c>
      <c r="CW247" s="29" t="s">
        <v>25</v>
      </c>
      <c r="CX247" s="35">
        <v>10.4</v>
      </c>
      <c r="CY247" s="49">
        <f>C247/CX247</f>
        <v>3696.9230769230767</v>
      </c>
      <c r="CZ247" s="35">
        <v>1</v>
      </c>
      <c r="DA247" s="35">
        <v>14.35</v>
      </c>
      <c r="DB247" s="35">
        <v>25.75</v>
      </c>
      <c r="DC247" s="49">
        <f t="shared" si="104"/>
        <v>1493.1262135922329</v>
      </c>
      <c r="DD247" s="30">
        <v>2691</v>
      </c>
      <c r="DE247" s="31">
        <v>86000</v>
      </c>
      <c r="DF247" s="35">
        <v>40</v>
      </c>
      <c r="DG247" s="29" t="s">
        <v>25</v>
      </c>
      <c r="DH247" s="29" t="s">
        <v>26</v>
      </c>
      <c r="DI247" s="29" t="s">
        <v>26</v>
      </c>
      <c r="DJ247" s="47">
        <v>549</v>
      </c>
      <c r="DK247" s="47">
        <v>373</v>
      </c>
      <c r="DL247" s="47">
        <v>40</v>
      </c>
      <c r="DM247" s="47">
        <v>45750</v>
      </c>
      <c r="DN247" s="47">
        <v>7055</v>
      </c>
      <c r="DO247" s="47">
        <v>21573</v>
      </c>
      <c r="DP247" s="29" t="s">
        <v>25</v>
      </c>
      <c r="DQ247" s="47">
        <v>137166</v>
      </c>
      <c r="DR247" s="47">
        <v>2742</v>
      </c>
      <c r="DS247" s="30">
        <v>52</v>
      </c>
      <c r="DT247" s="30">
        <v>54</v>
      </c>
      <c r="DU247" s="30">
        <v>54</v>
      </c>
      <c r="DV247" s="30">
        <v>54</v>
      </c>
      <c r="DX247" s="2">
        <f t="shared" si="105"/>
        <v>2742</v>
      </c>
      <c r="DY247" s="33" t="s">
        <v>2181</v>
      </c>
      <c r="DZ247" s="33" t="s">
        <v>694</v>
      </c>
      <c r="EA247" s="33" t="s">
        <v>2030</v>
      </c>
      <c r="EB247" s="33" t="s">
        <v>2027</v>
      </c>
      <c r="EC247" s="36">
        <v>193</v>
      </c>
      <c r="ED247" s="29" t="s">
        <v>693</v>
      </c>
      <c r="EE247" s="29" t="s">
        <v>91</v>
      </c>
      <c r="EF247" s="37">
        <v>41548</v>
      </c>
      <c r="EG247" s="37">
        <v>41912</v>
      </c>
      <c r="EH247" s="29" t="s">
        <v>693</v>
      </c>
      <c r="EI247" s="55">
        <f t="shared" si="106"/>
        <v>3.8385871826883062</v>
      </c>
      <c r="EJ247" s="54">
        <f t="shared" si="107"/>
        <v>0</v>
      </c>
      <c r="EK247" s="55">
        <f t="shared" si="108"/>
        <v>6.9207761131918435</v>
      </c>
      <c r="EL247" s="54">
        <f t="shared" si="109"/>
        <v>0.43302642530170621</v>
      </c>
    </row>
    <row r="248" spans="1:142" ht="28.8" x14ac:dyDescent="0.3">
      <c r="A248" s="29" t="s">
        <v>991</v>
      </c>
      <c r="B248" s="29"/>
      <c r="C248" s="30">
        <v>5396</v>
      </c>
      <c r="D248" s="30">
        <v>0</v>
      </c>
      <c r="E248" s="30">
        <v>0</v>
      </c>
      <c r="F248" s="30">
        <v>5600</v>
      </c>
      <c r="H248" s="2">
        <f t="shared" si="85"/>
        <v>5600</v>
      </c>
      <c r="I248" s="1">
        <f t="shared" si="84"/>
        <v>1.0378057820607858</v>
      </c>
      <c r="J248" s="31">
        <v>62000</v>
      </c>
      <c r="K248" s="31">
        <v>17600</v>
      </c>
      <c r="L248" s="31">
        <v>79600</v>
      </c>
      <c r="M248" s="45">
        <f t="shared" si="86"/>
        <v>14.751667902149741</v>
      </c>
      <c r="N248" s="31">
        <v>2500</v>
      </c>
      <c r="O248" s="31">
        <v>0</v>
      </c>
      <c r="P248" s="31">
        <v>0</v>
      </c>
      <c r="Q248" s="31">
        <v>2500</v>
      </c>
      <c r="R248" s="45">
        <f t="shared" si="87"/>
        <v>0.46330615270570791</v>
      </c>
      <c r="S248" s="31">
        <v>15550</v>
      </c>
      <c r="T248" s="31">
        <v>97650</v>
      </c>
      <c r="U248" s="31">
        <v>0</v>
      </c>
      <c r="V248" s="31">
        <v>97650</v>
      </c>
      <c r="W248" s="45">
        <f t="shared" si="88"/>
        <v>18.096738324684953</v>
      </c>
      <c r="X248" s="4">
        <f t="shared" si="89"/>
        <v>0.81515616999487972</v>
      </c>
      <c r="Y248" s="4">
        <f t="shared" si="90"/>
        <v>2.5601638504864313E-2</v>
      </c>
      <c r="Z248" s="4">
        <f t="shared" si="91"/>
        <v>0.15924219150025601</v>
      </c>
      <c r="AA248" s="4">
        <f t="shared" si="92"/>
        <v>0</v>
      </c>
      <c r="AB248" s="31">
        <v>0</v>
      </c>
      <c r="AC248" s="31">
        <v>2500</v>
      </c>
      <c r="AD248" s="31">
        <v>95464</v>
      </c>
      <c r="AE248" s="31">
        <v>95464</v>
      </c>
      <c r="AF248" s="31">
        <v>97650</v>
      </c>
      <c r="AG248" s="31">
        <v>0</v>
      </c>
      <c r="AH248" s="31">
        <v>0</v>
      </c>
      <c r="AI248" s="31">
        <v>97650</v>
      </c>
      <c r="AJ248" s="45">
        <f t="shared" si="93"/>
        <v>18.096738324684953</v>
      </c>
      <c r="AK248" s="31">
        <v>0</v>
      </c>
      <c r="AL248" s="31">
        <v>0</v>
      </c>
      <c r="AM248" s="31">
        <v>0</v>
      </c>
      <c r="AN248" s="31">
        <v>0</v>
      </c>
      <c r="AO248" s="31">
        <v>0</v>
      </c>
      <c r="AP248" s="31">
        <v>0</v>
      </c>
      <c r="AQ248" s="31">
        <v>0</v>
      </c>
      <c r="AR248" s="31">
        <v>97650</v>
      </c>
      <c r="AS248" s="46">
        <f t="shared" si="94"/>
        <v>18.096738324684953</v>
      </c>
      <c r="AT248" s="31">
        <v>0</v>
      </c>
      <c r="AU248" s="31">
        <v>0</v>
      </c>
      <c r="AV248" s="31">
        <v>0</v>
      </c>
      <c r="AW248" s="31">
        <v>0</v>
      </c>
      <c r="AX248" s="31">
        <v>0</v>
      </c>
      <c r="AY248" s="31">
        <v>0</v>
      </c>
      <c r="AZ248" s="31">
        <v>0</v>
      </c>
      <c r="BA248" s="31">
        <v>0</v>
      </c>
      <c r="BB248" s="31">
        <v>0</v>
      </c>
      <c r="BC248" s="33" t="s">
        <v>25</v>
      </c>
      <c r="BD248" s="47">
        <v>27079</v>
      </c>
      <c r="BE248" s="47">
        <v>27437</v>
      </c>
      <c r="BF248" s="45">
        <f t="shared" si="95"/>
        <v>5.0846923647146038</v>
      </c>
      <c r="BG248" s="30">
        <v>290</v>
      </c>
      <c r="BH248" s="30">
        <v>334</v>
      </c>
      <c r="BI248" s="30">
        <v>0</v>
      </c>
      <c r="BJ248" s="30">
        <v>401</v>
      </c>
      <c r="BK248" s="30">
        <v>411</v>
      </c>
      <c r="BL248" s="30">
        <v>0</v>
      </c>
      <c r="BM248" s="30">
        <v>0</v>
      </c>
      <c r="BN248" s="30">
        <v>0</v>
      </c>
      <c r="BO248" s="30">
        <v>51</v>
      </c>
      <c r="BP248" s="30">
        <v>0</v>
      </c>
      <c r="BQ248" s="30">
        <v>51</v>
      </c>
      <c r="BR248" s="47">
        <v>27770</v>
      </c>
      <c r="BS248" s="47">
        <v>28182</v>
      </c>
      <c r="BT248" s="1">
        <f t="shared" si="96"/>
        <v>5.2227575982209045</v>
      </c>
      <c r="BU248" s="30">
        <v>12</v>
      </c>
      <c r="BV248" s="30">
        <v>0</v>
      </c>
      <c r="BW248" s="47">
        <v>132</v>
      </c>
      <c r="BX248" s="52">
        <f t="shared" si="97"/>
        <v>2.4462564862861379E-2</v>
      </c>
      <c r="BY248" s="47">
        <v>3723</v>
      </c>
      <c r="BZ248" s="47">
        <v>0</v>
      </c>
      <c r="CA248" s="47">
        <v>7700</v>
      </c>
      <c r="CB248" s="47">
        <v>0</v>
      </c>
      <c r="CC248" s="47">
        <v>11423</v>
      </c>
      <c r="CD248" s="55">
        <f t="shared" si="98"/>
        <v>2.1169384729429206</v>
      </c>
      <c r="CE248" s="3">
        <f t="shared" si="99"/>
        <v>6481.1347517730501</v>
      </c>
      <c r="CF248" s="55">
        <f t="shared" si="100"/>
        <v>5.9371101871101875</v>
      </c>
      <c r="CG248" s="55">
        <f t="shared" si="101"/>
        <v>0.87707309582309578</v>
      </c>
      <c r="CH248" s="55">
        <f t="shared" si="102"/>
        <v>0.40532964303456109</v>
      </c>
      <c r="CI248" s="30">
        <v>12</v>
      </c>
      <c r="CJ248" s="30">
        <v>0</v>
      </c>
      <c r="CK248" s="30">
        <v>35</v>
      </c>
      <c r="CL248" s="30">
        <v>47</v>
      </c>
      <c r="CM248" s="30">
        <v>230</v>
      </c>
      <c r="CN248" s="30">
        <v>0</v>
      </c>
      <c r="CO248" s="30">
        <v>175</v>
      </c>
      <c r="CP248" s="30">
        <v>405</v>
      </c>
      <c r="CQ248" s="1">
        <f t="shared" si="110"/>
        <v>7.5055596738324681E-2</v>
      </c>
      <c r="CR248" s="47">
        <v>13024</v>
      </c>
      <c r="CS248" s="55">
        <f t="shared" si="103"/>
        <v>2.4136397331356561</v>
      </c>
      <c r="CT248" s="59">
        <v>925</v>
      </c>
      <c r="CU248" s="29" t="s">
        <v>25</v>
      </c>
      <c r="CV248" s="29" t="s">
        <v>25</v>
      </c>
      <c r="CW248" s="29" t="s">
        <v>25</v>
      </c>
      <c r="CX248" s="35">
        <v>0</v>
      </c>
      <c r="CY248" s="49">
        <v>0</v>
      </c>
      <c r="CZ248" s="35">
        <v>0.88</v>
      </c>
      <c r="DA248" s="35">
        <v>0.88249999999999995</v>
      </c>
      <c r="DB248" s="35">
        <v>1.7625</v>
      </c>
      <c r="DC248" s="49">
        <f t="shared" si="104"/>
        <v>3061.5602836879434</v>
      </c>
      <c r="DD248" s="30">
        <v>0</v>
      </c>
      <c r="DE248" s="31">
        <v>30416</v>
      </c>
      <c r="DF248" s="35">
        <v>36</v>
      </c>
      <c r="DG248" s="29" t="s">
        <v>25</v>
      </c>
      <c r="DH248" s="29" t="s">
        <v>26</v>
      </c>
      <c r="DI248" s="29" t="s">
        <v>26</v>
      </c>
      <c r="DJ248" s="47">
        <v>0</v>
      </c>
      <c r="DK248" s="47">
        <v>0</v>
      </c>
      <c r="DL248" s="47">
        <v>9</v>
      </c>
      <c r="DM248" s="47">
        <v>10300</v>
      </c>
      <c r="DN248" s="47">
        <v>42</v>
      </c>
      <c r="DO248" s="47">
        <v>630</v>
      </c>
      <c r="DP248" s="29" t="s">
        <v>83</v>
      </c>
      <c r="DQ248" s="47">
        <v>0</v>
      </c>
      <c r="DR248" s="47">
        <v>1924</v>
      </c>
      <c r="DS248" s="30">
        <v>52</v>
      </c>
      <c r="DT248" s="30">
        <v>37</v>
      </c>
      <c r="DU248" s="30">
        <v>37</v>
      </c>
      <c r="DV248" s="30">
        <v>37</v>
      </c>
      <c r="DX248" s="2">
        <f t="shared" si="105"/>
        <v>1924</v>
      </c>
      <c r="DY248" s="33" t="s">
        <v>2182</v>
      </c>
      <c r="DZ248" s="33" t="s">
        <v>1405</v>
      </c>
      <c r="EA248" s="33" t="s">
        <v>2030</v>
      </c>
      <c r="EB248" s="33" t="s">
        <v>2027</v>
      </c>
      <c r="EC248" s="36">
        <v>437</v>
      </c>
      <c r="ED248" s="29" t="s">
        <v>1404</v>
      </c>
      <c r="EE248" s="29" t="s">
        <v>269</v>
      </c>
      <c r="EF248" s="37">
        <v>41548</v>
      </c>
      <c r="EG248" s="37">
        <v>41912</v>
      </c>
      <c r="EH248" s="29" t="s">
        <v>1404</v>
      </c>
      <c r="EI248" s="55">
        <f t="shared" si="106"/>
        <v>0.68995552260934023</v>
      </c>
      <c r="EJ248" s="54">
        <f t="shared" si="107"/>
        <v>0</v>
      </c>
      <c r="EK248" s="55">
        <f t="shared" si="108"/>
        <v>1.4269829503335805</v>
      </c>
      <c r="EL248" s="54">
        <f t="shared" si="109"/>
        <v>0</v>
      </c>
    </row>
    <row r="249" spans="1:142" ht="28.8" x14ac:dyDescent="0.3">
      <c r="A249" s="29" t="s">
        <v>1682</v>
      </c>
      <c r="B249" s="29"/>
      <c r="C249" s="30">
        <v>19728</v>
      </c>
      <c r="D249" s="30">
        <v>0</v>
      </c>
      <c r="E249" s="30">
        <v>0</v>
      </c>
      <c r="F249" s="30">
        <v>4500</v>
      </c>
      <c r="H249" s="2">
        <f t="shared" si="85"/>
        <v>4500</v>
      </c>
      <c r="I249" s="1">
        <f t="shared" si="84"/>
        <v>0.2281021897810219</v>
      </c>
      <c r="J249" s="31">
        <v>91975</v>
      </c>
      <c r="K249" s="31">
        <v>25182</v>
      </c>
      <c r="L249" s="31">
        <v>117157</v>
      </c>
      <c r="M249" s="45">
        <f t="shared" si="86"/>
        <v>5.9386151662611519</v>
      </c>
      <c r="N249" s="31">
        <v>7538</v>
      </c>
      <c r="O249" s="31">
        <v>1500</v>
      </c>
      <c r="P249" s="31">
        <v>2117</v>
      </c>
      <c r="Q249" s="31">
        <v>11155</v>
      </c>
      <c r="R249" s="45">
        <f t="shared" si="87"/>
        <v>0.56543998377939986</v>
      </c>
      <c r="S249" s="31">
        <v>13314</v>
      </c>
      <c r="T249" s="31">
        <v>141626</v>
      </c>
      <c r="U249" s="31">
        <v>0</v>
      </c>
      <c r="V249" s="31">
        <v>141626</v>
      </c>
      <c r="W249" s="45">
        <f t="shared" si="88"/>
        <v>7.1789334955393347</v>
      </c>
      <c r="X249" s="4">
        <f t="shared" si="89"/>
        <v>0.82722805134650412</v>
      </c>
      <c r="Y249" s="4">
        <f t="shared" si="90"/>
        <v>7.8763786310423231E-2</v>
      </c>
      <c r="Z249" s="4">
        <f t="shared" si="91"/>
        <v>9.4008162343072604E-2</v>
      </c>
      <c r="AA249" s="4">
        <f t="shared" si="92"/>
        <v>0</v>
      </c>
      <c r="AB249" s="31">
        <v>6175</v>
      </c>
      <c r="AC249" s="31">
        <v>11155</v>
      </c>
      <c r="AD249" s="31">
        <v>141626</v>
      </c>
      <c r="AE249" s="31">
        <v>141626</v>
      </c>
      <c r="AF249" s="31">
        <v>141626</v>
      </c>
      <c r="AG249" s="31">
        <v>0</v>
      </c>
      <c r="AH249" s="31">
        <v>0</v>
      </c>
      <c r="AI249" s="31">
        <v>141626</v>
      </c>
      <c r="AJ249" s="45">
        <f t="shared" si="93"/>
        <v>7.1789334955393347</v>
      </c>
      <c r="AK249" s="31">
        <v>0</v>
      </c>
      <c r="AL249" s="31">
        <v>0</v>
      </c>
      <c r="AM249" s="31">
        <v>0</v>
      </c>
      <c r="AN249" s="31">
        <v>0</v>
      </c>
      <c r="AO249" s="31">
        <v>0</v>
      </c>
      <c r="AP249" s="31">
        <v>0</v>
      </c>
      <c r="AQ249" s="31">
        <v>0</v>
      </c>
      <c r="AR249" s="31">
        <v>141626</v>
      </c>
      <c r="AS249" s="46">
        <f t="shared" si="94"/>
        <v>7.1789334955393347</v>
      </c>
      <c r="AT249" s="31">
        <v>6175</v>
      </c>
      <c r="AU249" s="31">
        <v>0</v>
      </c>
      <c r="AV249" s="31">
        <v>0</v>
      </c>
      <c r="AW249" s="31">
        <v>0</v>
      </c>
      <c r="AX249" s="31">
        <v>0</v>
      </c>
      <c r="AY249" s="31">
        <v>0</v>
      </c>
      <c r="AZ249" s="31">
        <v>0</v>
      </c>
      <c r="BA249" s="31">
        <v>0</v>
      </c>
      <c r="BB249" s="31">
        <v>6175</v>
      </c>
      <c r="BC249" s="33" t="s">
        <v>25</v>
      </c>
      <c r="BD249" s="47">
        <v>22251</v>
      </c>
      <c r="BE249" s="47">
        <v>22410</v>
      </c>
      <c r="BF249" s="45">
        <f t="shared" si="95"/>
        <v>1.1359489051094891</v>
      </c>
      <c r="BG249" s="30">
        <v>428</v>
      </c>
      <c r="BH249" s="30">
        <v>449</v>
      </c>
      <c r="BI249" s="30">
        <v>1009</v>
      </c>
      <c r="BJ249" s="30">
        <v>1225</v>
      </c>
      <c r="BK249" s="30">
        <v>1235</v>
      </c>
      <c r="BL249" s="30">
        <v>85</v>
      </c>
      <c r="BM249" s="30">
        <v>9194</v>
      </c>
      <c r="BN249" s="30">
        <v>0</v>
      </c>
      <c r="BO249" s="30">
        <v>51</v>
      </c>
      <c r="BP249" s="30">
        <v>0</v>
      </c>
      <c r="BQ249" s="30">
        <v>51</v>
      </c>
      <c r="BR249" s="47">
        <v>23904</v>
      </c>
      <c r="BS249" s="47">
        <v>34382</v>
      </c>
      <c r="BT249" s="1">
        <f t="shared" si="96"/>
        <v>1.742802108678021</v>
      </c>
      <c r="BU249" s="30">
        <v>30</v>
      </c>
      <c r="BV249" s="30">
        <v>0</v>
      </c>
      <c r="BW249" s="47">
        <v>3015</v>
      </c>
      <c r="BX249" s="52">
        <f t="shared" si="97"/>
        <v>0.15282846715328466</v>
      </c>
      <c r="BY249" s="47">
        <v>18193</v>
      </c>
      <c r="BZ249" s="47">
        <v>15</v>
      </c>
      <c r="CA249" s="47">
        <v>8276</v>
      </c>
      <c r="CB249" s="47">
        <v>45</v>
      </c>
      <c r="CC249" s="47">
        <v>26529</v>
      </c>
      <c r="CD249" s="55">
        <f t="shared" si="98"/>
        <v>1.3447384428223845</v>
      </c>
      <c r="CE249" s="3">
        <f t="shared" si="99"/>
        <v>11288.936170212766</v>
      </c>
      <c r="CF249" s="55">
        <f t="shared" si="100"/>
        <v>14.29364224137931</v>
      </c>
      <c r="CG249" s="55">
        <f t="shared" si="101"/>
        <v>1.3388342165026494</v>
      </c>
      <c r="CH249" s="55">
        <f t="shared" si="102"/>
        <v>0.76985050317026349</v>
      </c>
      <c r="CI249" s="30">
        <v>88</v>
      </c>
      <c r="CJ249" s="30">
        <v>24</v>
      </c>
      <c r="CK249" s="30">
        <v>86</v>
      </c>
      <c r="CL249" s="30">
        <v>198</v>
      </c>
      <c r="CM249" s="30">
        <v>3412</v>
      </c>
      <c r="CN249" s="30">
        <v>466</v>
      </c>
      <c r="CO249" s="30">
        <v>1052</v>
      </c>
      <c r="CP249" s="30">
        <v>4930</v>
      </c>
      <c r="CQ249" s="1">
        <f t="shared" si="110"/>
        <v>0.24989862124898621</v>
      </c>
      <c r="CR249" s="47">
        <v>19815</v>
      </c>
      <c r="CS249" s="55">
        <f t="shared" si="103"/>
        <v>1.0044099756690998</v>
      </c>
      <c r="CT249" s="59">
        <v>7305</v>
      </c>
      <c r="CU249" s="29" t="s">
        <v>25</v>
      </c>
      <c r="CV249" s="29" t="s">
        <v>25</v>
      </c>
      <c r="CW249" s="29" t="s">
        <v>25</v>
      </c>
      <c r="CX249" s="35">
        <v>1</v>
      </c>
      <c r="CY249" s="49">
        <f>C249/CX249</f>
        <v>19728</v>
      </c>
      <c r="CZ249" s="35">
        <v>0</v>
      </c>
      <c r="DA249" s="35">
        <v>1.35</v>
      </c>
      <c r="DB249" s="35">
        <v>2.35</v>
      </c>
      <c r="DC249" s="49">
        <f t="shared" si="104"/>
        <v>8394.8936170212764</v>
      </c>
      <c r="DD249" s="30">
        <v>624</v>
      </c>
      <c r="DE249" s="31">
        <v>59670</v>
      </c>
      <c r="DF249" s="35">
        <v>40</v>
      </c>
      <c r="DG249" s="29" t="s">
        <v>25</v>
      </c>
      <c r="DH249" s="29" t="s">
        <v>25</v>
      </c>
      <c r="DI249" s="29" t="s">
        <v>25</v>
      </c>
      <c r="DJ249" s="47">
        <v>2</v>
      </c>
      <c r="DK249" s="47">
        <v>45</v>
      </c>
      <c r="DL249" s="47">
        <v>7</v>
      </c>
      <c r="DM249" s="47">
        <v>3308</v>
      </c>
      <c r="DN249" s="47">
        <v>374</v>
      </c>
      <c r="DO249" s="47">
        <v>345</v>
      </c>
      <c r="DP249" s="29" t="s">
        <v>2028</v>
      </c>
      <c r="DQ249" s="47">
        <v>0</v>
      </c>
      <c r="DR249" s="47">
        <v>1856</v>
      </c>
      <c r="DS249" s="30">
        <v>48</v>
      </c>
      <c r="DT249" s="30">
        <v>38</v>
      </c>
      <c r="DU249" s="30">
        <v>38</v>
      </c>
      <c r="DV249" s="30">
        <v>40</v>
      </c>
      <c r="DX249" s="2">
        <f t="shared" si="105"/>
        <v>1856</v>
      </c>
      <c r="DY249" s="33" t="s">
        <v>2186</v>
      </c>
      <c r="DZ249" s="33" t="s">
        <v>1787</v>
      </c>
      <c r="EA249" s="33" t="s">
        <v>2030</v>
      </c>
      <c r="EB249" s="33" t="s">
        <v>2027</v>
      </c>
      <c r="EC249" s="36">
        <v>627</v>
      </c>
      <c r="ED249" s="29" t="s">
        <v>1786</v>
      </c>
      <c r="EE249" s="29" t="s">
        <v>280</v>
      </c>
      <c r="EF249" s="37">
        <v>41548</v>
      </c>
      <c r="EG249" s="37">
        <v>41912</v>
      </c>
      <c r="EH249" s="29" t="s">
        <v>1786</v>
      </c>
      <c r="EI249" s="55">
        <f t="shared" si="106"/>
        <v>0.92219180859691807</v>
      </c>
      <c r="EJ249" s="54">
        <f t="shared" si="107"/>
        <v>7.6034063260340637E-4</v>
      </c>
      <c r="EK249" s="55">
        <f t="shared" si="108"/>
        <v>0.41950527169505269</v>
      </c>
      <c r="EL249" s="54">
        <f t="shared" si="109"/>
        <v>2.2810218978102188E-3</v>
      </c>
    </row>
    <row r="250" spans="1:142" ht="43.2" x14ac:dyDescent="0.3">
      <c r="A250" s="29" t="s">
        <v>1406</v>
      </c>
      <c r="B250" s="29"/>
      <c r="C250" s="30">
        <v>2595</v>
      </c>
      <c r="D250" s="30">
        <v>0</v>
      </c>
      <c r="E250" s="30">
        <v>0</v>
      </c>
      <c r="F250" s="30">
        <v>2500</v>
      </c>
      <c r="H250" s="2">
        <f t="shared" si="85"/>
        <v>2500</v>
      </c>
      <c r="I250" s="1">
        <f t="shared" si="84"/>
        <v>0.96339113680154143</v>
      </c>
      <c r="J250" s="31">
        <v>15529</v>
      </c>
      <c r="K250" s="31">
        <v>1098</v>
      </c>
      <c r="L250" s="31">
        <v>16627</v>
      </c>
      <c r="M250" s="45">
        <f t="shared" si="86"/>
        <v>6.4073217726396914</v>
      </c>
      <c r="N250" s="31">
        <v>296</v>
      </c>
      <c r="O250" s="31">
        <v>0</v>
      </c>
      <c r="P250" s="31">
        <v>401</v>
      </c>
      <c r="Q250" s="31">
        <v>697</v>
      </c>
      <c r="R250" s="45">
        <f t="shared" si="87"/>
        <v>0.26859344894026976</v>
      </c>
      <c r="S250" s="31">
        <v>8645</v>
      </c>
      <c r="T250" s="31">
        <v>25969</v>
      </c>
      <c r="U250" s="31">
        <v>0</v>
      </c>
      <c r="V250" s="31">
        <v>25969</v>
      </c>
      <c r="W250" s="45">
        <f t="shared" si="88"/>
        <v>10.007321772639692</v>
      </c>
      <c r="X250" s="4">
        <f t="shared" si="89"/>
        <v>0.64026339096615192</v>
      </c>
      <c r="Y250" s="4">
        <f t="shared" si="90"/>
        <v>2.6839693480688515E-2</v>
      </c>
      <c r="Z250" s="4">
        <f t="shared" si="91"/>
        <v>0.33289691555315953</v>
      </c>
      <c r="AA250" s="4">
        <f t="shared" si="92"/>
        <v>0</v>
      </c>
      <c r="AB250" s="31">
        <v>0</v>
      </c>
      <c r="AC250" s="31">
        <v>535</v>
      </c>
      <c r="AD250" s="31">
        <v>25669</v>
      </c>
      <c r="AE250" s="31">
        <v>25669</v>
      </c>
      <c r="AF250" s="31">
        <v>22757</v>
      </c>
      <c r="AG250" s="31">
        <v>3200</v>
      </c>
      <c r="AH250" s="31">
        <v>0</v>
      </c>
      <c r="AI250" s="31">
        <v>25957</v>
      </c>
      <c r="AJ250" s="45">
        <f t="shared" si="93"/>
        <v>10.002697495183044</v>
      </c>
      <c r="AK250" s="31">
        <v>0</v>
      </c>
      <c r="AL250" s="31">
        <v>0</v>
      </c>
      <c r="AM250" s="31">
        <v>0</v>
      </c>
      <c r="AN250" s="31">
        <v>0</v>
      </c>
      <c r="AO250" s="31">
        <v>300</v>
      </c>
      <c r="AP250" s="31">
        <v>0</v>
      </c>
      <c r="AQ250" s="31">
        <v>300</v>
      </c>
      <c r="AR250" s="31">
        <v>26257</v>
      </c>
      <c r="AS250" s="46">
        <f t="shared" si="94"/>
        <v>10.118304431599229</v>
      </c>
      <c r="AT250" s="31">
        <v>0</v>
      </c>
      <c r="AU250" s="31">
        <v>0</v>
      </c>
      <c r="AV250" s="31">
        <v>0</v>
      </c>
      <c r="AW250" s="31">
        <v>0</v>
      </c>
      <c r="AX250" s="31">
        <v>0</v>
      </c>
      <c r="AY250" s="31">
        <v>0</v>
      </c>
      <c r="AZ250" s="31">
        <v>0</v>
      </c>
      <c r="BA250" s="31">
        <v>0</v>
      </c>
      <c r="BB250" s="31">
        <v>0</v>
      </c>
      <c r="BC250" s="33" t="s">
        <v>25</v>
      </c>
      <c r="BD250" s="47">
        <v>13176</v>
      </c>
      <c r="BE250" s="47">
        <v>13371</v>
      </c>
      <c r="BF250" s="45">
        <f t="shared" si="95"/>
        <v>5.1526011560693643</v>
      </c>
      <c r="BG250" s="30">
        <v>195</v>
      </c>
      <c r="BH250" s="30">
        <v>195</v>
      </c>
      <c r="BI250" s="30">
        <v>0</v>
      </c>
      <c r="BJ250" s="30">
        <v>0</v>
      </c>
      <c r="BK250" s="30">
        <v>0</v>
      </c>
      <c r="BL250" s="30">
        <v>0</v>
      </c>
      <c r="BM250" s="30">
        <v>0</v>
      </c>
      <c r="BN250" s="30">
        <v>1</v>
      </c>
      <c r="BO250" s="30">
        <v>0</v>
      </c>
      <c r="BP250" s="30">
        <v>1</v>
      </c>
      <c r="BQ250" s="30">
        <v>2</v>
      </c>
      <c r="BR250" s="47">
        <v>13371</v>
      </c>
      <c r="BS250" s="47">
        <v>13567</v>
      </c>
      <c r="BT250" s="1">
        <f t="shared" si="96"/>
        <v>5.2281310211946046</v>
      </c>
      <c r="BU250" s="30">
        <v>2</v>
      </c>
      <c r="BV250" s="30">
        <v>0</v>
      </c>
      <c r="BW250" s="47">
        <v>530</v>
      </c>
      <c r="BX250" s="52">
        <f t="shared" si="97"/>
        <v>0.20423892100192678</v>
      </c>
      <c r="BY250" s="47">
        <v>530</v>
      </c>
      <c r="BZ250" s="47">
        <v>0</v>
      </c>
      <c r="CA250" s="47">
        <v>710</v>
      </c>
      <c r="CB250" s="47">
        <v>0</v>
      </c>
      <c r="CC250" s="47">
        <v>1240</v>
      </c>
      <c r="CD250" s="55">
        <f t="shared" si="98"/>
        <v>0.47784200385356457</v>
      </c>
      <c r="CE250" s="3">
        <f t="shared" si="99"/>
        <v>1771.4285714285716</v>
      </c>
      <c r="CF250" s="55">
        <f t="shared" si="100"/>
        <v>0.92261904761904767</v>
      </c>
      <c r="CG250" s="55">
        <f t="shared" si="101"/>
        <v>0.1763869132290185</v>
      </c>
      <c r="CH250" s="55">
        <f t="shared" si="102"/>
        <v>9.1398245743347831E-2</v>
      </c>
      <c r="CI250" s="30">
        <v>2</v>
      </c>
      <c r="CJ250" s="30">
        <v>0</v>
      </c>
      <c r="CK250" s="30">
        <v>0</v>
      </c>
      <c r="CL250" s="30">
        <v>2</v>
      </c>
      <c r="CM250" s="30">
        <v>30</v>
      </c>
      <c r="CN250" s="30">
        <v>0</v>
      </c>
      <c r="CO250" s="30">
        <v>0</v>
      </c>
      <c r="CP250" s="30">
        <v>30</v>
      </c>
      <c r="CQ250" s="1">
        <f t="shared" si="110"/>
        <v>1.1560693641618497E-2</v>
      </c>
      <c r="CR250" s="47">
        <v>7030</v>
      </c>
      <c r="CS250" s="55">
        <f t="shared" si="103"/>
        <v>2.7090558766859343</v>
      </c>
      <c r="CT250" s="59">
        <v>1647</v>
      </c>
      <c r="CU250" s="29" t="s">
        <v>25</v>
      </c>
      <c r="CV250" s="29" t="s">
        <v>25</v>
      </c>
      <c r="CW250" s="29" t="s">
        <v>25</v>
      </c>
      <c r="CX250" s="35">
        <v>0</v>
      </c>
      <c r="CY250" s="49">
        <v>0</v>
      </c>
      <c r="CZ250" s="35">
        <v>0.7</v>
      </c>
      <c r="DA250" s="35">
        <v>0</v>
      </c>
      <c r="DB250" s="35">
        <v>0.7</v>
      </c>
      <c r="DC250" s="49">
        <f t="shared" si="104"/>
        <v>3707.1428571428573</v>
      </c>
      <c r="DD250" s="30">
        <v>50</v>
      </c>
      <c r="DE250" s="31">
        <v>29693</v>
      </c>
      <c r="DF250" s="35">
        <v>28</v>
      </c>
      <c r="DG250" s="29" t="s">
        <v>25</v>
      </c>
      <c r="DH250" s="29" t="s">
        <v>26</v>
      </c>
      <c r="DI250" s="29" t="s">
        <v>26</v>
      </c>
      <c r="DJ250" s="47">
        <v>0</v>
      </c>
      <c r="DK250" s="47">
        <v>0</v>
      </c>
      <c r="DL250" s="47">
        <v>10</v>
      </c>
      <c r="DM250" s="47">
        <v>6000</v>
      </c>
      <c r="DN250" s="47">
        <v>2</v>
      </c>
      <c r="DO250" s="47">
        <v>0</v>
      </c>
      <c r="DP250" s="29" t="s">
        <v>2028</v>
      </c>
      <c r="DQ250" s="47">
        <v>0</v>
      </c>
      <c r="DR250" s="47">
        <v>1344</v>
      </c>
      <c r="DS250" s="30">
        <v>52</v>
      </c>
      <c r="DT250" s="30">
        <v>28</v>
      </c>
      <c r="DU250" s="30">
        <v>28</v>
      </c>
      <c r="DV250" s="30">
        <v>28</v>
      </c>
      <c r="DX250" s="2">
        <f t="shared" si="105"/>
        <v>1344</v>
      </c>
      <c r="DY250" s="33" t="s">
        <v>2178</v>
      </c>
      <c r="DZ250" s="33" t="s">
        <v>1408</v>
      </c>
      <c r="EA250" s="33" t="s">
        <v>2030</v>
      </c>
      <c r="EB250" s="33" t="s">
        <v>2027</v>
      </c>
      <c r="EC250" s="36">
        <v>438</v>
      </c>
      <c r="ED250" s="29" t="s">
        <v>1407</v>
      </c>
      <c r="EE250" s="29" t="s">
        <v>844</v>
      </c>
      <c r="EF250" s="37">
        <v>41640</v>
      </c>
      <c r="EG250" s="37">
        <v>42004</v>
      </c>
      <c r="EH250" s="29" t="s">
        <v>1407</v>
      </c>
      <c r="EI250" s="55">
        <f t="shared" si="106"/>
        <v>0.20423892100192678</v>
      </c>
      <c r="EJ250" s="54">
        <f t="shared" si="107"/>
        <v>0</v>
      </c>
      <c r="EK250" s="55">
        <f t="shared" si="108"/>
        <v>0.27360308285163776</v>
      </c>
      <c r="EL250" s="54">
        <f t="shared" si="109"/>
        <v>0</v>
      </c>
    </row>
    <row r="251" spans="1:142" ht="28.8" x14ac:dyDescent="0.3">
      <c r="A251" s="29" t="s">
        <v>695</v>
      </c>
      <c r="B251" s="29"/>
      <c r="C251" s="30">
        <v>1038</v>
      </c>
      <c r="D251" s="30">
        <v>0</v>
      </c>
      <c r="E251" s="30">
        <v>0</v>
      </c>
      <c r="F251" s="30">
        <v>1800</v>
      </c>
      <c r="H251" s="2">
        <f t="shared" si="85"/>
        <v>1800</v>
      </c>
      <c r="I251" s="1">
        <f t="shared" ref="I251:I313" si="111">H251/C251</f>
        <v>1.7341040462427746</v>
      </c>
      <c r="J251" s="31">
        <v>31923</v>
      </c>
      <c r="K251" s="31">
        <v>4760</v>
      </c>
      <c r="L251" s="31">
        <v>36683</v>
      </c>
      <c r="M251" s="45">
        <f t="shared" si="86"/>
        <v>35.340077071290942</v>
      </c>
      <c r="N251" s="31">
        <v>4732</v>
      </c>
      <c r="O251" s="31">
        <v>0</v>
      </c>
      <c r="P251" s="31">
        <v>0</v>
      </c>
      <c r="Q251" s="31">
        <v>4732</v>
      </c>
      <c r="R251" s="45">
        <f t="shared" si="87"/>
        <v>4.5587668593448942</v>
      </c>
      <c r="S251" s="31">
        <v>4990</v>
      </c>
      <c r="T251" s="31">
        <v>46405</v>
      </c>
      <c r="U251" s="31">
        <v>0</v>
      </c>
      <c r="V251" s="31">
        <v>46405</v>
      </c>
      <c r="W251" s="45">
        <f t="shared" si="88"/>
        <v>44.706165703275531</v>
      </c>
      <c r="X251" s="4">
        <f t="shared" si="89"/>
        <v>0.79049671371619434</v>
      </c>
      <c r="Y251" s="4">
        <f t="shared" si="90"/>
        <v>0.10197177028337463</v>
      </c>
      <c r="Z251" s="4">
        <f t="shared" si="91"/>
        <v>0.10753151600043098</v>
      </c>
      <c r="AA251" s="4">
        <f t="shared" si="92"/>
        <v>0</v>
      </c>
      <c r="AB251" s="31">
        <v>474</v>
      </c>
      <c r="AC251" s="31">
        <v>4732</v>
      </c>
      <c r="AD251" s="31">
        <v>46405</v>
      </c>
      <c r="AE251" s="31">
        <v>45174</v>
      </c>
      <c r="AF251" s="31">
        <v>0</v>
      </c>
      <c r="AG251" s="31">
        <v>45174</v>
      </c>
      <c r="AH251" s="31">
        <v>0</v>
      </c>
      <c r="AI251" s="31">
        <v>45174</v>
      </c>
      <c r="AJ251" s="45">
        <f t="shared" si="93"/>
        <v>43.520231213872833</v>
      </c>
      <c r="AK251" s="31">
        <v>0</v>
      </c>
      <c r="AL251" s="31">
        <v>0</v>
      </c>
      <c r="AM251" s="31">
        <v>0</v>
      </c>
      <c r="AN251" s="31">
        <v>0</v>
      </c>
      <c r="AO251" s="31">
        <v>0</v>
      </c>
      <c r="AP251" s="31">
        <v>1300</v>
      </c>
      <c r="AQ251" s="31">
        <v>1300</v>
      </c>
      <c r="AR251" s="31">
        <v>46474</v>
      </c>
      <c r="AS251" s="46">
        <f t="shared" si="94"/>
        <v>44.772639691714836</v>
      </c>
      <c r="AT251" s="31">
        <v>0</v>
      </c>
      <c r="AU251" s="31">
        <v>474</v>
      </c>
      <c r="AV251" s="31">
        <v>0</v>
      </c>
      <c r="AW251" s="31">
        <v>0</v>
      </c>
      <c r="AX251" s="31">
        <v>0</v>
      </c>
      <c r="AY251" s="31">
        <v>0</v>
      </c>
      <c r="AZ251" s="31">
        <v>0</v>
      </c>
      <c r="BA251" s="31">
        <v>0</v>
      </c>
      <c r="BB251" s="31">
        <v>474</v>
      </c>
      <c r="BC251" s="33" t="s">
        <v>25</v>
      </c>
      <c r="BD251" s="47">
        <v>17145</v>
      </c>
      <c r="BE251" s="47">
        <v>17366</v>
      </c>
      <c r="BF251" s="45">
        <f t="shared" si="95"/>
        <v>16.730250481695567</v>
      </c>
      <c r="BG251" s="30">
        <v>340</v>
      </c>
      <c r="BH251" s="30">
        <v>356</v>
      </c>
      <c r="BI251" s="30">
        <v>0</v>
      </c>
      <c r="BJ251" s="30">
        <v>1265</v>
      </c>
      <c r="BK251" s="30">
        <v>1311</v>
      </c>
      <c r="BL251" s="30">
        <v>0</v>
      </c>
      <c r="BM251" s="30">
        <v>0</v>
      </c>
      <c r="BN251" s="30">
        <v>0</v>
      </c>
      <c r="BO251" s="30">
        <v>51</v>
      </c>
      <c r="BP251" s="30">
        <v>0</v>
      </c>
      <c r="BQ251" s="30">
        <v>51</v>
      </c>
      <c r="BR251" s="47">
        <v>18750</v>
      </c>
      <c r="BS251" s="47">
        <v>19033</v>
      </c>
      <c r="BT251" s="1">
        <f t="shared" si="96"/>
        <v>18.336223506743739</v>
      </c>
      <c r="BU251" s="30">
        <v>8</v>
      </c>
      <c r="BV251" s="30">
        <v>0</v>
      </c>
      <c r="BW251" s="47">
        <v>365</v>
      </c>
      <c r="BX251" s="52">
        <f t="shared" si="97"/>
        <v>0.3516377649325626</v>
      </c>
      <c r="BY251" s="47">
        <v>915</v>
      </c>
      <c r="BZ251" s="47">
        <v>0</v>
      </c>
      <c r="CA251" s="47">
        <v>867</v>
      </c>
      <c r="CB251" s="47">
        <v>0</v>
      </c>
      <c r="CC251" s="47">
        <v>1782</v>
      </c>
      <c r="CD251" s="55">
        <f t="shared" si="98"/>
        <v>1.7167630057803469</v>
      </c>
      <c r="CE251" s="3">
        <f t="shared" si="99"/>
        <v>1425.6</v>
      </c>
      <c r="CF251" s="55">
        <f t="shared" si="100"/>
        <v>0.9</v>
      </c>
      <c r="CG251" s="55">
        <f t="shared" si="101"/>
        <v>0.35639999999999999</v>
      </c>
      <c r="CH251" s="55">
        <f t="shared" si="102"/>
        <v>9.362685861398623E-2</v>
      </c>
      <c r="CI251" s="30">
        <v>13</v>
      </c>
      <c r="CJ251" s="30">
        <v>2</v>
      </c>
      <c r="CK251" s="30">
        <v>0</v>
      </c>
      <c r="CL251" s="30">
        <v>15</v>
      </c>
      <c r="CM251" s="30">
        <v>557</v>
      </c>
      <c r="CN251" s="30">
        <v>30</v>
      </c>
      <c r="CO251" s="30">
        <v>0</v>
      </c>
      <c r="CP251" s="30">
        <v>587</v>
      </c>
      <c r="CQ251" s="1">
        <f t="shared" si="110"/>
        <v>0.56551059730250486</v>
      </c>
      <c r="CR251" s="47">
        <v>5000</v>
      </c>
      <c r="CS251" s="55">
        <f t="shared" si="103"/>
        <v>4.8169556840077075</v>
      </c>
      <c r="CT251" s="59">
        <v>246</v>
      </c>
      <c r="CU251" s="29" t="s">
        <v>25</v>
      </c>
      <c r="CV251" s="29" t="s">
        <v>25</v>
      </c>
      <c r="CW251" s="29" t="s">
        <v>25</v>
      </c>
      <c r="CX251" s="35">
        <v>0</v>
      </c>
      <c r="CY251" s="49">
        <v>0</v>
      </c>
      <c r="CZ251" s="35">
        <v>0.75</v>
      </c>
      <c r="DA251" s="35">
        <v>0.5</v>
      </c>
      <c r="DB251" s="35">
        <v>1.25</v>
      </c>
      <c r="DC251" s="49">
        <f t="shared" si="104"/>
        <v>830.4</v>
      </c>
      <c r="DD251" s="30">
        <v>325</v>
      </c>
      <c r="DE251" s="31">
        <v>24071</v>
      </c>
      <c r="DF251" s="35">
        <v>30</v>
      </c>
      <c r="DG251" s="29" t="s">
        <v>25</v>
      </c>
      <c r="DH251" s="29" t="s">
        <v>25</v>
      </c>
      <c r="DI251" s="29" t="s">
        <v>25</v>
      </c>
      <c r="DJ251" s="47">
        <v>0</v>
      </c>
      <c r="DK251" s="47">
        <v>1</v>
      </c>
      <c r="DL251" s="47">
        <v>3</v>
      </c>
      <c r="DM251" s="47">
        <v>392</v>
      </c>
      <c r="DN251" s="47">
        <v>2</v>
      </c>
      <c r="DO251" s="47">
        <v>0</v>
      </c>
      <c r="DP251" s="29" t="s">
        <v>25</v>
      </c>
      <c r="DQ251" s="47">
        <v>100</v>
      </c>
      <c r="DR251" s="47">
        <v>1980</v>
      </c>
      <c r="DS251" s="30">
        <v>52</v>
      </c>
      <c r="DT251" s="30">
        <v>40</v>
      </c>
      <c r="DU251" s="30">
        <v>40</v>
      </c>
      <c r="DV251" s="30">
        <v>40</v>
      </c>
      <c r="DX251" s="2">
        <f t="shared" si="105"/>
        <v>1980</v>
      </c>
      <c r="DY251" s="33" t="s">
        <v>2183</v>
      </c>
      <c r="DZ251" s="33" t="s">
        <v>697</v>
      </c>
      <c r="EA251" s="33" t="s">
        <v>2031</v>
      </c>
      <c r="EB251" s="33" t="s">
        <v>2027</v>
      </c>
      <c r="EC251" s="36">
        <v>194</v>
      </c>
      <c r="ED251" s="29" t="s">
        <v>696</v>
      </c>
      <c r="EE251" s="29" t="s">
        <v>533</v>
      </c>
      <c r="EF251" s="37">
        <v>41640</v>
      </c>
      <c r="EG251" s="37">
        <v>42004</v>
      </c>
      <c r="EH251" s="29" t="s">
        <v>696</v>
      </c>
      <c r="EI251" s="55">
        <f t="shared" si="106"/>
        <v>0.88150289017341044</v>
      </c>
      <c r="EJ251" s="54">
        <f t="shared" si="107"/>
        <v>0</v>
      </c>
      <c r="EK251" s="55">
        <f t="shared" si="108"/>
        <v>0.83526011560693647</v>
      </c>
      <c r="EL251" s="54">
        <f t="shared" si="109"/>
        <v>0</v>
      </c>
    </row>
    <row r="252" spans="1:142" ht="28.8" x14ac:dyDescent="0.3">
      <c r="A252" s="29" t="s">
        <v>698</v>
      </c>
      <c r="B252" s="29"/>
      <c r="C252" s="30">
        <v>12882</v>
      </c>
      <c r="D252" s="30">
        <v>0</v>
      </c>
      <c r="E252" s="30">
        <v>0</v>
      </c>
      <c r="F252" s="30">
        <v>6030</v>
      </c>
      <c r="H252" s="2">
        <f t="shared" ref="H252:H314" si="112">G252+F252</f>
        <v>6030</v>
      </c>
      <c r="I252" s="1">
        <f t="shared" si="111"/>
        <v>0.46809501630181649</v>
      </c>
      <c r="J252" s="31">
        <v>141620</v>
      </c>
      <c r="K252" s="31">
        <v>55971</v>
      </c>
      <c r="L252" s="31">
        <v>197591</v>
      </c>
      <c r="M252" s="45">
        <f t="shared" si="86"/>
        <v>15.33853438907002</v>
      </c>
      <c r="N252" s="31">
        <v>15000</v>
      </c>
      <c r="O252" s="31">
        <v>0</v>
      </c>
      <c r="P252" s="31">
        <v>0</v>
      </c>
      <c r="Q252" s="31">
        <v>15000</v>
      </c>
      <c r="R252" s="45">
        <f t="shared" si="87"/>
        <v>1.1644154634373545</v>
      </c>
      <c r="S252" s="31">
        <v>43460</v>
      </c>
      <c r="T252" s="31">
        <v>256051</v>
      </c>
      <c r="U252" s="31">
        <v>0</v>
      </c>
      <c r="V252" s="31">
        <v>256051</v>
      </c>
      <c r="W252" s="45">
        <f t="shared" si="88"/>
        <v>19.876649588573201</v>
      </c>
      <c r="X252" s="4">
        <f t="shared" si="89"/>
        <v>0.7716861094078914</v>
      </c>
      <c r="Y252" s="4">
        <f t="shared" si="90"/>
        <v>5.858207935137922E-2</v>
      </c>
      <c r="Z252" s="4">
        <f t="shared" si="91"/>
        <v>0.16973181124072939</v>
      </c>
      <c r="AA252" s="4">
        <f t="shared" si="92"/>
        <v>0</v>
      </c>
      <c r="AB252" s="31">
        <v>0</v>
      </c>
      <c r="AC252" s="31">
        <v>12550</v>
      </c>
      <c r="AD252" s="31">
        <v>252291</v>
      </c>
      <c r="AE252" s="31">
        <v>252291</v>
      </c>
      <c r="AF252" s="31">
        <v>257601</v>
      </c>
      <c r="AG252" s="31">
        <v>1000</v>
      </c>
      <c r="AH252" s="31">
        <v>0</v>
      </c>
      <c r="AI252" s="31">
        <v>258601</v>
      </c>
      <c r="AJ252" s="45">
        <f t="shared" si="93"/>
        <v>20.074600217357553</v>
      </c>
      <c r="AK252" s="31">
        <v>0</v>
      </c>
      <c r="AL252" s="31">
        <v>0</v>
      </c>
      <c r="AM252" s="31">
        <v>0</v>
      </c>
      <c r="AN252" s="31">
        <v>0</v>
      </c>
      <c r="AO252" s="31">
        <v>0</v>
      </c>
      <c r="AP252" s="31">
        <v>0</v>
      </c>
      <c r="AQ252" s="31">
        <v>0</v>
      </c>
      <c r="AR252" s="31">
        <v>258601</v>
      </c>
      <c r="AS252" s="46">
        <f t="shared" si="94"/>
        <v>20.074600217357553</v>
      </c>
      <c r="AT252" s="31">
        <v>0</v>
      </c>
      <c r="AU252" s="31">
        <v>0</v>
      </c>
      <c r="AV252" s="31">
        <v>0</v>
      </c>
      <c r="AW252" s="31">
        <v>0</v>
      </c>
      <c r="AX252" s="31">
        <v>0</v>
      </c>
      <c r="AY252" s="31">
        <v>0</v>
      </c>
      <c r="AZ252" s="31">
        <v>0</v>
      </c>
      <c r="BA252" s="31">
        <v>0</v>
      </c>
      <c r="BB252" s="31">
        <v>0</v>
      </c>
      <c r="BC252" s="33" t="s">
        <v>25</v>
      </c>
      <c r="BD252" s="47">
        <v>38657</v>
      </c>
      <c r="BE252" s="47">
        <v>38688</v>
      </c>
      <c r="BF252" s="45">
        <f t="shared" si="95"/>
        <v>3.0032603632976245</v>
      </c>
      <c r="BG252" s="30">
        <v>910</v>
      </c>
      <c r="BH252" s="30">
        <v>910</v>
      </c>
      <c r="BI252" s="30">
        <v>0</v>
      </c>
      <c r="BJ252" s="30">
        <v>4761</v>
      </c>
      <c r="BK252" s="30">
        <v>4761</v>
      </c>
      <c r="BL252" s="30">
        <v>0</v>
      </c>
      <c r="BM252" s="30">
        <v>0</v>
      </c>
      <c r="BN252" s="30">
        <v>0</v>
      </c>
      <c r="BO252" s="30">
        <v>51</v>
      </c>
      <c r="BP252" s="30">
        <v>1</v>
      </c>
      <c r="BQ252" s="30">
        <v>52</v>
      </c>
      <c r="BR252" s="47">
        <v>44328</v>
      </c>
      <c r="BS252" s="47">
        <v>44359</v>
      </c>
      <c r="BT252" s="1">
        <f t="shared" si="96"/>
        <v>3.4434870361745071</v>
      </c>
      <c r="BU252" s="30">
        <v>70</v>
      </c>
      <c r="BV252" s="30">
        <v>1</v>
      </c>
      <c r="BW252" s="47">
        <v>22718</v>
      </c>
      <c r="BX252" s="52">
        <f t="shared" si="97"/>
        <v>1.7635460332246546</v>
      </c>
      <c r="BY252" s="47">
        <v>12606</v>
      </c>
      <c r="BZ252" s="47">
        <v>0</v>
      </c>
      <c r="CA252" s="47">
        <v>28609</v>
      </c>
      <c r="CB252" s="47">
        <v>0</v>
      </c>
      <c r="CC252" s="47">
        <v>41215</v>
      </c>
      <c r="CD252" s="55">
        <f t="shared" si="98"/>
        <v>3.1994255550380375</v>
      </c>
      <c r="CE252" s="3">
        <f t="shared" si="99"/>
        <v>8676.8421052631584</v>
      </c>
      <c r="CF252" s="55">
        <f t="shared" si="100"/>
        <v>15.214101144333702</v>
      </c>
      <c r="CG252" s="55">
        <f t="shared" si="101"/>
        <v>1.257781982421875</v>
      </c>
      <c r="CH252" s="55">
        <f t="shared" si="102"/>
        <v>0.92912374039090151</v>
      </c>
      <c r="CI252" s="30">
        <v>275</v>
      </c>
      <c r="CJ252" s="30">
        <v>24</v>
      </c>
      <c r="CK252" s="30">
        <v>106</v>
      </c>
      <c r="CL252" s="30">
        <v>405</v>
      </c>
      <c r="CM252" s="30">
        <v>3796</v>
      </c>
      <c r="CN252" s="30">
        <v>168</v>
      </c>
      <c r="CO252" s="30">
        <v>488</v>
      </c>
      <c r="CP252" s="30">
        <v>4452</v>
      </c>
      <c r="CQ252" s="1">
        <f t="shared" si="110"/>
        <v>0.34559850954820681</v>
      </c>
      <c r="CR252" s="47">
        <v>32768</v>
      </c>
      <c r="CS252" s="55">
        <f t="shared" si="103"/>
        <v>2.543704393727682</v>
      </c>
      <c r="CT252" s="59">
        <v>9052</v>
      </c>
      <c r="CU252" s="29" t="s">
        <v>25</v>
      </c>
      <c r="CV252" s="29" t="s">
        <v>25</v>
      </c>
      <c r="CW252" s="29" t="s">
        <v>25</v>
      </c>
      <c r="CX252" s="35">
        <v>1.25</v>
      </c>
      <c r="CY252" s="49">
        <f>C252/CX252</f>
        <v>10305.6</v>
      </c>
      <c r="CZ252" s="35">
        <v>0</v>
      </c>
      <c r="DA252" s="35">
        <v>3.5</v>
      </c>
      <c r="DB252" s="35">
        <v>4.75</v>
      </c>
      <c r="DC252" s="49">
        <f t="shared" si="104"/>
        <v>2712</v>
      </c>
      <c r="DD252" s="30">
        <v>1243</v>
      </c>
      <c r="DE252" s="31">
        <v>52418</v>
      </c>
      <c r="DF252" s="35">
        <v>40</v>
      </c>
      <c r="DG252" s="29" t="s">
        <v>25</v>
      </c>
      <c r="DH252" s="29" t="s">
        <v>25</v>
      </c>
      <c r="DI252" s="29" t="s">
        <v>25</v>
      </c>
      <c r="DJ252" s="47">
        <v>142</v>
      </c>
      <c r="DK252" s="47">
        <v>41</v>
      </c>
      <c r="DL252" s="47">
        <v>32</v>
      </c>
      <c r="DM252" s="47">
        <v>14451</v>
      </c>
      <c r="DN252" s="47">
        <v>488</v>
      </c>
      <c r="DO252" s="47">
        <v>488</v>
      </c>
      <c r="DP252" s="29" t="s">
        <v>2028</v>
      </c>
      <c r="DQ252" s="47">
        <v>0</v>
      </c>
      <c r="DR252" s="47">
        <v>2709</v>
      </c>
      <c r="DS252" s="30">
        <v>52</v>
      </c>
      <c r="DT252" s="30">
        <v>56</v>
      </c>
      <c r="DU252" s="30">
        <v>56</v>
      </c>
      <c r="DV252" s="30">
        <v>52</v>
      </c>
      <c r="DX252" s="2">
        <f t="shared" si="105"/>
        <v>2709</v>
      </c>
      <c r="DY252" s="33" t="s">
        <v>2180</v>
      </c>
      <c r="DZ252" s="33" t="s">
        <v>700</v>
      </c>
      <c r="EA252" s="33" t="s">
        <v>2030</v>
      </c>
      <c r="EB252" s="33" t="s">
        <v>2027</v>
      </c>
      <c r="EC252" s="36">
        <v>195</v>
      </c>
      <c r="ED252" s="29" t="s">
        <v>699</v>
      </c>
      <c r="EE252" s="29" t="s">
        <v>81</v>
      </c>
      <c r="EF252" s="37">
        <v>41548</v>
      </c>
      <c r="EG252" s="37">
        <v>41912</v>
      </c>
      <c r="EH252" s="29" t="s">
        <v>699</v>
      </c>
      <c r="EI252" s="55">
        <f t="shared" si="106"/>
        <v>0.97857475547275263</v>
      </c>
      <c r="EJ252" s="54">
        <f t="shared" si="107"/>
        <v>0</v>
      </c>
      <c r="EK252" s="55">
        <f t="shared" si="108"/>
        <v>2.2208507995652851</v>
      </c>
      <c r="EL252" s="54">
        <f t="shared" si="109"/>
        <v>0</v>
      </c>
    </row>
    <row r="253" spans="1:142" ht="28.8" x14ac:dyDescent="0.3">
      <c r="A253" s="29" t="s">
        <v>702</v>
      </c>
      <c r="B253" s="29"/>
      <c r="C253" s="30">
        <v>6398</v>
      </c>
      <c r="D253" s="30">
        <v>0</v>
      </c>
      <c r="E253" s="30">
        <v>0</v>
      </c>
      <c r="F253" s="30">
        <v>5116</v>
      </c>
      <c r="H253" s="2">
        <f t="shared" si="112"/>
        <v>5116</v>
      </c>
      <c r="I253" s="1">
        <f t="shared" si="111"/>
        <v>0.79962488277586741</v>
      </c>
      <c r="J253" s="31">
        <v>62049</v>
      </c>
      <c r="K253" s="31">
        <v>27145</v>
      </c>
      <c r="L253" s="31">
        <v>89194</v>
      </c>
      <c r="M253" s="45">
        <f t="shared" si="86"/>
        <v>13.940919037199125</v>
      </c>
      <c r="N253" s="31">
        <v>6812</v>
      </c>
      <c r="O253" s="31">
        <v>1000</v>
      </c>
      <c r="P253" s="31">
        <v>0</v>
      </c>
      <c r="Q253" s="31">
        <v>7812</v>
      </c>
      <c r="R253" s="45">
        <f t="shared" si="87"/>
        <v>1.2210065645514223</v>
      </c>
      <c r="S253" s="31">
        <v>30719</v>
      </c>
      <c r="T253" s="31">
        <v>127725</v>
      </c>
      <c r="U253" s="31">
        <v>0</v>
      </c>
      <c r="V253" s="31">
        <v>127725</v>
      </c>
      <c r="W253" s="45">
        <f t="shared" si="88"/>
        <v>19.963269771803688</v>
      </c>
      <c r="X253" s="4">
        <f t="shared" si="89"/>
        <v>0.69832844000782934</v>
      </c>
      <c r="Y253" s="4">
        <f t="shared" si="90"/>
        <v>6.1162654139753379E-2</v>
      </c>
      <c r="Z253" s="4">
        <f t="shared" si="91"/>
        <v>0.2405089058524173</v>
      </c>
      <c r="AA253" s="4">
        <f t="shared" si="92"/>
        <v>0</v>
      </c>
      <c r="AB253" s="31">
        <v>0</v>
      </c>
      <c r="AC253" s="31">
        <v>6812</v>
      </c>
      <c r="AD253" s="31">
        <v>119913</v>
      </c>
      <c r="AE253" s="31">
        <v>119913</v>
      </c>
      <c r="AF253" s="31">
        <v>119913</v>
      </c>
      <c r="AG253" s="31">
        <v>0</v>
      </c>
      <c r="AH253" s="31">
        <v>0</v>
      </c>
      <c r="AI253" s="31">
        <v>119913</v>
      </c>
      <c r="AJ253" s="45">
        <f t="shared" si="93"/>
        <v>18.742263207252265</v>
      </c>
      <c r="AK253" s="31">
        <v>0</v>
      </c>
      <c r="AL253" s="31">
        <v>0</v>
      </c>
      <c r="AM253" s="31">
        <v>0</v>
      </c>
      <c r="AN253" s="31">
        <v>0</v>
      </c>
      <c r="AO253" s="31">
        <v>1000</v>
      </c>
      <c r="AP253" s="31">
        <v>0</v>
      </c>
      <c r="AQ253" s="31">
        <v>1000</v>
      </c>
      <c r="AR253" s="31">
        <v>120913</v>
      </c>
      <c r="AS253" s="46">
        <f t="shared" si="94"/>
        <v>18.898562050640827</v>
      </c>
      <c r="AT253" s="31">
        <v>0</v>
      </c>
      <c r="AU253" s="31">
        <v>0</v>
      </c>
      <c r="AV253" s="31">
        <v>0</v>
      </c>
      <c r="AW253" s="31">
        <v>0</v>
      </c>
      <c r="AX253" s="31">
        <v>0</v>
      </c>
      <c r="AY253" s="31">
        <v>0</v>
      </c>
      <c r="AZ253" s="31">
        <v>0</v>
      </c>
      <c r="BA253" s="31">
        <v>0</v>
      </c>
      <c r="BB253" s="31">
        <v>0</v>
      </c>
      <c r="BC253" s="33" t="s">
        <v>25</v>
      </c>
      <c r="BD253" s="47">
        <v>16303</v>
      </c>
      <c r="BE253" s="47">
        <v>16388</v>
      </c>
      <c r="BF253" s="45">
        <f t="shared" si="95"/>
        <v>2.5614254454517038</v>
      </c>
      <c r="BG253" s="30">
        <v>244</v>
      </c>
      <c r="BH253" s="30">
        <v>244</v>
      </c>
      <c r="BI253" s="30">
        <v>0</v>
      </c>
      <c r="BJ253" s="30">
        <v>2032</v>
      </c>
      <c r="BK253" s="30">
        <v>2032</v>
      </c>
      <c r="BL253" s="30">
        <v>0</v>
      </c>
      <c r="BM253" s="30">
        <v>0</v>
      </c>
      <c r="BN253" s="30">
        <v>0</v>
      </c>
      <c r="BO253" s="30">
        <v>51</v>
      </c>
      <c r="BP253" s="30">
        <v>0</v>
      </c>
      <c r="BQ253" s="30">
        <v>51</v>
      </c>
      <c r="BR253" s="47">
        <v>18579</v>
      </c>
      <c r="BS253" s="47">
        <v>18664</v>
      </c>
      <c r="BT253" s="1">
        <f t="shared" si="96"/>
        <v>2.9171616130040636</v>
      </c>
      <c r="BU253" s="30">
        <v>10</v>
      </c>
      <c r="BV253" s="30">
        <v>0</v>
      </c>
      <c r="BW253" s="47">
        <v>562</v>
      </c>
      <c r="BX253" s="52">
        <f t="shared" si="97"/>
        <v>8.7839949984370114E-2</v>
      </c>
      <c r="BY253" s="47">
        <v>6773</v>
      </c>
      <c r="BZ253" s="47">
        <v>0</v>
      </c>
      <c r="CA253" s="47">
        <v>11891</v>
      </c>
      <c r="CB253" s="47">
        <v>0</v>
      </c>
      <c r="CC253" s="47">
        <v>18664</v>
      </c>
      <c r="CD253" s="55">
        <f t="shared" si="98"/>
        <v>2.9171616130040636</v>
      </c>
      <c r="CE253" s="3">
        <f t="shared" si="99"/>
        <v>7465.6</v>
      </c>
      <c r="CF253" s="55">
        <f t="shared" si="100"/>
        <v>7.3163465307722459</v>
      </c>
      <c r="CG253" s="55">
        <f t="shared" si="101"/>
        <v>1.0054950975110442</v>
      </c>
      <c r="CH253" s="55">
        <f t="shared" si="102"/>
        <v>1</v>
      </c>
      <c r="CI253" s="30">
        <v>172</v>
      </c>
      <c r="CJ253" s="30">
        <v>28</v>
      </c>
      <c r="CK253" s="30">
        <v>31</v>
      </c>
      <c r="CL253" s="30">
        <v>231</v>
      </c>
      <c r="CM253" s="30">
        <v>2407</v>
      </c>
      <c r="CN253" s="30">
        <v>336</v>
      </c>
      <c r="CO253" s="30">
        <v>421</v>
      </c>
      <c r="CP253" s="30">
        <v>3164</v>
      </c>
      <c r="CQ253" s="1">
        <f t="shared" si="110"/>
        <v>0.49452954048140046</v>
      </c>
      <c r="CR253" s="47">
        <v>18562</v>
      </c>
      <c r="CS253" s="55">
        <f t="shared" si="103"/>
        <v>2.9012191309784305</v>
      </c>
      <c r="CT253" s="59">
        <v>1939</v>
      </c>
      <c r="CU253" s="29" t="s">
        <v>25</v>
      </c>
      <c r="CV253" s="29" t="s">
        <v>25</v>
      </c>
      <c r="CW253" s="29" t="s">
        <v>25</v>
      </c>
      <c r="CX253" s="35">
        <v>0</v>
      </c>
      <c r="CY253" s="49">
        <v>0</v>
      </c>
      <c r="CZ253" s="35">
        <v>1</v>
      </c>
      <c r="DA253" s="35">
        <v>1.5</v>
      </c>
      <c r="DB253" s="35">
        <v>2.5</v>
      </c>
      <c r="DC253" s="49">
        <f t="shared" si="104"/>
        <v>2559.1999999999998</v>
      </c>
      <c r="DD253" s="30">
        <v>40</v>
      </c>
      <c r="DE253" s="31">
        <v>33716</v>
      </c>
      <c r="DF253" s="35">
        <v>40</v>
      </c>
      <c r="DG253" s="29" t="s">
        <v>25</v>
      </c>
      <c r="DH253" s="29" t="s">
        <v>25</v>
      </c>
      <c r="DI253" s="29" t="s">
        <v>25</v>
      </c>
      <c r="DJ253" s="47">
        <v>8</v>
      </c>
      <c r="DK253" s="47">
        <v>0</v>
      </c>
      <c r="DL253" s="47">
        <v>3</v>
      </c>
      <c r="DM253" s="47">
        <v>4115</v>
      </c>
      <c r="DN253" s="47">
        <v>4</v>
      </c>
      <c r="DO253" s="47">
        <v>340</v>
      </c>
      <c r="DP253" s="29" t="s">
        <v>2028</v>
      </c>
      <c r="DQ253" s="47">
        <v>0</v>
      </c>
      <c r="DR253" s="47">
        <v>2551</v>
      </c>
      <c r="DS253" s="30">
        <v>52</v>
      </c>
      <c r="DT253" s="30">
        <v>51</v>
      </c>
      <c r="DU253" s="30">
        <v>51</v>
      </c>
      <c r="DV253" s="30">
        <v>51</v>
      </c>
      <c r="DX253" s="2">
        <f t="shared" si="105"/>
        <v>2551</v>
      </c>
      <c r="DY253" s="33" t="s">
        <v>2181</v>
      </c>
      <c r="DZ253" s="33" t="s">
        <v>703</v>
      </c>
      <c r="EA253" s="33" t="s">
        <v>2030</v>
      </c>
      <c r="EB253" s="33" t="s">
        <v>2027</v>
      </c>
      <c r="EC253" s="36">
        <v>196</v>
      </c>
      <c r="ED253" s="29" t="s">
        <v>701</v>
      </c>
      <c r="EE253" s="29" t="s">
        <v>232</v>
      </c>
      <c r="EF253" s="37">
        <v>41548</v>
      </c>
      <c r="EG253" s="37">
        <v>41912</v>
      </c>
      <c r="EH253" s="29" t="s">
        <v>701</v>
      </c>
      <c r="EI253" s="55">
        <f t="shared" si="106"/>
        <v>1.0586120662707097</v>
      </c>
      <c r="EJ253" s="54">
        <f t="shared" si="107"/>
        <v>0</v>
      </c>
      <c r="EK253" s="55">
        <f t="shared" si="108"/>
        <v>1.8585495467333542</v>
      </c>
      <c r="EL253" s="54">
        <f t="shared" si="109"/>
        <v>0</v>
      </c>
    </row>
    <row r="254" spans="1:142" ht="28.8" x14ac:dyDescent="0.3">
      <c r="A254" s="29" t="s">
        <v>704</v>
      </c>
      <c r="B254" s="29"/>
      <c r="C254" s="30">
        <v>2369</v>
      </c>
      <c r="D254" s="30">
        <v>0</v>
      </c>
      <c r="E254" s="30">
        <v>0</v>
      </c>
      <c r="F254" s="30">
        <v>2100</v>
      </c>
      <c r="H254" s="2">
        <f t="shared" si="112"/>
        <v>2100</v>
      </c>
      <c r="I254" s="1">
        <f t="shared" si="111"/>
        <v>0.88644997889404809</v>
      </c>
      <c r="J254" s="31">
        <v>68055</v>
      </c>
      <c r="K254" s="31">
        <v>11957</v>
      </c>
      <c r="L254" s="31">
        <v>80012</v>
      </c>
      <c r="M254" s="45">
        <f t="shared" si="86"/>
        <v>33.774588433938369</v>
      </c>
      <c r="N254" s="31">
        <v>12573</v>
      </c>
      <c r="O254" s="31">
        <v>0</v>
      </c>
      <c r="P254" s="31">
        <v>1474</v>
      </c>
      <c r="Q254" s="31">
        <v>14047</v>
      </c>
      <c r="R254" s="45">
        <f t="shared" si="87"/>
        <v>5.9295061207260451</v>
      </c>
      <c r="S254" s="31">
        <v>4892</v>
      </c>
      <c r="T254" s="31">
        <v>98951</v>
      </c>
      <c r="U254" s="31">
        <v>0</v>
      </c>
      <c r="V254" s="31">
        <v>98951</v>
      </c>
      <c r="W254" s="45">
        <f t="shared" si="88"/>
        <v>41.769100886449976</v>
      </c>
      <c r="X254" s="4">
        <f t="shared" si="89"/>
        <v>0.80860223747107152</v>
      </c>
      <c r="Y254" s="4">
        <f t="shared" si="90"/>
        <v>0.14195915149922689</v>
      </c>
      <c r="Z254" s="4">
        <f t="shared" si="91"/>
        <v>4.9438611029701568E-2</v>
      </c>
      <c r="AA254" s="4">
        <f t="shared" si="92"/>
        <v>0</v>
      </c>
      <c r="AB254" s="31">
        <v>0</v>
      </c>
      <c r="AC254" s="31">
        <v>14073</v>
      </c>
      <c r="AD254" s="31">
        <v>98977</v>
      </c>
      <c r="AE254" s="31">
        <v>98977</v>
      </c>
      <c r="AF254" s="31">
        <v>0</v>
      </c>
      <c r="AG254" s="31">
        <v>103162</v>
      </c>
      <c r="AH254" s="31">
        <v>0</v>
      </c>
      <c r="AI254" s="31">
        <v>103162</v>
      </c>
      <c r="AJ254" s="45">
        <f t="shared" si="93"/>
        <v>43.546644153651329</v>
      </c>
      <c r="AK254" s="31">
        <v>0</v>
      </c>
      <c r="AL254" s="31">
        <v>0</v>
      </c>
      <c r="AM254" s="31">
        <v>0</v>
      </c>
      <c r="AN254" s="31">
        <v>0</v>
      </c>
      <c r="AO254" s="31">
        <v>0</v>
      </c>
      <c r="AP254" s="31">
        <v>0</v>
      </c>
      <c r="AQ254" s="31">
        <v>0</v>
      </c>
      <c r="AR254" s="31">
        <v>103162</v>
      </c>
      <c r="AS254" s="46">
        <f t="shared" si="94"/>
        <v>43.546644153651329</v>
      </c>
      <c r="AT254" s="31">
        <v>0</v>
      </c>
      <c r="AU254" s="31">
        <v>0</v>
      </c>
      <c r="AV254" s="31">
        <v>0</v>
      </c>
      <c r="AW254" s="31">
        <v>0</v>
      </c>
      <c r="AX254" s="31">
        <v>0</v>
      </c>
      <c r="AY254" s="31">
        <v>0</v>
      </c>
      <c r="AZ254" s="31">
        <v>0</v>
      </c>
      <c r="BA254" s="31">
        <v>0</v>
      </c>
      <c r="BB254" s="31">
        <v>0</v>
      </c>
      <c r="BC254" s="33" t="s">
        <v>25</v>
      </c>
      <c r="BD254" s="47">
        <v>0</v>
      </c>
      <c r="BE254" s="47">
        <v>17666</v>
      </c>
      <c r="BF254" s="45">
        <f t="shared" si="95"/>
        <v>7.457154917686788</v>
      </c>
      <c r="BG254" s="30">
        <v>631</v>
      </c>
      <c r="BH254" s="30">
        <v>631</v>
      </c>
      <c r="BI254" s="30">
        <v>0</v>
      </c>
      <c r="BJ254" s="30">
        <v>1274</v>
      </c>
      <c r="BK254" s="30">
        <v>1274</v>
      </c>
      <c r="BL254" s="30">
        <v>0</v>
      </c>
      <c r="BM254" s="30">
        <v>0</v>
      </c>
      <c r="BN254" s="30">
        <v>0</v>
      </c>
      <c r="BO254" s="30">
        <v>51</v>
      </c>
      <c r="BP254" s="30">
        <v>0</v>
      </c>
      <c r="BQ254" s="30">
        <v>51</v>
      </c>
      <c r="BR254" s="47">
        <v>1905</v>
      </c>
      <c r="BS254" s="47">
        <v>19571</v>
      </c>
      <c r="BT254" s="1">
        <f t="shared" si="96"/>
        <v>8.2612916842549602</v>
      </c>
      <c r="BU254" s="30">
        <v>17</v>
      </c>
      <c r="BV254" s="30">
        <v>0</v>
      </c>
      <c r="BW254" s="47">
        <v>202</v>
      </c>
      <c r="BX254" s="52">
        <f t="shared" si="97"/>
        <v>8.5268045588856062E-2</v>
      </c>
      <c r="BY254" s="47">
        <v>603</v>
      </c>
      <c r="BZ254" s="47">
        <v>0</v>
      </c>
      <c r="CA254" s="47">
        <v>3732</v>
      </c>
      <c r="CB254" s="47">
        <v>0</v>
      </c>
      <c r="CC254" s="47">
        <v>4335</v>
      </c>
      <c r="CD254" s="55">
        <f t="shared" si="98"/>
        <v>1.8298860278598565</v>
      </c>
      <c r="CE254" s="3">
        <f t="shared" si="99"/>
        <v>2667.6923076923076</v>
      </c>
      <c r="CF254" s="55">
        <f t="shared" si="100"/>
        <v>2.1675</v>
      </c>
      <c r="CG254" s="55">
        <f t="shared" si="101"/>
        <v>1.1115384615384616</v>
      </c>
      <c r="CH254" s="55">
        <f t="shared" si="102"/>
        <v>0.22150120075622093</v>
      </c>
      <c r="CI254" s="30">
        <v>4</v>
      </c>
      <c r="CJ254" s="30">
        <v>0</v>
      </c>
      <c r="CK254" s="30">
        <v>0</v>
      </c>
      <c r="CL254" s="30">
        <v>4</v>
      </c>
      <c r="CM254" s="30">
        <v>62</v>
      </c>
      <c r="CN254" s="30">
        <v>0</v>
      </c>
      <c r="CO254" s="30">
        <v>0</v>
      </c>
      <c r="CP254" s="30">
        <v>62</v>
      </c>
      <c r="CQ254" s="1">
        <f t="shared" si="110"/>
        <v>2.6171380329252848E-2</v>
      </c>
      <c r="CR254" s="47">
        <v>3900</v>
      </c>
      <c r="CS254" s="55">
        <f t="shared" si="103"/>
        <v>1.6462642465175179</v>
      </c>
      <c r="CT254" s="59">
        <v>1142</v>
      </c>
      <c r="CU254" s="29" t="s">
        <v>25</v>
      </c>
      <c r="CV254" s="29" t="s">
        <v>25</v>
      </c>
      <c r="CW254" s="29" t="s">
        <v>25</v>
      </c>
      <c r="CX254" s="35">
        <v>0</v>
      </c>
      <c r="CY254" s="49">
        <v>0</v>
      </c>
      <c r="CZ254" s="35">
        <v>1</v>
      </c>
      <c r="DA254" s="35">
        <v>0.625</v>
      </c>
      <c r="DB254" s="35">
        <v>1.625</v>
      </c>
      <c r="DC254" s="49">
        <f t="shared" si="104"/>
        <v>1457.8461538461538</v>
      </c>
      <c r="DD254" s="30">
        <v>27</v>
      </c>
      <c r="DE254" s="31">
        <v>33058</v>
      </c>
      <c r="DF254" s="35">
        <v>40</v>
      </c>
      <c r="DG254" s="29" t="s">
        <v>25</v>
      </c>
      <c r="DH254" s="29" t="s">
        <v>25</v>
      </c>
      <c r="DI254" s="29" t="s">
        <v>25</v>
      </c>
      <c r="DJ254" s="47">
        <v>0</v>
      </c>
      <c r="DK254" s="47">
        <v>0</v>
      </c>
      <c r="DL254" s="47">
        <v>4</v>
      </c>
      <c r="DM254" s="47">
        <v>1055</v>
      </c>
      <c r="DN254" s="47">
        <v>72</v>
      </c>
      <c r="DO254" s="47">
        <v>11</v>
      </c>
      <c r="DP254" s="29" t="s">
        <v>2028</v>
      </c>
      <c r="DQ254" s="47">
        <v>0</v>
      </c>
      <c r="DR254" s="47">
        <v>2000</v>
      </c>
      <c r="DS254" s="30">
        <v>52</v>
      </c>
      <c r="DT254" s="30">
        <v>40</v>
      </c>
      <c r="DU254" s="30">
        <v>40</v>
      </c>
      <c r="DV254" s="30">
        <v>40</v>
      </c>
      <c r="DX254" s="2">
        <f t="shared" si="105"/>
        <v>2000</v>
      </c>
      <c r="DY254" s="33" t="s">
        <v>2183</v>
      </c>
      <c r="DZ254" s="33" t="s">
        <v>706</v>
      </c>
      <c r="EA254" s="33" t="s">
        <v>2031</v>
      </c>
      <c r="EB254" s="33" t="s">
        <v>2027</v>
      </c>
      <c r="EC254" s="36">
        <v>197</v>
      </c>
      <c r="ED254" s="29" t="s">
        <v>705</v>
      </c>
      <c r="EE254" s="29" t="s">
        <v>533</v>
      </c>
      <c r="EF254" s="37">
        <v>41640</v>
      </c>
      <c r="EG254" s="37">
        <v>42004</v>
      </c>
      <c r="EH254" s="29" t="s">
        <v>705</v>
      </c>
      <c r="EI254" s="55">
        <f t="shared" si="106"/>
        <v>0.25453777965386237</v>
      </c>
      <c r="EJ254" s="54">
        <f t="shared" si="107"/>
        <v>0</v>
      </c>
      <c r="EK254" s="55">
        <f t="shared" si="108"/>
        <v>1.5753482482059942</v>
      </c>
      <c r="EL254" s="54">
        <f t="shared" si="109"/>
        <v>0</v>
      </c>
    </row>
    <row r="255" spans="1:142" ht="28.8" x14ac:dyDescent="0.3">
      <c r="A255" s="29" t="s">
        <v>707</v>
      </c>
      <c r="B255" s="29"/>
      <c r="C255" s="30">
        <v>228653</v>
      </c>
      <c r="D255" s="30">
        <v>3</v>
      </c>
      <c r="E255" s="30">
        <v>0</v>
      </c>
      <c r="F255" s="30">
        <v>82000</v>
      </c>
      <c r="G255">
        <v>56700</v>
      </c>
      <c r="H255" s="2">
        <f t="shared" si="112"/>
        <v>138700</v>
      </c>
      <c r="I255" s="1">
        <f t="shared" si="111"/>
        <v>0.60659602104498955</v>
      </c>
      <c r="J255" s="31">
        <v>4041049</v>
      </c>
      <c r="K255" s="31">
        <v>974618</v>
      </c>
      <c r="L255" s="31">
        <v>5015667</v>
      </c>
      <c r="M255" s="45">
        <f t="shared" si="86"/>
        <v>21.935714816774762</v>
      </c>
      <c r="N255" s="31">
        <v>412702</v>
      </c>
      <c r="O255" s="31">
        <v>174706</v>
      </c>
      <c r="P255" s="31">
        <v>92600</v>
      </c>
      <c r="Q255" s="31">
        <v>680008</v>
      </c>
      <c r="R255" s="45">
        <f t="shared" si="87"/>
        <v>2.9739736631489637</v>
      </c>
      <c r="S255" s="31">
        <v>490165</v>
      </c>
      <c r="T255" s="31">
        <v>6185840</v>
      </c>
      <c r="U255" s="31">
        <v>0</v>
      </c>
      <c r="V255" s="31">
        <v>6185840</v>
      </c>
      <c r="W255" s="45">
        <f t="shared" si="88"/>
        <v>27.053395319545338</v>
      </c>
      <c r="X255" s="4">
        <f t="shared" si="89"/>
        <v>0.81083038035254706</v>
      </c>
      <c r="Y255" s="4">
        <f t="shared" si="90"/>
        <v>0.10992977509925896</v>
      </c>
      <c r="Z255" s="4">
        <f t="shared" si="91"/>
        <v>7.9239844548193938E-2</v>
      </c>
      <c r="AA255" s="4">
        <f t="shared" si="92"/>
        <v>0</v>
      </c>
      <c r="AB255" s="31">
        <v>5827350</v>
      </c>
      <c r="AC255" s="31">
        <v>680008</v>
      </c>
      <c r="AD255" s="31">
        <v>6161230</v>
      </c>
      <c r="AE255" s="31">
        <v>6085855</v>
      </c>
      <c r="AF255" s="31">
        <v>6085855</v>
      </c>
      <c r="AG255" s="31">
        <v>0</v>
      </c>
      <c r="AH255" s="31">
        <v>0</v>
      </c>
      <c r="AI255" s="31">
        <v>6085855</v>
      </c>
      <c r="AJ255" s="45">
        <f t="shared" si="93"/>
        <v>26.616116998246252</v>
      </c>
      <c r="AK255" s="31">
        <v>0</v>
      </c>
      <c r="AL255" s="31">
        <v>0</v>
      </c>
      <c r="AM255" s="31">
        <v>0</v>
      </c>
      <c r="AN255" s="31">
        <v>0</v>
      </c>
      <c r="AO255" s="31">
        <v>24610</v>
      </c>
      <c r="AP255" s="31">
        <v>75375</v>
      </c>
      <c r="AQ255" s="31">
        <v>99985</v>
      </c>
      <c r="AR255" s="31">
        <v>6185840</v>
      </c>
      <c r="AS255" s="46">
        <f t="shared" si="94"/>
        <v>27.053395319545338</v>
      </c>
      <c r="AT255" s="31">
        <v>5827350</v>
      </c>
      <c r="AU255" s="31">
        <v>0</v>
      </c>
      <c r="AV255" s="31">
        <v>0</v>
      </c>
      <c r="AW255" s="31">
        <v>0</v>
      </c>
      <c r="AX255" s="31">
        <v>0</v>
      </c>
      <c r="AY255" s="31">
        <v>0</v>
      </c>
      <c r="AZ255" s="31">
        <v>0</v>
      </c>
      <c r="BA255" s="31">
        <v>0</v>
      </c>
      <c r="BB255" s="31">
        <v>5827350</v>
      </c>
      <c r="BC255" s="33" t="s">
        <v>25</v>
      </c>
      <c r="BD255" s="47">
        <v>248320</v>
      </c>
      <c r="BE255" s="47">
        <v>475044</v>
      </c>
      <c r="BF255" s="45">
        <f t="shared" si="95"/>
        <v>2.077576065041788</v>
      </c>
      <c r="BG255" s="30">
        <v>18873</v>
      </c>
      <c r="BH255" s="30">
        <v>29628</v>
      </c>
      <c r="BI255" s="30">
        <v>2513</v>
      </c>
      <c r="BJ255" s="30">
        <v>16864</v>
      </c>
      <c r="BK255" s="30">
        <v>36766</v>
      </c>
      <c r="BL255" s="30">
        <v>0</v>
      </c>
      <c r="BM255" s="30">
        <v>5641</v>
      </c>
      <c r="BN255" s="30">
        <v>20</v>
      </c>
      <c r="BO255" s="30">
        <v>51</v>
      </c>
      <c r="BP255" s="30">
        <v>0</v>
      </c>
      <c r="BQ255" s="30">
        <v>71</v>
      </c>
      <c r="BR255" s="47">
        <v>284057</v>
      </c>
      <c r="BS255" s="47">
        <v>549612</v>
      </c>
      <c r="BT255" s="1">
        <f t="shared" si="96"/>
        <v>2.403694681460554</v>
      </c>
      <c r="BU255" s="30">
        <v>943</v>
      </c>
      <c r="BV255" s="30">
        <v>59</v>
      </c>
      <c r="BW255" s="47">
        <v>161923</v>
      </c>
      <c r="BX255" s="52">
        <f t="shared" si="97"/>
        <v>0.70816040025715821</v>
      </c>
      <c r="BY255" s="47">
        <v>729851</v>
      </c>
      <c r="BZ255" s="47">
        <v>6143</v>
      </c>
      <c r="CA255" s="47">
        <v>486567</v>
      </c>
      <c r="CB255" s="47">
        <v>62117</v>
      </c>
      <c r="CC255" s="47">
        <v>1284678</v>
      </c>
      <c r="CD255" s="55">
        <f t="shared" si="98"/>
        <v>5.6184611616729283</v>
      </c>
      <c r="CE255" s="3">
        <f t="shared" si="99"/>
        <v>15293.785714285714</v>
      </c>
      <c r="CF255" s="55">
        <f t="shared" si="100"/>
        <v>129.81790622473727</v>
      </c>
      <c r="CG255" s="55">
        <f t="shared" si="101"/>
        <v>1.631098950629432</v>
      </c>
      <c r="CH255" s="55">
        <f t="shared" si="102"/>
        <v>2.2132304243721026</v>
      </c>
      <c r="CI255" s="30">
        <v>1221</v>
      </c>
      <c r="CJ255" s="30">
        <v>178</v>
      </c>
      <c r="CK255" s="30">
        <v>524</v>
      </c>
      <c r="CL255" s="30">
        <v>1923</v>
      </c>
      <c r="CM255" s="30">
        <v>46248</v>
      </c>
      <c r="CN255" s="30">
        <v>4224</v>
      </c>
      <c r="CO255" s="30">
        <v>12338</v>
      </c>
      <c r="CP255" s="30">
        <v>62810</v>
      </c>
      <c r="CQ255" s="1">
        <f t="shared" si="110"/>
        <v>0.27469571796565101</v>
      </c>
      <c r="CR255" s="47">
        <v>787615</v>
      </c>
      <c r="CS255" s="55">
        <f t="shared" si="103"/>
        <v>3.4445863382505371</v>
      </c>
      <c r="CT255" s="59">
        <v>140698</v>
      </c>
      <c r="CU255" s="29" t="s">
        <v>25</v>
      </c>
      <c r="CV255" s="29" t="s">
        <v>25</v>
      </c>
      <c r="CW255" s="29" t="s">
        <v>25</v>
      </c>
      <c r="CX255" s="35">
        <v>24</v>
      </c>
      <c r="CY255" s="49">
        <f>C255/CX255</f>
        <v>9527.2083333333339</v>
      </c>
      <c r="CZ255" s="35">
        <v>0</v>
      </c>
      <c r="DA255" s="35">
        <v>60</v>
      </c>
      <c r="DB255" s="35">
        <v>84</v>
      </c>
      <c r="DC255" s="49">
        <f t="shared" si="104"/>
        <v>2722.0595238095239</v>
      </c>
      <c r="DD255" s="30">
        <v>9762</v>
      </c>
      <c r="DE255" s="31">
        <v>124884</v>
      </c>
      <c r="DF255" s="35">
        <v>40</v>
      </c>
      <c r="DG255" s="29" t="s">
        <v>25</v>
      </c>
      <c r="DH255" s="29" t="s">
        <v>25</v>
      </c>
      <c r="DI255" s="29" t="s">
        <v>25</v>
      </c>
      <c r="DJ255" s="47">
        <v>3147</v>
      </c>
      <c r="DK255" s="47">
        <v>5593</v>
      </c>
      <c r="DL255" s="47">
        <v>139</v>
      </c>
      <c r="DM255" s="47">
        <v>131829</v>
      </c>
      <c r="DN255" s="47">
        <v>642</v>
      </c>
      <c r="DO255" s="47">
        <v>0</v>
      </c>
      <c r="DP255" s="29" t="s">
        <v>2028</v>
      </c>
      <c r="DQ255" s="47">
        <v>0</v>
      </c>
      <c r="DR255" s="47">
        <v>3240</v>
      </c>
      <c r="DS255" s="30">
        <v>52</v>
      </c>
      <c r="DT255" s="30">
        <v>64</v>
      </c>
      <c r="DU255" s="30">
        <v>64</v>
      </c>
      <c r="DV255" s="30">
        <v>64</v>
      </c>
      <c r="DW255">
        <f>VLOOKUP(EC255,branch!$I$4:$K$77,3,0)</f>
        <v>6656</v>
      </c>
      <c r="DX255" s="2">
        <f t="shared" si="105"/>
        <v>9896</v>
      </c>
      <c r="DY255" s="33" t="s">
        <v>2182</v>
      </c>
      <c r="DZ255" s="33" t="s">
        <v>709</v>
      </c>
      <c r="EA255" s="33" t="s">
        <v>2030</v>
      </c>
      <c r="EB255" s="33" t="s">
        <v>2027</v>
      </c>
      <c r="EC255" s="36">
        <v>198</v>
      </c>
      <c r="ED255" s="29" t="s">
        <v>708</v>
      </c>
      <c r="EE255" s="29" t="s">
        <v>269</v>
      </c>
      <c r="EF255" s="37">
        <v>41548</v>
      </c>
      <c r="EG255" s="37">
        <v>41912</v>
      </c>
      <c r="EH255" s="29" t="s">
        <v>708</v>
      </c>
      <c r="EI255" s="55">
        <f t="shared" si="106"/>
        <v>3.1919589946337901</v>
      </c>
      <c r="EJ255" s="54">
        <f t="shared" si="107"/>
        <v>2.6866037182980324E-2</v>
      </c>
      <c r="EK255" s="55">
        <f t="shared" si="108"/>
        <v>2.1279712052761171</v>
      </c>
      <c r="EL255" s="54">
        <f t="shared" si="109"/>
        <v>0.27166492458004049</v>
      </c>
    </row>
    <row r="256" spans="1:142" ht="43.2" x14ac:dyDescent="0.3">
      <c r="A256" s="29" t="s">
        <v>710</v>
      </c>
      <c r="B256" s="29"/>
      <c r="C256" s="30">
        <v>8957</v>
      </c>
      <c r="D256" s="30">
        <v>0</v>
      </c>
      <c r="E256" s="30">
        <v>0</v>
      </c>
      <c r="F256" s="30">
        <v>7800</v>
      </c>
      <c r="H256" s="2">
        <f t="shared" si="112"/>
        <v>7800</v>
      </c>
      <c r="I256" s="1">
        <f t="shared" si="111"/>
        <v>0.8708272859216255</v>
      </c>
      <c r="J256" s="31">
        <v>40947</v>
      </c>
      <c r="K256" s="31">
        <v>3374</v>
      </c>
      <c r="L256" s="31">
        <v>44321</v>
      </c>
      <c r="M256" s="45">
        <f t="shared" si="86"/>
        <v>4.948196940940047</v>
      </c>
      <c r="N256" s="31">
        <v>8459</v>
      </c>
      <c r="O256" s="31">
        <v>0</v>
      </c>
      <c r="P256" s="31">
        <v>1372</v>
      </c>
      <c r="Q256" s="31">
        <v>9831</v>
      </c>
      <c r="R256" s="45">
        <f t="shared" si="87"/>
        <v>1.0975773138327565</v>
      </c>
      <c r="S256" s="31">
        <v>43203</v>
      </c>
      <c r="T256" s="31">
        <v>97355</v>
      </c>
      <c r="U256" s="31">
        <v>0</v>
      </c>
      <c r="V256" s="31">
        <v>97355</v>
      </c>
      <c r="W256" s="45">
        <f t="shared" si="88"/>
        <v>10.869152618064083</v>
      </c>
      <c r="X256" s="4">
        <f t="shared" si="89"/>
        <v>0.45525139951723076</v>
      </c>
      <c r="Y256" s="4">
        <f t="shared" si="90"/>
        <v>0.10098094602228956</v>
      </c>
      <c r="Z256" s="4">
        <f t="shared" si="91"/>
        <v>0.44376765446047967</v>
      </c>
      <c r="AA256" s="4">
        <f t="shared" si="92"/>
        <v>0</v>
      </c>
      <c r="AB256" s="31">
        <v>2100</v>
      </c>
      <c r="AC256" s="31">
        <v>9831</v>
      </c>
      <c r="AD256" s="31">
        <v>97355</v>
      </c>
      <c r="AE256" s="31">
        <v>49500</v>
      </c>
      <c r="AF256" s="31">
        <v>20000</v>
      </c>
      <c r="AG256" s="31">
        <v>25000</v>
      </c>
      <c r="AH256" s="31">
        <v>4500</v>
      </c>
      <c r="AI256" s="31">
        <v>49500</v>
      </c>
      <c r="AJ256" s="45">
        <f t="shared" si="93"/>
        <v>5.5264039298872394</v>
      </c>
      <c r="AK256" s="31">
        <v>0</v>
      </c>
      <c r="AL256" s="31">
        <v>0</v>
      </c>
      <c r="AM256" s="31">
        <v>0</v>
      </c>
      <c r="AN256" s="31">
        <v>0</v>
      </c>
      <c r="AO256" s="31">
        <v>18500</v>
      </c>
      <c r="AP256" s="31">
        <v>32909</v>
      </c>
      <c r="AQ256" s="31">
        <v>51409</v>
      </c>
      <c r="AR256" s="31">
        <v>100909</v>
      </c>
      <c r="AS256" s="46">
        <f t="shared" si="94"/>
        <v>11.265937255777605</v>
      </c>
      <c r="AT256" s="31">
        <v>0</v>
      </c>
      <c r="AU256" s="31">
        <v>0</v>
      </c>
      <c r="AV256" s="31">
        <v>0</v>
      </c>
      <c r="AW256" s="31">
        <v>0</v>
      </c>
      <c r="AX256" s="31">
        <v>0</v>
      </c>
      <c r="AY256" s="31">
        <v>0</v>
      </c>
      <c r="AZ256" s="31">
        <v>0</v>
      </c>
      <c r="BA256" s="31">
        <v>2100</v>
      </c>
      <c r="BB256" s="31">
        <v>2100</v>
      </c>
      <c r="BC256" s="33" t="s">
        <v>25</v>
      </c>
      <c r="BD256" s="47">
        <v>23878</v>
      </c>
      <c r="BE256" s="47">
        <v>24094</v>
      </c>
      <c r="BF256" s="45">
        <f t="shared" si="95"/>
        <v>2.6899631573071341</v>
      </c>
      <c r="BG256" s="30">
        <v>487</v>
      </c>
      <c r="BH256" s="30">
        <v>488</v>
      </c>
      <c r="BI256" s="30">
        <v>0</v>
      </c>
      <c r="BJ256" s="30">
        <v>2104</v>
      </c>
      <c r="BK256" s="30">
        <v>2115</v>
      </c>
      <c r="BL256" s="30">
        <v>0</v>
      </c>
      <c r="BM256" s="30">
        <v>0</v>
      </c>
      <c r="BN256" s="30">
        <v>0</v>
      </c>
      <c r="BO256" s="30">
        <v>51</v>
      </c>
      <c r="BP256" s="30">
        <v>0</v>
      </c>
      <c r="BQ256" s="30">
        <v>51</v>
      </c>
      <c r="BR256" s="47">
        <v>26469</v>
      </c>
      <c r="BS256" s="47">
        <v>26697</v>
      </c>
      <c r="BT256" s="1">
        <f t="shared" si="96"/>
        <v>2.9805738528525176</v>
      </c>
      <c r="BU256" s="30">
        <v>39</v>
      </c>
      <c r="BV256" s="30">
        <v>0</v>
      </c>
      <c r="BW256" s="47">
        <v>286</v>
      </c>
      <c r="BX256" s="52">
        <f t="shared" si="97"/>
        <v>3.1930333817126268E-2</v>
      </c>
      <c r="BY256" s="47">
        <v>3180</v>
      </c>
      <c r="BZ256" s="47">
        <v>0</v>
      </c>
      <c r="CA256" s="47">
        <v>14236</v>
      </c>
      <c r="CB256" s="47">
        <v>0</v>
      </c>
      <c r="CC256" s="47">
        <v>17416</v>
      </c>
      <c r="CD256" s="55">
        <f t="shared" si="98"/>
        <v>1.9444010271296193</v>
      </c>
      <c r="CE256" s="3">
        <f t="shared" si="99"/>
        <v>6966.4</v>
      </c>
      <c r="CF256" s="55">
        <f t="shared" si="100"/>
        <v>7.0310859911182879</v>
      </c>
      <c r="CG256" s="55">
        <f t="shared" si="101"/>
        <v>1.1563641192483898</v>
      </c>
      <c r="CH256" s="55">
        <f t="shared" si="102"/>
        <v>0.65235794284001947</v>
      </c>
      <c r="CI256" s="30">
        <v>21</v>
      </c>
      <c r="CJ256" s="30">
        <v>3</v>
      </c>
      <c r="CK256" s="30">
        <v>114</v>
      </c>
      <c r="CL256" s="30">
        <v>138</v>
      </c>
      <c r="CM256" s="30">
        <v>430</v>
      </c>
      <c r="CN256" s="30">
        <v>53</v>
      </c>
      <c r="CO256" s="30">
        <v>1205</v>
      </c>
      <c r="CP256" s="30">
        <v>1688</v>
      </c>
      <c r="CQ256" s="1">
        <f t="shared" si="110"/>
        <v>0.18845595623534667</v>
      </c>
      <c r="CR256" s="47">
        <v>15061</v>
      </c>
      <c r="CS256" s="55">
        <f t="shared" si="103"/>
        <v>1.6814781734955901</v>
      </c>
      <c r="CT256" s="59">
        <v>2969</v>
      </c>
      <c r="CU256" s="29" t="s">
        <v>25</v>
      </c>
      <c r="CV256" s="29" t="s">
        <v>25</v>
      </c>
      <c r="CW256" s="29" t="s">
        <v>25</v>
      </c>
      <c r="CX256" s="35">
        <v>0</v>
      </c>
      <c r="CY256" s="49">
        <v>0</v>
      </c>
      <c r="CZ256" s="35">
        <v>1</v>
      </c>
      <c r="DA256" s="35">
        <v>1.5</v>
      </c>
      <c r="DB256" s="35">
        <v>2.5</v>
      </c>
      <c r="DC256" s="49">
        <f t="shared" si="104"/>
        <v>3582.8</v>
      </c>
      <c r="DD256" s="30">
        <v>416</v>
      </c>
      <c r="DE256" s="31">
        <v>20600</v>
      </c>
      <c r="DF256" s="35">
        <v>40</v>
      </c>
      <c r="DG256" s="29" t="s">
        <v>25</v>
      </c>
      <c r="DH256" s="29" t="s">
        <v>26</v>
      </c>
      <c r="DI256" s="29" t="s">
        <v>26</v>
      </c>
      <c r="DJ256" s="47">
        <v>1</v>
      </c>
      <c r="DK256" s="47">
        <v>0</v>
      </c>
      <c r="DL256" s="47">
        <v>14</v>
      </c>
      <c r="DM256" s="47">
        <v>10502</v>
      </c>
      <c r="DN256" s="47">
        <v>780</v>
      </c>
      <c r="DO256" s="47">
        <v>2340</v>
      </c>
      <c r="DP256" s="29" t="s">
        <v>25</v>
      </c>
      <c r="DQ256" s="47">
        <v>3288</v>
      </c>
      <c r="DR256" s="47">
        <v>2477</v>
      </c>
      <c r="DS256" s="30">
        <v>52</v>
      </c>
      <c r="DT256" s="30">
        <v>48</v>
      </c>
      <c r="DU256" s="30">
        <v>48</v>
      </c>
      <c r="DV256" s="30">
        <v>48</v>
      </c>
      <c r="DX256" s="2">
        <f t="shared" si="105"/>
        <v>2477</v>
      </c>
      <c r="DY256" s="33" t="s">
        <v>2181</v>
      </c>
      <c r="DZ256" s="33" t="s">
        <v>713</v>
      </c>
      <c r="EA256" s="33" t="s">
        <v>2032</v>
      </c>
      <c r="EB256" s="33" t="s">
        <v>2027</v>
      </c>
      <c r="EC256" s="36">
        <v>200</v>
      </c>
      <c r="ED256" s="29" t="s">
        <v>711</v>
      </c>
      <c r="EE256" s="29" t="s">
        <v>712</v>
      </c>
      <c r="EF256" s="37">
        <v>41640</v>
      </c>
      <c r="EG256" s="37">
        <v>42004</v>
      </c>
      <c r="EH256" s="29" t="s">
        <v>711</v>
      </c>
      <c r="EI256" s="55">
        <f t="shared" si="106"/>
        <v>0.35502958579881655</v>
      </c>
      <c r="EJ256" s="54">
        <f t="shared" si="107"/>
        <v>0</v>
      </c>
      <c r="EK256" s="55">
        <f t="shared" si="108"/>
        <v>1.5893714413308027</v>
      </c>
      <c r="EL256" s="54">
        <f t="shared" si="109"/>
        <v>0</v>
      </c>
    </row>
    <row r="257" spans="1:142" ht="28.8" x14ac:dyDescent="0.3">
      <c r="A257" s="29" t="s">
        <v>714</v>
      </c>
      <c r="B257" s="29"/>
      <c r="C257" s="30">
        <v>14713</v>
      </c>
      <c r="D257" s="30">
        <v>0</v>
      </c>
      <c r="E257" s="30">
        <v>0</v>
      </c>
      <c r="F257" s="30">
        <v>15053</v>
      </c>
      <c r="H257" s="2">
        <f t="shared" si="112"/>
        <v>15053</v>
      </c>
      <c r="I257" s="1">
        <f t="shared" si="111"/>
        <v>1.0231088153333787</v>
      </c>
      <c r="J257" s="31">
        <v>169749</v>
      </c>
      <c r="K257" s="31">
        <v>61057</v>
      </c>
      <c r="L257" s="31">
        <v>230806</v>
      </c>
      <c r="M257" s="45">
        <f t="shared" si="86"/>
        <v>15.687215387752328</v>
      </c>
      <c r="N257" s="31">
        <v>34852</v>
      </c>
      <c r="O257" s="31">
        <v>5200</v>
      </c>
      <c r="P257" s="31">
        <v>6831</v>
      </c>
      <c r="Q257" s="31">
        <v>46883</v>
      </c>
      <c r="R257" s="45">
        <f t="shared" si="87"/>
        <v>3.1865017331611498</v>
      </c>
      <c r="S257" s="31">
        <v>62006</v>
      </c>
      <c r="T257" s="31">
        <v>339695</v>
      </c>
      <c r="U257" s="31">
        <v>0</v>
      </c>
      <c r="V257" s="31">
        <v>339695</v>
      </c>
      <c r="W257" s="45">
        <f t="shared" si="88"/>
        <v>23.088085366682527</v>
      </c>
      <c r="X257" s="4">
        <f t="shared" si="89"/>
        <v>0.67945068370155581</v>
      </c>
      <c r="Y257" s="4">
        <f t="shared" si="90"/>
        <v>0.13801498402979143</v>
      </c>
      <c r="Z257" s="4">
        <f t="shared" si="91"/>
        <v>0.18253433226865276</v>
      </c>
      <c r="AA257" s="4">
        <f t="shared" si="92"/>
        <v>0</v>
      </c>
      <c r="AB257" s="31">
        <v>0</v>
      </c>
      <c r="AC257" s="31">
        <v>46883</v>
      </c>
      <c r="AD257" s="31">
        <v>339695</v>
      </c>
      <c r="AE257" s="31">
        <v>332853</v>
      </c>
      <c r="AF257" s="31">
        <v>332853</v>
      </c>
      <c r="AG257" s="31">
        <v>0</v>
      </c>
      <c r="AH257" s="31">
        <v>0</v>
      </c>
      <c r="AI257" s="31">
        <v>332853</v>
      </c>
      <c r="AJ257" s="45">
        <f t="shared" si="93"/>
        <v>22.62305444165024</v>
      </c>
      <c r="AK257" s="31">
        <v>0</v>
      </c>
      <c r="AL257" s="31">
        <v>0</v>
      </c>
      <c r="AM257" s="31">
        <v>0</v>
      </c>
      <c r="AN257" s="31">
        <v>0</v>
      </c>
      <c r="AO257" s="31">
        <v>0</v>
      </c>
      <c r="AP257" s="31">
        <v>6842</v>
      </c>
      <c r="AQ257" s="31">
        <v>6842</v>
      </c>
      <c r="AR257" s="31">
        <v>339695</v>
      </c>
      <c r="AS257" s="46">
        <f t="shared" si="94"/>
        <v>23.088085366682527</v>
      </c>
      <c r="AT257" s="31">
        <v>0</v>
      </c>
      <c r="AU257" s="31">
        <v>0</v>
      </c>
      <c r="AV257" s="31">
        <v>0</v>
      </c>
      <c r="AW257" s="31">
        <v>0</v>
      </c>
      <c r="AX257" s="31">
        <v>0</v>
      </c>
      <c r="AY257" s="31">
        <v>0</v>
      </c>
      <c r="AZ257" s="31">
        <v>0</v>
      </c>
      <c r="BA257" s="31">
        <v>0</v>
      </c>
      <c r="BB257" s="31">
        <v>0</v>
      </c>
      <c r="BC257" s="33" t="s">
        <v>25</v>
      </c>
      <c r="BD257" s="47">
        <v>65000</v>
      </c>
      <c r="BE257" s="47">
        <v>65149</v>
      </c>
      <c r="BF257" s="45">
        <f t="shared" si="95"/>
        <v>4.4279888533949565</v>
      </c>
      <c r="BG257" s="30">
        <v>1775</v>
      </c>
      <c r="BH257" s="30">
        <v>1775</v>
      </c>
      <c r="BI257" s="30">
        <v>1478</v>
      </c>
      <c r="BJ257" s="30">
        <v>1719</v>
      </c>
      <c r="BK257" s="30">
        <v>1729</v>
      </c>
      <c r="BL257" s="30">
        <v>24</v>
      </c>
      <c r="BM257" s="30">
        <v>11153</v>
      </c>
      <c r="BN257" s="30">
        <v>4</v>
      </c>
      <c r="BO257" s="30">
        <v>51</v>
      </c>
      <c r="BP257" s="30">
        <v>0</v>
      </c>
      <c r="BQ257" s="30">
        <v>55</v>
      </c>
      <c r="BR257" s="47">
        <v>68494</v>
      </c>
      <c r="BS257" s="47">
        <v>81312</v>
      </c>
      <c r="BT257" s="1">
        <f t="shared" si="96"/>
        <v>5.5265411540814249</v>
      </c>
      <c r="BU257" s="30">
        <v>113</v>
      </c>
      <c r="BV257" s="30">
        <v>0</v>
      </c>
      <c r="BW257" s="47">
        <v>13298</v>
      </c>
      <c r="BX257" s="52">
        <f t="shared" si="97"/>
        <v>0.90382654795079187</v>
      </c>
      <c r="BY257" s="47">
        <v>29141</v>
      </c>
      <c r="BZ257" s="47">
        <v>206</v>
      </c>
      <c r="CA257" s="47">
        <v>55111</v>
      </c>
      <c r="CB257" s="47">
        <v>421</v>
      </c>
      <c r="CC257" s="47">
        <v>84879</v>
      </c>
      <c r="CD257" s="55">
        <f t="shared" si="98"/>
        <v>5.7689798137701356</v>
      </c>
      <c r="CE257" s="3">
        <f t="shared" si="99"/>
        <v>12212.805755395682</v>
      </c>
      <c r="CF257" s="55">
        <f t="shared" si="100"/>
        <v>38.722171532846716</v>
      </c>
      <c r="CG257" s="55">
        <f t="shared" si="101"/>
        <v>1.1932100934842202</v>
      </c>
      <c r="CH257" s="55">
        <f t="shared" si="102"/>
        <v>1.0361570247933884</v>
      </c>
      <c r="CI257" s="30">
        <v>228</v>
      </c>
      <c r="CJ257" s="30">
        <v>0</v>
      </c>
      <c r="CK257" s="30">
        <v>10</v>
      </c>
      <c r="CL257" s="30">
        <v>238</v>
      </c>
      <c r="CM257" s="30">
        <v>6108</v>
      </c>
      <c r="CN257" s="30">
        <v>0</v>
      </c>
      <c r="CO257" s="30">
        <v>68</v>
      </c>
      <c r="CP257" s="30">
        <v>6176</v>
      </c>
      <c r="CQ257" s="1">
        <f t="shared" si="110"/>
        <v>0.41976483382043089</v>
      </c>
      <c r="CR257" s="47">
        <v>71135</v>
      </c>
      <c r="CS257" s="55">
        <f t="shared" si="103"/>
        <v>4.8348399374702646</v>
      </c>
      <c r="CT257" s="59">
        <v>5324</v>
      </c>
      <c r="CU257" s="29" t="s">
        <v>25</v>
      </c>
      <c r="CV257" s="29" t="s">
        <v>25</v>
      </c>
      <c r="CW257" s="29" t="s">
        <v>25</v>
      </c>
      <c r="CX257" s="35">
        <v>0</v>
      </c>
      <c r="CY257" s="49">
        <v>0</v>
      </c>
      <c r="CZ257" s="35">
        <v>2</v>
      </c>
      <c r="DA257" s="35">
        <v>4.95</v>
      </c>
      <c r="DB257" s="35">
        <v>6.95</v>
      </c>
      <c r="DC257" s="49">
        <f t="shared" si="104"/>
        <v>2116.9784172661871</v>
      </c>
      <c r="DD257" s="30">
        <v>385</v>
      </c>
      <c r="DE257" s="31">
        <v>54325</v>
      </c>
      <c r="DF257" s="35">
        <v>40</v>
      </c>
      <c r="DG257" s="29" t="s">
        <v>25</v>
      </c>
      <c r="DH257" s="29" t="s">
        <v>25</v>
      </c>
      <c r="DI257" s="29" t="s">
        <v>25</v>
      </c>
      <c r="DJ257" s="47">
        <v>774</v>
      </c>
      <c r="DK257" s="47">
        <v>369</v>
      </c>
      <c r="DL257" s="47">
        <v>18</v>
      </c>
      <c r="DM257" s="47">
        <v>17586</v>
      </c>
      <c r="DN257" s="47">
        <v>30</v>
      </c>
      <c r="DO257" s="47">
        <v>2742</v>
      </c>
      <c r="DP257" s="29" t="s">
        <v>25</v>
      </c>
      <c r="DQ257" s="47">
        <v>24248</v>
      </c>
      <c r="DR257" s="47">
        <v>2192</v>
      </c>
      <c r="DS257" s="30">
        <v>52</v>
      </c>
      <c r="DT257" s="30">
        <v>44</v>
      </c>
      <c r="DU257" s="30">
        <v>44</v>
      </c>
      <c r="DV257" s="30">
        <v>44</v>
      </c>
      <c r="DX257" s="2">
        <f t="shared" si="105"/>
        <v>2192</v>
      </c>
      <c r="DY257" s="33" t="s">
        <v>2182</v>
      </c>
      <c r="DZ257" s="33" t="s">
        <v>716</v>
      </c>
      <c r="EA257" s="33" t="s">
        <v>2030</v>
      </c>
      <c r="EB257" s="33" t="s">
        <v>2027</v>
      </c>
      <c r="EC257" s="36">
        <v>201</v>
      </c>
      <c r="ED257" s="29" t="s">
        <v>715</v>
      </c>
      <c r="EE257" s="29" t="s">
        <v>58</v>
      </c>
      <c r="EF257" s="37">
        <v>41548</v>
      </c>
      <c r="EG257" s="37">
        <v>41912</v>
      </c>
      <c r="EH257" s="29" t="s">
        <v>715</v>
      </c>
      <c r="EI257" s="55">
        <f t="shared" si="106"/>
        <v>1.980629375382315</v>
      </c>
      <c r="EJ257" s="54">
        <f t="shared" si="107"/>
        <v>1.400122340787059E-2</v>
      </c>
      <c r="EK257" s="55">
        <f t="shared" si="108"/>
        <v>3.7457350642289131</v>
      </c>
      <c r="EL257" s="54">
        <f t="shared" si="109"/>
        <v>2.8614150751036498E-2</v>
      </c>
    </row>
    <row r="258" spans="1:142" ht="28.8" x14ac:dyDescent="0.3">
      <c r="A258" s="29" t="s">
        <v>717</v>
      </c>
      <c r="B258" s="29"/>
      <c r="C258" s="30">
        <v>7656</v>
      </c>
      <c r="D258" s="30">
        <v>0</v>
      </c>
      <c r="E258" s="30">
        <v>0</v>
      </c>
      <c r="F258" s="30">
        <v>4800</v>
      </c>
      <c r="H258" s="2">
        <f t="shared" si="112"/>
        <v>4800</v>
      </c>
      <c r="I258" s="1">
        <f t="shared" si="111"/>
        <v>0.62695924764890287</v>
      </c>
      <c r="J258" s="31">
        <v>185552</v>
      </c>
      <c r="K258" s="31">
        <v>55827</v>
      </c>
      <c r="L258" s="31">
        <v>241379</v>
      </c>
      <c r="M258" s="45">
        <f t="shared" si="86"/>
        <v>31.528082549634274</v>
      </c>
      <c r="N258" s="31">
        <v>36492</v>
      </c>
      <c r="O258" s="31">
        <v>8440</v>
      </c>
      <c r="P258" s="31">
        <v>7419</v>
      </c>
      <c r="Q258" s="31">
        <v>52351</v>
      </c>
      <c r="R258" s="45">
        <f t="shared" si="87"/>
        <v>6.8379049111807735</v>
      </c>
      <c r="S258" s="31">
        <v>35152</v>
      </c>
      <c r="T258" s="31">
        <v>328882</v>
      </c>
      <c r="U258" s="31">
        <v>0</v>
      </c>
      <c r="V258" s="31">
        <v>328882</v>
      </c>
      <c r="W258" s="45">
        <f t="shared" si="88"/>
        <v>42.957419017763847</v>
      </c>
      <c r="X258" s="4">
        <f t="shared" si="89"/>
        <v>0.73393800816098176</v>
      </c>
      <c r="Y258" s="4">
        <f t="shared" si="90"/>
        <v>0.15917867198569699</v>
      </c>
      <c r="Z258" s="4">
        <f t="shared" si="91"/>
        <v>0.10688331985332125</v>
      </c>
      <c r="AA258" s="4">
        <f t="shared" si="92"/>
        <v>0</v>
      </c>
      <c r="AB258" s="31">
        <v>0</v>
      </c>
      <c r="AC258" s="31">
        <v>52350</v>
      </c>
      <c r="AD258" s="31">
        <v>328881</v>
      </c>
      <c r="AE258" s="31">
        <v>317670</v>
      </c>
      <c r="AF258" s="31">
        <v>317670</v>
      </c>
      <c r="AG258" s="31">
        <v>0</v>
      </c>
      <c r="AH258" s="31">
        <v>0</v>
      </c>
      <c r="AI258" s="31">
        <v>317670</v>
      </c>
      <c r="AJ258" s="45">
        <f t="shared" si="93"/>
        <v>41.492946708463947</v>
      </c>
      <c r="AK258" s="31">
        <v>0</v>
      </c>
      <c r="AL258" s="31">
        <v>0</v>
      </c>
      <c r="AM258" s="31">
        <v>0</v>
      </c>
      <c r="AN258" s="31">
        <v>0</v>
      </c>
      <c r="AO258" s="31">
        <v>0</v>
      </c>
      <c r="AP258" s="31">
        <v>11408</v>
      </c>
      <c r="AQ258" s="31">
        <v>11408</v>
      </c>
      <c r="AR258" s="31">
        <v>329078</v>
      </c>
      <c r="AS258" s="46">
        <f t="shared" si="94"/>
        <v>42.983019853709507</v>
      </c>
      <c r="AT258" s="31">
        <v>0</v>
      </c>
      <c r="AU258" s="31">
        <v>0</v>
      </c>
      <c r="AV258" s="31">
        <v>0</v>
      </c>
      <c r="AW258" s="31">
        <v>0</v>
      </c>
      <c r="AX258" s="31">
        <v>0</v>
      </c>
      <c r="AY258" s="31">
        <v>0</v>
      </c>
      <c r="AZ258" s="31">
        <v>0</v>
      </c>
      <c r="BA258" s="31">
        <v>0</v>
      </c>
      <c r="BB258" s="31">
        <v>0</v>
      </c>
      <c r="BC258" s="33" t="s">
        <v>25</v>
      </c>
      <c r="BD258" s="47">
        <v>35669</v>
      </c>
      <c r="BE258" s="47">
        <v>37002</v>
      </c>
      <c r="BF258" s="45">
        <f t="shared" si="95"/>
        <v>4.8330721003134798</v>
      </c>
      <c r="BG258" s="30">
        <v>1790</v>
      </c>
      <c r="BH258" s="30">
        <v>1807</v>
      </c>
      <c r="BI258" s="30">
        <v>0</v>
      </c>
      <c r="BJ258" s="30">
        <v>1907</v>
      </c>
      <c r="BK258" s="30">
        <v>1997</v>
      </c>
      <c r="BL258" s="30">
        <v>0</v>
      </c>
      <c r="BM258" s="30">
        <v>1938</v>
      </c>
      <c r="BN258" s="30">
        <v>0</v>
      </c>
      <c r="BO258" s="30">
        <v>51</v>
      </c>
      <c r="BP258" s="30">
        <v>0</v>
      </c>
      <c r="BQ258" s="30">
        <v>51</v>
      </c>
      <c r="BR258" s="47">
        <v>39366</v>
      </c>
      <c r="BS258" s="47">
        <v>42744</v>
      </c>
      <c r="BT258" s="1">
        <f t="shared" si="96"/>
        <v>5.5830721003134798</v>
      </c>
      <c r="BU258" s="30">
        <v>39</v>
      </c>
      <c r="BV258" s="30">
        <v>0</v>
      </c>
      <c r="BW258" s="47">
        <v>5922</v>
      </c>
      <c r="BX258" s="52">
        <f t="shared" si="97"/>
        <v>0.77351097178683381</v>
      </c>
      <c r="BY258" s="47">
        <v>13496</v>
      </c>
      <c r="BZ258" s="47">
        <v>0</v>
      </c>
      <c r="CA258" s="47">
        <v>32581</v>
      </c>
      <c r="CB258" s="47">
        <v>2834</v>
      </c>
      <c r="CC258" s="47">
        <v>48911</v>
      </c>
      <c r="CD258" s="55">
        <f t="shared" si="98"/>
        <v>6.3885841170323925</v>
      </c>
      <c r="CE258" s="3">
        <f t="shared" si="99"/>
        <v>9782.2000000000007</v>
      </c>
      <c r="CF258" s="55">
        <f t="shared" si="100"/>
        <v>21.632463511720477</v>
      </c>
      <c r="CG258" s="55">
        <f t="shared" si="101"/>
        <v>0.78789587293405072</v>
      </c>
      <c r="CH258" s="55">
        <f t="shared" si="102"/>
        <v>1.0779758562605277</v>
      </c>
      <c r="CI258" s="30">
        <v>88</v>
      </c>
      <c r="CJ258" s="30">
        <v>0</v>
      </c>
      <c r="CK258" s="30">
        <v>34</v>
      </c>
      <c r="CL258" s="30">
        <v>122</v>
      </c>
      <c r="CM258" s="30">
        <v>4278</v>
      </c>
      <c r="CN258" s="30">
        <v>0</v>
      </c>
      <c r="CO258" s="30">
        <v>41</v>
      </c>
      <c r="CP258" s="30">
        <v>4319</v>
      </c>
      <c r="CQ258" s="1">
        <f t="shared" si="110"/>
        <v>0.56413270637408564</v>
      </c>
      <c r="CR258" s="47">
        <v>62078</v>
      </c>
      <c r="CS258" s="55">
        <f t="shared" si="103"/>
        <v>8.1084117032392893</v>
      </c>
      <c r="CT258" s="59">
        <v>8916</v>
      </c>
      <c r="CU258" s="29" t="s">
        <v>25</v>
      </c>
      <c r="CV258" s="29" t="s">
        <v>25</v>
      </c>
      <c r="CW258" s="29" t="s">
        <v>25</v>
      </c>
      <c r="CX258" s="35">
        <v>1</v>
      </c>
      <c r="CY258" s="49">
        <f>C258/CX258</f>
        <v>7656</v>
      </c>
      <c r="CZ258" s="35">
        <v>4</v>
      </c>
      <c r="DA258" s="35">
        <v>0</v>
      </c>
      <c r="DB258" s="35">
        <v>5</v>
      </c>
      <c r="DC258" s="49">
        <f t="shared" si="104"/>
        <v>1531.2</v>
      </c>
      <c r="DD258" s="30">
        <v>732</v>
      </c>
      <c r="DE258" s="31">
        <v>62323</v>
      </c>
      <c r="DF258" s="35">
        <v>40</v>
      </c>
      <c r="DG258" s="29" t="s">
        <v>25</v>
      </c>
      <c r="DH258" s="29" t="s">
        <v>25</v>
      </c>
      <c r="DI258" s="29" t="s">
        <v>25</v>
      </c>
      <c r="DJ258" s="47">
        <v>283</v>
      </c>
      <c r="DK258" s="47">
        <v>273</v>
      </c>
      <c r="DL258" s="47">
        <v>24</v>
      </c>
      <c r="DM258" s="47">
        <v>11182</v>
      </c>
      <c r="DN258" s="47">
        <v>2184</v>
      </c>
      <c r="DO258" s="47">
        <v>2184</v>
      </c>
      <c r="DP258" s="29" t="s">
        <v>2028</v>
      </c>
      <c r="DQ258" s="47">
        <v>0</v>
      </c>
      <c r="DR258" s="47">
        <v>2261</v>
      </c>
      <c r="DS258" s="30">
        <v>52</v>
      </c>
      <c r="DT258" s="30">
        <v>47</v>
      </c>
      <c r="DU258" s="30">
        <v>47</v>
      </c>
      <c r="DV258" s="30">
        <v>47</v>
      </c>
      <c r="DX258" s="2">
        <f t="shared" si="105"/>
        <v>2261</v>
      </c>
      <c r="DY258" s="33" t="s">
        <v>2185</v>
      </c>
      <c r="DZ258" s="33" t="s">
        <v>719</v>
      </c>
      <c r="EA258" s="33" t="s">
        <v>2030</v>
      </c>
      <c r="EB258" s="33" t="s">
        <v>2027</v>
      </c>
      <c r="EC258" s="36">
        <v>202</v>
      </c>
      <c r="ED258" s="29" t="s">
        <v>718</v>
      </c>
      <c r="EE258" s="29" t="s">
        <v>717</v>
      </c>
      <c r="EF258" s="37">
        <v>41548</v>
      </c>
      <c r="EG258" s="37">
        <v>41912</v>
      </c>
      <c r="EH258" s="29" t="s">
        <v>718</v>
      </c>
      <c r="EI258" s="55">
        <f t="shared" si="106"/>
        <v>1.7628004179728318</v>
      </c>
      <c r="EJ258" s="54">
        <f t="shared" si="107"/>
        <v>0</v>
      </c>
      <c r="EK258" s="55">
        <f t="shared" si="108"/>
        <v>4.2556165099268544</v>
      </c>
      <c r="EL258" s="54">
        <f t="shared" si="109"/>
        <v>0.37016718913270635</v>
      </c>
    </row>
    <row r="259" spans="1:142" ht="28.8" x14ac:dyDescent="0.3">
      <c r="A259" s="29" t="s">
        <v>720</v>
      </c>
      <c r="B259" s="29"/>
      <c r="C259" s="30">
        <v>807</v>
      </c>
      <c r="D259" s="30">
        <v>0</v>
      </c>
      <c r="E259" s="30">
        <v>0</v>
      </c>
      <c r="F259" s="30">
        <v>1600</v>
      </c>
      <c r="H259" s="2">
        <f t="shared" si="112"/>
        <v>1600</v>
      </c>
      <c r="I259" s="1">
        <f t="shared" si="111"/>
        <v>1.9826517967781909</v>
      </c>
      <c r="J259" s="31">
        <v>56181</v>
      </c>
      <c r="K259" s="31">
        <v>23095</v>
      </c>
      <c r="L259" s="31">
        <v>79276</v>
      </c>
      <c r="M259" s="45">
        <f t="shared" si="86"/>
        <v>98.235439900867405</v>
      </c>
      <c r="N259" s="31">
        <v>6365</v>
      </c>
      <c r="O259" s="31">
        <v>0</v>
      </c>
      <c r="P259" s="31">
        <v>0</v>
      </c>
      <c r="Q259" s="31">
        <v>6365</v>
      </c>
      <c r="R259" s="45">
        <f t="shared" si="87"/>
        <v>7.8872366790582404</v>
      </c>
      <c r="S259" s="31">
        <v>4679</v>
      </c>
      <c r="T259" s="31">
        <v>90320</v>
      </c>
      <c r="U259" s="31">
        <v>0</v>
      </c>
      <c r="V259" s="31">
        <v>90320</v>
      </c>
      <c r="W259" s="45">
        <f t="shared" si="88"/>
        <v>111.92069392812887</v>
      </c>
      <c r="X259" s="4">
        <f t="shared" si="89"/>
        <v>0.87772364924712132</v>
      </c>
      <c r="Y259" s="4">
        <f t="shared" si="90"/>
        <v>7.0471656333038091E-2</v>
      </c>
      <c r="Z259" s="4">
        <f t="shared" si="91"/>
        <v>5.1804694419840563E-2</v>
      </c>
      <c r="AA259" s="4">
        <f t="shared" si="92"/>
        <v>0</v>
      </c>
      <c r="AB259" s="31">
        <v>0</v>
      </c>
      <c r="AC259" s="31">
        <v>6365</v>
      </c>
      <c r="AD259" s="31">
        <v>90320</v>
      </c>
      <c r="AE259" s="31">
        <v>90320</v>
      </c>
      <c r="AF259" s="31">
        <v>0</v>
      </c>
      <c r="AG259" s="31">
        <v>90320</v>
      </c>
      <c r="AH259" s="31">
        <v>0</v>
      </c>
      <c r="AI259" s="31">
        <v>90320</v>
      </c>
      <c r="AJ259" s="45">
        <f t="shared" si="93"/>
        <v>111.92069392812887</v>
      </c>
      <c r="AK259" s="31">
        <v>0</v>
      </c>
      <c r="AL259" s="31">
        <v>0</v>
      </c>
      <c r="AM259" s="31">
        <v>0</v>
      </c>
      <c r="AN259" s="31">
        <v>0</v>
      </c>
      <c r="AO259" s="31">
        <v>0</v>
      </c>
      <c r="AP259" s="31">
        <v>0</v>
      </c>
      <c r="AQ259" s="31">
        <v>0</v>
      </c>
      <c r="AR259" s="31">
        <v>90320</v>
      </c>
      <c r="AS259" s="46">
        <f t="shared" si="94"/>
        <v>111.92069392812887</v>
      </c>
      <c r="AT259" s="31">
        <v>0</v>
      </c>
      <c r="AU259" s="31">
        <v>0</v>
      </c>
      <c r="AV259" s="31">
        <v>0</v>
      </c>
      <c r="AW259" s="31">
        <v>0</v>
      </c>
      <c r="AX259" s="31">
        <v>0</v>
      </c>
      <c r="AY259" s="31">
        <v>0</v>
      </c>
      <c r="AZ259" s="31">
        <v>0</v>
      </c>
      <c r="BA259" s="31">
        <v>0</v>
      </c>
      <c r="BB259" s="31">
        <v>0</v>
      </c>
      <c r="BC259" s="33" t="s">
        <v>25</v>
      </c>
      <c r="BD259" s="47">
        <v>21196</v>
      </c>
      <c r="BE259" s="47">
        <v>21693</v>
      </c>
      <c r="BF259" s="45">
        <f t="shared" si="95"/>
        <v>26.881040892193308</v>
      </c>
      <c r="BG259" s="30">
        <v>215</v>
      </c>
      <c r="BH259" s="30">
        <v>220</v>
      </c>
      <c r="BI259" s="30">
        <v>0</v>
      </c>
      <c r="BJ259" s="30">
        <v>13</v>
      </c>
      <c r="BK259" s="30">
        <v>13</v>
      </c>
      <c r="BL259" s="30">
        <v>0</v>
      </c>
      <c r="BM259" s="30">
        <v>0</v>
      </c>
      <c r="BN259" s="30">
        <v>0</v>
      </c>
      <c r="BO259" s="30">
        <v>51</v>
      </c>
      <c r="BP259" s="30">
        <v>0</v>
      </c>
      <c r="BQ259" s="30">
        <v>51</v>
      </c>
      <c r="BR259" s="47">
        <v>21424</v>
      </c>
      <c r="BS259" s="47">
        <v>21926</v>
      </c>
      <c r="BT259" s="1">
        <f t="shared" si="96"/>
        <v>27.169764560099132</v>
      </c>
      <c r="BU259" s="30">
        <v>5</v>
      </c>
      <c r="BV259" s="30">
        <v>0</v>
      </c>
      <c r="BW259" s="47">
        <v>85</v>
      </c>
      <c r="BX259" s="52">
        <f t="shared" si="97"/>
        <v>0.10532837670384139</v>
      </c>
      <c r="BY259" s="47">
        <v>2705</v>
      </c>
      <c r="BZ259" s="47">
        <v>0</v>
      </c>
      <c r="CA259" s="47">
        <v>3046</v>
      </c>
      <c r="CB259" s="47">
        <v>0</v>
      </c>
      <c r="CC259" s="47">
        <v>5751</v>
      </c>
      <c r="CD259" s="55">
        <f t="shared" si="98"/>
        <v>7.1263940520446099</v>
      </c>
      <c r="CE259" s="3">
        <f t="shared" si="99"/>
        <v>5751</v>
      </c>
      <c r="CF259" s="55">
        <f t="shared" si="100"/>
        <v>2.9016145307769929</v>
      </c>
      <c r="CG259" s="55">
        <f t="shared" si="101"/>
        <v>2.8755000000000002</v>
      </c>
      <c r="CH259" s="55">
        <f t="shared" si="102"/>
        <v>0.26229134361032563</v>
      </c>
      <c r="CI259" s="30">
        <v>30</v>
      </c>
      <c r="CJ259" s="30">
        <v>0</v>
      </c>
      <c r="CK259" s="30">
        <v>0</v>
      </c>
      <c r="CL259" s="30">
        <v>30</v>
      </c>
      <c r="CM259" s="30">
        <v>300</v>
      </c>
      <c r="CN259" s="30">
        <v>0</v>
      </c>
      <c r="CO259" s="30">
        <v>0</v>
      </c>
      <c r="CP259" s="30">
        <v>300</v>
      </c>
      <c r="CQ259" s="1">
        <f t="shared" si="110"/>
        <v>0.37174721189591076</v>
      </c>
      <c r="CR259" s="47">
        <v>2000</v>
      </c>
      <c r="CS259" s="55">
        <f t="shared" si="103"/>
        <v>2.4783147459727384</v>
      </c>
      <c r="CT259" s="59">
        <v>557</v>
      </c>
      <c r="CU259" s="29" t="s">
        <v>25</v>
      </c>
      <c r="CV259" s="29" t="s">
        <v>25</v>
      </c>
      <c r="CW259" s="29" t="s">
        <v>25</v>
      </c>
      <c r="CX259" s="35">
        <v>0</v>
      </c>
      <c r="CY259" s="49">
        <v>0</v>
      </c>
      <c r="CZ259" s="35">
        <v>1</v>
      </c>
      <c r="DA259" s="35">
        <v>0</v>
      </c>
      <c r="DB259" s="35">
        <v>1</v>
      </c>
      <c r="DC259" s="49">
        <f t="shared" si="104"/>
        <v>807</v>
      </c>
      <c r="DD259" s="30">
        <v>0</v>
      </c>
      <c r="DE259" s="31">
        <v>44387</v>
      </c>
      <c r="DF259" s="35">
        <v>40</v>
      </c>
      <c r="DG259" s="29" t="s">
        <v>25</v>
      </c>
      <c r="DH259" s="29" t="s">
        <v>25</v>
      </c>
      <c r="DI259" s="29" t="s">
        <v>25</v>
      </c>
      <c r="DJ259" s="47">
        <v>15</v>
      </c>
      <c r="DK259" s="47">
        <v>10</v>
      </c>
      <c r="DL259" s="47">
        <v>3</v>
      </c>
      <c r="DM259" s="47">
        <v>1000</v>
      </c>
      <c r="DN259" s="47">
        <v>5</v>
      </c>
      <c r="DO259" s="47">
        <v>30</v>
      </c>
      <c r="DP259" s="29" t="s">
        <v>2028</v>
      </c>
      <c r="DQ259" s="47">
        <v>0</v>
      </c>
      <c r="DR259" s="47">
        <v>1982</v>
      </c>
      <c r="DS259" s="30">
        <v>52</v>
      </c>
      <c r="DT259" s="30">
        <v>40</v>
      </c>
      <c r="DU259" s="30">
        <v>40</v>
      </c>
      <c r="DV259" s="30">
        <v>40</v>
      </c>
      <c r="DX259" s="2">
        <f t="shared" si="105"/>
        <v>1982</v>
      </c>
      <c r="DY259" s="33" t="s">
        <v>2179</v>
      </c>
      <c r="DZ259" s="33" t="s">
        <v>722</v>
      </c>
      <c r="EA259" s="33" t="s">
        <v>2031</v>
      </c>
      <c r="EB259" s="33" t="s">
        <v>2027</v>
      </c>
      <c r="EC259" s="36">
        <v>203</v>
      </c>
      <c r="ED259" s="29" t="s">
        <v>721</v>
      </c>
      <c r="EE259" s="29" t="s">
        <v>3</v>
      </c>
      <c r="EF259" s="37">
        <v>41548</v>
      </c>
      <c r="EG259" s="37">
        <v>41912</v>
      </c>
      <c r="EH259" s="29" t="s">
        <v>721</v>
      </c>
      <c r="EI259" s="55">
        <f t="shared" si="106"/>
        <v>3.351920693928129</v>
      </c>
      <c r="EJ259" s="54">
        <f t="shared" si="107"/>
        <v>0</v>
      </c>
      <c r="EK259" s="55">
        <f t="shared" si="108"/>
        <v>3.7744733581164809</v>
      </c>
      <c r="EL259" s="54">
        <f t="shared" si="109"/>
        <v>0</v>
      </c>
    </row>
    <row r="260" spans="1:142" ht="28.8" x14ac:dyDescent="0.3">
      <c r="A260" s="29" t="s">
        <v>144</v>
      </c>
      <c r="B260" s="29"/>
      <c r="C260" s="30">
        <v>10235</v>
      </c>
      <c r="D260" s="30">
        <v>0</v>
      </c>
      <c r="E260" s="30">
        <v>0</v>
      </c>
      <c r="F260" s="30">
        <v>2500</v>
      </c>
      <c r="H260" s="2">
        <f t="shared" si="112"/>
        <v>2500</v>
      </c>
      <c r="I260" s="1">
        <f t="shared" si="111"/>
        <v>0.24425989252564728</v>
      </c>
      <c r="J260" s="31">
        <v>47348</v>
      </c>
      <c r="K260" s="31">
        <v>3622</v>
      </c>
      <c r="L260" s="31">
        <v>50970</v>
      </c>
      <c r="M260" s="45">
        <f t="shared" ref="M260:M323" si="113">L260/C260</f>
        <v>4.9799706888128972</v>
      </c>
      <c r="N260" s="31">
        <v>7024</v>
      </c>
      <c r="O260" s="31">
        <v>0</v>
      </c>
      <c r="P260" s="31">
        <v>0</v>
      </c>
      <c r="Q260" s="31">
        <v>7024</v>
      </c>
      <c r="R260" s="45">
        <f t="shared" ref="R260:R323" si="114">Q260/C260</f>
        <v>0.68627259404005858</v>
      </c>
      <c r="S260" s="31">
        <v>43273</v>
      </c>
      <c r="T260" s="31">
        <v>101267</v>
      </c>
      <c r="U260" s="31">
        <v>0</v>
      </c>
      <c r="V260" s="31">
        <v>101267</v>
      </c>
      <c r="W260" s="45">
        <f t="shared" ref="W260:W323" si="115">V260/C260</f>
        <v>9.8941866145578903</v>
      </c>
      <c r="X260" s="4">
        <f t="shared" ref="X260:X323" si="116">L260/V260</f>
        <v>0.50332289887130066</v>
      </c>
      <c r="Y260" s="4">
        <f t="shared" ref="Y260:Y323" si="117">Q260/V260</f>
        <v>6.936119367612352E-2</v>
      </c>
      <c r="Z260" s="4">
        <f t="shared" ref="Z260:Z323" si="118">S260/V260</f>
        <v>0.42731590745257586</v>
      </c>
      <c r="AA260" s="4">
        <f t="shared" ref="AA260:AA323" si="119">U260/V260</f>
        <v>0</v>
      </c>
      <c r="AB260" s="31">
        <v>0</v>
      </c>
      <c r="AC260" s="31">
        <v>7024</v>
      </c>
      <c r="AD260" s="31">
        <v>101267</v>
      </c>
      <c r="AE260" s="31">
        <v>25000</v>
      </c>
      <c r="AF260" s="31">
        <v>20000</v>
      </c>
      <c r="AG260" s="31">
        <v>5000</v>
      </c>
      <c r="AH260" s="31">
        <v>0</v>
      </c>
      <c r="AI260" s="31">
        <v>25000</v>
      </c>
      <c r="AJ260" s="45">
        <f t="shared" ref="AJ260:AJ323" si="120">AI260/C260</f>
        <v>2.442598925256473</v>
      </c>
      <c r="AK260" s="31">
        <v>0</v>
      </c>
      <c r="AL260" s="31">
        <v>0</v>
      </c>
      <c r="AM260" s="31">
        <v>0</v>
      </c>
      <c r="AN260" s="31">
        <v>0</v>
      </c>
      <c r="AO260" s="31">
        <v>27500</v>
      </c>
      <c r="AP260" s="31">
        <v>44279</v>
      </c>
      <c r="AQ260" s="31">
        <v>71779</v>
      </c>
      <c r="AR260" s="31">
        <v>96779</v>
      </c>
      <c r="AS260" s="46">
        <f t="shared" ref="AS260:AS323" si="121">AR260/C260</f>
        <v>9.4556912554958483</v>
      </c>
      <c r="AT260" s="31">
        <v>0</v>
      </c>
      <c r="AU260" s="31">
        <v>0</v>
      </c>
      <c r="AV260" s="31">
        <v>0</v>
      </c>
      <c r="AW260" s="31">
        <v>0</v>
      </c>
      <c r="AX260" s="31">
        <v>0</v>
      </c>
      <c r="AY260" s="31">
        <v>0</v>
      </c>
      <c r="AZ260" s="31">
        <v>0</v>
      </c>
      <c r="BA260" s="31">
        <v>0</v>
      </c>
      <c r="BB260" s="31">
        <v>0</v>
      </c>
      <c r="BC260" s="33" t="s">
        <v>25</v>
      </c>
      <c r="BD260" s="47">
        <v>19400</v>
      </c>
      <c r="BE260" s="47">
        <v>19700</v>
      </c>
      <c r="BF260" s="45">
        <f t="shared" ref="BF260:BF323" si="122">BE260/C260</f>
        <v>1.9247679531021007</v>
      </c>
      <c r="BG260" s="30">
        <v>815</v>
      </c>
      <c r="BH260" s="30">
        <v>820</v>
      </c>
      <c r="BI260" s="30">
        <v>0</v>
      </c>
      <c r="BJ260" s="30">
        <v>995</v>
      </c>
      <c r="BK260" s="30">
        <v>999</v>
      </c>
      <c r="BL260" s="30">
        <v>0</v>
      </c>
      <c r="BM260" s="30">
        <v>0</v>
      </c>
      <c r="BN260" s="30">
        <v>0</v>
      </c>
      <c r="BO260" s="30">
        <v>51</v>
      </c>
      <c r="BP260" s="30">
        <v>0</v>
      </c>
      <c r="BQ260" s="30">
        <v>51</v>
      </c>
      <c r="BR260" s="47">
        <v>21210</v>
      </c>
      <c r="BS260" s="47">
        <v>21519</v>
      </c>
      <c r="BT260" s="1">
        <f t="shared" ref="BT260:BT323" si="123">BS260/C260</f>
        <v>2.1024914509037615</v>
      </c>
      <c r="BU260" s="30">
        <v>6</v>
      </c>
      <c r="BV260" s="30">
        <v>0</v>
      </c>
      <c r="BW260" s="47">
        <v>3545</v>
      </c>
      <c r="BX260" s="52">
        <f t="shared" ref="BX260:BX323" si="124">BW260/C260</f>
        <v>0.34636052760136787</v>
      </c>
      <c r="BY260" s="47">
        <v>4999</v>
      </c>
      <c r="BZ260" s="47">
        <v>0</v>
      </c>
      <c r="CA260" s="47">
        <v>17801</v>
      </c>
      <c r="CB260" s="47">
        <v>0</v>
      </c>
      <c r="CC260" s="47">
        <v>22800</v>
      </c>
      <c r="CD260" s="55">
        <f t="shared" ref="CD260:CD323" si="125">CC260/C260</f>
        <v>2.2276502198339032</v>
      </c>
      <c r="CE260" s="3">
        <f t="shared" ref="CE260:CE323" si="126">CC260/DB260</f>
        <v>11692.307692307693</v>
      </c>
      <c r="CF260" s="55">
        <f t="shared" ref="CF260:CF323" si="127">CC260/DX260</f>
        <v>10.224215246636771</v>
      </c>
      <c r="CG260" s="55">
        <f t="shared" ref="CG260:CG323" si="128">CC260/CR260</f>
        <v>1.2459016393442623</v>
      </c>
      <c r="CH260" s="55">
        <f t="shared" ref="CH260:CH323" si="129">(BY260+CA260)/BS260</f>
        <v>1.0595287885124773</v>
      </c>
      <c r="CI260" s="30">
        <v>86</v>
      </c>
      <c r="CJ260" s="30">
        <v>0</v>
      </c>
      <c r="CK260" s="30">
        <v>6</v>
      </c>
      <c r="CL260" s="30">
        <v>92</v>
      </c>
      <c r="CM260" s="30">
        <v>2697</v>
      </c>
      <c r="CN260" s="30">
        <v>0</v>
      </c>
      <c r="CO260" s="30">
        <v>427</v>
      </c>
      <c r="CP260" s="30">
        <v>3124</v>
      </c>
      <c r="CQ260" s="1">
        <f t="shared" si="110"/>
        <v>0.30522716170004888</v>
      </c>
      <c r="CR260" s="47">
        <v>18300</v>
      </c>
      <c r="CS260" s="55">
        <f t="shared" ref="CS260:CS323" si="130">CR260/C260</f>
        <v>1.7879824132877382</v>
      </c>
      <c r="CT260" s="59">
        <v>3648</v>
      </c>
      <c r="CU260" s="29" t="s">
        <v>25</v>
      </c>
      <c r="CV260" s="29" t="s">
        <v>25</v>
      </c>
      <c r="CW260" s="29" t="s">
        <v>25</v>
      </c>
      <c r="CX260" s="35">
        <v>0.5</v>
      </c>
      <c r="CY260" s="49">
        <f>C260/CX260</f>
        <v>20470</v>
      </c>
      <c r="CZ260" s="35">
        <v>0.75</v>
      </c>
      <c r="DA260" s="35">
        <v>0.7</v>
      </c>
      <c r="DB260" s="35">
        <v>1.95</v>
      </c>
      <c r="DC260" s="49">
        <f t="shared" ref="DC260:DC323" si="131">C260/DB260</f>
        <v>5248.7179487179492</v>
      </c>
      <c r="DD260" s="30">
        <v>3300</v>
      </c>
      <c r="DE260" s="31">
        <v>26993</v>
      </c>
      <c r="DF260" s="35">
        <v>35</v>
      </c>
      <c r="DG260" s="29" t="s">
        <v>25</v>
      </c>
      <c r="DH260" s="29" t="s">
        <v>26</v>
      </c>
      <c r="DI260" s="29" t="s">
        <v>26</v>
      </c>
      <c r="DJ260" s="47">
        <v>0</v>
      </c>
      <c r="DK260" s="47">
        <v>0</v>
      </c>
      <c r="DL260" s="47">
        <v>5</v>
      </c>
      <c r="DM260" s="47">
        <v>5006</v>
      </c>
      <c r="DN260" s="47">
        <v>290</v>
      </c>
      <c r="DO260" s="47">
        <v>0</v>
      </c>
      <c r="DP260" s="29" t="s">
        <v>2028</v>
      </c>
      <c r="DQ260" s="47">
        <v>0</v>
      </c>
      <c r="DR260" s="47">
        <v>2230</v>
      </c>
      <c r="DS260" s="30">
        <v>52</v>
      </c>
      <c r="DT260" s="30">
        <v>44</v>
      </c>
      <c r="DU260" s="30">
        <v>44</v>
      </c>
      <c r="DV260" s="30">
        <v>44</v>
      </c>
      <c r="DX260" s="2">
        <f t="shared" ref="DX260:DX323" si="132">DR260+DW260</f>
        <v>2230</v>
      </c>
      <c r="DY260" s="33" t="s">
        <v>2182</v>
      </c>
      <c r="DZ260" s="33" t="s">
        <v>724</v>
      </c>
      <c r="EA260" s="33" t="s">
        <v>2032</v>
      </c>
      <c r="EB260" s="33" t="s">
        <v>2027</v>
      </c>
      <c r="EC260" s="36">
        <v>204</v>
      </c>
      <c r="ED260" s="29" t="s">
        <v>723</v>
      </c>
      <c r="EE260" s="29" t="s">
        <v>351</v>
      </c>
      <c r="EF260" s="37">
        <v>41640</v>
      </c>
      <c r="EG260" s="37">
        <v>42004</v>
      </c>
      <c r="EH260" s="29" t="s">
        <v>723</v>
      </c>
      <c r="EI260" s="55">
        <f t="shared" ref="EI260:EI323" si="133">BY260/C260</f>
        <v>0.48842208109428431</v>
      </c>
      <c r="EJ260" s="54">
        <f t="shared" ref="EJ260:EJ323" si="134">BZ260/C260</f>
        <v>0</v>
      </c>
      <c r="EK260" s="55">
        <f t="shared" ref="EK260:EK323" si="135">CA260/C260</f>
        <v>1.7392281387396189</v>
      </c>
      <c r="EL260" s="54">
        <f t="shared" ref="EL260:EL323" si="136">CB260/C260</f>
        <v>0</v>
      </c>
    </row>
    <row r="261" spans="1:142" ht="28.8" x14ac:dyDescent="0.3">
      <c r="A261" s="29" t="s">
        <v>726</v>
      </c>
      <c r="B261" s="29"/>
      <c r="C261" s="30">
        <v>5119</v>
      </c>
      <c r="D261" s="30">
        <v>0</v>
      </c>
      <c r="E261" s="30">
        <v>0</v>
      </c>
      <c r="F261" s="30">
        <v>6300</v>
      </c>
      <c r="H261" s="2">
        <f t="shared" si="112"/>
        <v>6300</v>
      </c>
      <c r="I261" s="1">
        <f t="shared" si="111"/>
        <v>1.2307091228755616</v>
      </c>
      <c r="J261" s="31">
        <v>79082</v>
      </c>
      <c r="K261" s="31">
        <v>5325</v>
      </c>
      <c r="L261" s="31">
        <v>84407</v>
      </c>
      <c r="M261" s="45">
        <f t="shared" si="113"/>
        <v>16.488962688025005</v>
      </c>
      <c r="N261" s="31">
        <v>7932</v>
      </c>
      <c r="O261" s="31">
        <v>1500</v>
      </c>
      <c r="P261" s="31">
        <v>853</v>
      </c>
      <c r="Q261" s="31">
        <v>10285</v>
      </c>
      <c r="R261" s="45">
        <f t="shared" si="114"/>
        <v>2.0091814807579604</v>
      </c>
      <c r="S261" s="31">
        <v>27459</v>
      </c>
      <c r="T261" s="31">
        <v>122151</v>
      </c>
      <c r="U261" s="31">
        <v>0</v>
      </c>
      <c r="V261" s="31">
        <v>122151</v>
      </c>
      <c r="W261" s="45">
        <f t="shared" si="115"/>
        <v>23.862277788630593</v>
      </c>
      <c r="X261" s="4">
        <f t="shared" si="116"/>
        <v>0.69100539496197333</v>
      </c>
      <c r="Y261" s="4">
        <f t="shared" si="117"/>
        <v>8.4199065091566994E-2</v>
      </c>
      <c r="Z261" s="4">
        <f t="shared" si="118"/>
        <v>0.2247955399464597</v>
      </c>
      <c r="AA261" s="4">
        <f t="shared" si="119"/>
        <v>0</v>
      </c>
      <c r="AB261" s="31">
        <v>68193</v>
      </c>
      <c r="AC261" s="31">
        <v>10285</v>
      </c>
      <c r="AD261" s="31">
        <v>122151</v>
      </c>
      <c r="AE261" s="31">
        <v>120091</v>
      </c>
      <c r="AF261" s="31">
        <v>115091</v>
      </c>
      <c r="AG261" s="31">
        <v>5000</v>
      </c>
      <c r="AH261" s="31">
        <v>0</v>
      </c>
      <c r="AI261" s="31">
        <v>120091</v>
      </c>
      <c r="AJ261" s="45">
        <f t="shared" si="120"/>
        <v>23.459855440515724</v>
      </c>
      <c r="AK261" s="31">
        <v>0</v>
      </c>
      <c r="AL261" s="31">
        <v>0</v>
      </c>
      <c r="AM261" s="31">
        <v>0</v>
      </c>
      <c r="AN261" s="31">
        <v>0</v>
      </c>
      <c r="AO261" s="31">
        <v>0</v>
      </c>
      <c r="AP261" s="31">
        <v>2060</v>
      </c>
      <c r="AQ261" s="31">
        <v>2060</v>
      </c>
      <c r="AR261" s="31">
        <v>122151</v>
      </c>
      <c r="AS261" s="46">
        <f t="shared" si="121"/>
        <v>23.862277788630593</v>
      </c>
      <c r="AT261" s="31">
        <v>22165</v>
      </c>
      <c r="AU261" s="31">
        <v>0</v>
      </c>
      <c r="AV261" s="31">
        <v>0</v>
      </c>
      <c r="AW261" s="31">
        <v>0</v>
      </c>
      <c r="AX261" s="31">
        <v>0</v>
      </c>
      <c r="AY261" s="31">
        <v>0</v>
      </c>
      <c r="AZ261" s="31">
        <v>1523</v>
      </c>
      <c r="BA261" s="31">
        <v>44505</v>
      </c>
      <c r="BB261" s="31">
        <v>68193</v>
      </c>
      <c r="BC261" s="33" t="s">
        <v>25</v>
      </c>
      <c r="BD261" s="47">
        <v>15750</v>
      </c>
      <c r="BE261" s="47">
        <v>15780</v>
      </c>
      <c r="BF261" s="45">
        <f t="shared" si="122"/>
        <v>3.0826333268216448</v>
      </c>
      <c r="BG261" s="30">
        <v>916</v>
      </c>
      <c r="BH261" s="30">
        <v>916</v>
      </c>
      <c r="BI261" s="30">
        <v>1164</v>
      </c>
      <c r="BJ261" s="30">
        <v>1108</v>
      </c>
      <c r="BK261" s="30">
        <v>1108</v>
      </c>
      <c r="BL261" s="30">
        <v>38</v>
      </c>
      <c r="BM261" s="30">
        <v>6798</v>
      </c>
      <c r="BN261" s="30">
        <v>0</v>
      </c>
      <c r="BO261" s="30">
        <v>51</v>
      </c>
      <c r="BP261" s="30">
        <v>0</v>
      </c>
      <c r="BQ261" s="30">
        <v>51</v>
      </c>
      <c r="BR261" s="47">
        <v>17774</v>
      </c>
      <c r="BS261" s="47">
        <v>25804</v>
      </c>
      <c r="BT261" s="1">
        <f t="shared" si="123"/>
        <v>5.0408282867747607</v>
      </c>
      <c r="BU261" s="30">
        <v>14</v>
      </c>
      <c r="BV261" s="30">
        <v>0</v>
      </c>
      <c r="BW261" s="47">
        <v>647</v>
      </c>
      <c r="BX261" s="52">
        <f t="shared" si="124"/>
        <v>0.12639187341277594</v>
      </c>
      <c r="BY261" s="47">
        <v>5503</v>
      </c>
      <c r="BZ261" s="47">
        <v>61</v>
      </c>
      <c r="CA261" s="47">
        <v>9959</v>
      </c>
      <c r="CB261" s="47">
        <v>626</v>
      </c>
      <c r="CC261" s="47">
        <v>16149</v>
      </c>
      <c r="CD261" s="55">
        <f t="shared" si="125"/>
        <v>3.1547177183043562</v>
      </c>
      <c r="CE261" s="3">
        <f t="shared" si="126"/>
        <v>6945.8064516129025</v>
      </c>
      <c r="CF261" s="55">
        <f t="shared" si="127"/>
        <v>5.7675000000000001</v>
      </c>
      <c r="CG261" s="55">
        <f t="shared" si="128"/>
        <v>0.94196220251983198</v>
      </c>
      <c r="CH261" s="55">
        <f t="shared" si="129"/>
        <v>0.59920942489536511</v>
      </c>
      <c r="CI261" s="30">
        <v>183</v>
      </c>
      <c r="CJ261" s="30">
        <v>35</v>
      </c>
      <c r="CK261" s="30">
        <v>109</v>
      </c>
      <c r="CL261" s="30">
        <v>327</v>
      </c>
      <c r="CM261" s="30">
        <v>2411</v>
      </c>
      <c r="CN261" s="30">
        <v>92</v>
      </c>
      <c r="CO261" s="30">
        <v>1411</v>
      </c>
      <c r="CP261" s="30">
        <v>3914</v>
      </c>
      <c r="CQ261" s="1">
        <f t="shared" ref="CQ261:CQ324" si="137">CP261/C261</f>
        <v>0.76460246141824573</v>
      </c>
      <c r="CR261" s="47">
        <v>17144</v>
      </c>
      <c r="CS261" s="55">
        <f t="shared" si="130"/>
        <v>3.3490916194569254</v>
      </c>
      <c r="CT261" s="59">
        <v>2785</v>
      </c>
      <c r="CU261" s="29" t="s">
        <v>25</v>
      </c>
      <c r="CV261" s="29" t="s">
        <v>25</v>
      </c>
      <c r="CW261" s="29" t="s">
        <v>25</v>
      </c>
      <c r="CX261" s="35">
        <v>0</v>
      </c>
      <c r="CY261" s="49">
        <v>0</v>
      </c>
      <c r="CZ261" s="35">
        <v>2</v>
      </c>
      <c r="DA261" s="35">
        <v>0.32500000000000001</v>
      </c>
      <c r="DB261" s="35">
        <v>2.3250000000000002</v>
      </c>
      <c r="DC261" s="49">
        <f t="shared" si="131"/>
        <v>2201.7204301075267</v>
      </c>
      <c r="DD261" s="30">
        <v>1700</v>
      </c>
      <c r="DE261" s="31">
        <v>23483</v>
      </c>
      <c r="DF261" s="35">
        <v>25</v>
      </c>
      <c r="DG261" s="29" t="s">
        <v>25</v>
      </c>
      <c r="DH261" s="29" t="s">
        <v>25</v>
      </c>
      <c r="DI261" s="29" t="s">
        <v>25</v>
      </c>
      <c r="DJ261" s="47">
        <v>49</v>
      </c>
      <c r="DK261" s="47">
        <v>53</v>
      </c>
      <c r="DL261" s="47">
        <v>20</v>
      </c>
      <c r="DM261" s="47">
        <v>6351</v>
      </c>
      <c r="DN261" s="47">
        <v>16</v>
      </c>
      <c r="DO261" s="47">
        <v>980</v>
      </c>
      <c r="DP261" s="29" t="s">
        <v>25</v>
      </c>
      <c r="DQ261" s="47">
        <v>4056</v>
      </c>
      <c r="DR261" s="47">
        <v>2800</v>
      </c>
      <c r="DS261" s="30">
        <v>52</v>
      </c>
      <c r="DT261" s="30">
        <v>55</v>
      </c>
      <c r="DU261" s="30">
        <v>55</v>
      </c>
      <c r="DV261" s="30">
        <v>55</v>
      </c>
      <c r="DX261" s="2">
        <f t="shared" si="132"/>
        <v>2800</v>
      </c>
      <c r="DY261" s="33" t="s">
        <v>2186</v>
      </c>
      <c r="DZ261" s="33" t="s">
        <v>727</v>
      </c>
      <c r="EA261" s="33" t="s">
        <v>2033</v>
      </c>
      <c r="EB261" s="33" t="s">
        <v>2027</v>
      </c>
      <c r="EC261" s="36">
        <v>205</v>
      </c>
      <c r="ED261" s="29" t="s">
        <v>725</v>
      </c>
      <c r="EE261" s="29" t="s">
        <v>171</v>
      </c>
      <c r="EF261" s="37">
        <v>41640</v>
      </c>
      <c r="EG261" s="37">
        <v>42004</v>
      </c>
      <c r="EH261" s="29" t="s">
        <v>725</v>
      </c>
      <c r="EI261" s="55">
        <f t="shared" si="133"/>
        <v>1.0750146512990819</v>
      </c>
      <c r="EJ261" s="54">
        <f t="shared" si="134"/>
        <v>1.1916389919906232E-2</v>
      </c>
      <c r="EK261" s="55">
        <f t="shared" si="135"/>
        <v>1.9454971674155108</v>
      </c>
      <c r="EL261" s="54">
        <f t="shared" si="136"/>
        <v>0.1222895096698574</v>
      </c>
    </row>
    <row r="262" spans="1:142" ht="43.2" x14ac:dyDescent="0.3">
      <c r="A262" s="29" t="s">
        <v>1609</v>
      </c>
      <c r="B262" s="29"/>
      <c r="C262" s="30">
        <v>1991</v>
      </c>
      <c r="D262" s="30">
        <v>0</v>
      </c>
      <c r="E262" s="30">
        <v>0</v>
      </c>
      <c r="F262" s="30">
        <v>3065</v>
      </c>
      <c r="H262" s="2">
        <f t="shared" si="112"/>
        <v>3065</v>
      </c>
      <c r="I262" s="1">
        <f t="shared" si="111"/>
        <v>1.539427423405324</v>
      </c>
      <c r="J262" s="31">
        <v>61969</v>
      </c>
      <c r="K262" s="31">
        <v>23008</v>
      </c>
      <c r="L262" s="31">
        <v>84977</v>
      </c>
      <c r="M262" s="45">
        <f t="shared" si="113"/>
        <v>42.68056253139126</v>
      </c>
      <c r="N262" s="31">
        <v>5645</v>
      </c>
      <c r="O262" s="31">
        <v>0</v>
      </c>
      <c r="P262" s="31">
        <v>1563</v>
      </c>
      <c r="Q262" s="31">
        <v>7208</v>
      </c>
      <c r="R262" s="45">
        <f t="shared" si="114"/>
        <v>3.6202913108990455</v>
      </c>
      <c r="S262" s="31">
        <v>6820</v>
      </c>
      <c r="T262" s="31">
        <v>99005</v>
      </c>
      <c r="U262" s="31">
        <v>0</v>
      </c>
      <c r="V262" s="31">
        <v>99005</v>
      </c>
      <c r="W262" s="45">
        <f t="shared" si="115"/>
        <v>49.726268206931188</v>
      </c>
      <c r="X262" s="4">
        <f t="shared" si="116"/>
        <v>0.85831018635422451</v>
      </c>
      <c r="Y262" s="4">
        <f t="shared" si="117"/>
        <v>7.2804403817988986E-2</v>
      </c>
      <c r="Z262" s="4">
        <f t="shared" si="118"/>
        <v>6.8885409827786473E-2</v>
      </c>
      <c r="AA262" s="4">
        <f t="shared" si="119"/>
        <v>0</v>
      </c>
      <c r="AB262" s="31">
        <v>0</v>
      </c>
      <c r="AC262" s="31">
        <v>7208</v>
      </c>
      <c r="AD262" s="31">
        <v>99005</v>
      </c>
      <c r="AE262" s="31">
        <v>99005</v>
      </c>
      <c r="AF262" s="31">
        <v>94181</v>
      </c>
      <c r="AG262" s="31">
        <v>0</v>
      </c>
      <c r="AH262" s="31">
        <v>0</v>
      </c>
      <c r="AI262" s="31">
        <v>94181</v>
      </c>
      <c r="AJ262" s="45">
        <f t="shared" si="120"/>
        <v>47.303365143144148</v>
      </c>
      <c r="AK262" s="31">
        <v>0</v>
      </c>
      <c r="AL262" s="31">
        <v>0</v>
      </c>
      <c r="AM262" s="31">
        <v>0</v>
      </c>
      <c r="AN262" s="31">
        <v>0</v>
      </c>
      <c r="AO262" s="31">
        <v>0</v>
      </c>
      <c r="AP262" s="31">
        <v>8045</v>
      </c>
      <c r="AQ262" s="31">
        <v>8045</v>
      </c>
      <c r="AR262" s="31">
        <v>102226</v>
      </c>
      <c r="AS262" s="46">
        <f t="shared" si="121"/>
        <v>51.344048216976397</v>
      </c>
      <c r="AT262" s="31">
        <v>0</v>
      </c>
      <c r="AU262" s="31">
        <v>0</v>
      </c>
      <c r="AV262" s="31">
        <v>0</v>
      </c>
      <c r="AW262" s="31">
        <v>0</v>
      </c>
      <c r="AX262" s="31">
        <v>0</v>
      </c>
      <c r="AY262" s="31">
        <v>0</v>
      </c>
      <c r="AZ262" s="31">
        <v>0</v>
      </c>
      <c r="BA262" s="31">
        <v>0</v>
      </c>
      <c r="BB262" s="31">
        <v>0</v>
      </c>
      <c r="BC262" s="33" t="s">
        <v>25</v>
      </c>
      <c r="BD262" s="47">
        <v>7825</v>
      </c>
      <c r="BE262" s="47">
        <v>7844</v>
      </c>
      <c r="BF262" s="45">
        <f t="shared" si="122"/>
        <v>3.9397287795077851</v>
      </c>
      <c r="BG262" s="30">
        <v>286</v>
      </c>
      <c r="BH262" s="30">
        <v>286</v>
      </c>
      <c r="BI262" s="30">
        <v>0</v>
      </c>
      <c r="BJ262" s="30">
        <v>731</v>
      </c>
      <c r="BK262" s="30">
        <v>733</v>
      </c>
      <c r="BL262" s="30">
        <v>0</v>
      </c>
      <c r="BM262" s="30">
        <v>0</v>
      </c>
      <c r="BN262" s="30">
        <v>0</v>
      </c>
      <c r="BO262" s="30">
        <v>51</v>
      </c>
      <c r="BP262" s="30">
        <v>0</v>
      </c>
      <c r="BQ262" s="30">
        <v>51</v>
      </c>
      <c r="BR262" s="47">
        <v>8842</v>
      </c>
      <c r="BS262" s="47">
        <v>8863</v>
      </c>
      <c r="BT262" s="1">
        <f t="shared" si="123"/>
        <v>4.4515318935208441</v>
      </c>
      <c r="BU262" s="30">
        <v>8</v>
      </c>
      <c r="BV262" s="30">
        <v>3</v>
      </c>
      <c r="BW262" s="47">
        <v>3231</v>
      </c>
      <c r="BX262" s="52">
        <f t="shared" si="124"/>
        <v>1.622802611752888</v>
      </c>
      <c r="BY262" s="47">
        <v>1502</v>
      </c>
      <c r="BZ262" s="47">
        <v>0</v>
      </c>
      <c r="CA262" s="47">
        <v>4552</v>
      </c>
      <c r="CB262" s="47">
        <v>0</v>
      </c>
      <c r="CC262" s="47">
        <v>6054</v>
      </c>
      <c r="CD262" s="55">
        <f t="shared" si="125"/>
        <v>3.0406830738322452</v>
      </c>
      <c r="CE262" s="3">
        <f t="shared" si="126"/>
        <v>3027</v>
      </c>
      <c r="CF262" s="55">
        <f t="shared" si="127"/>
        <v>2.3302540415704387</v>
      </c>
      <c r="CG262" s="55">
        <f t="shared" si="128"/>
        <v>0.58211538461538459</v>
      </c>
      <c r="CH262" s="55">
        <f t="shared" si="129"/>
        <v>0.68306442513821508</v>
      </c>
      <c r="CI262" s="30">
        <v>15</v>
      </c>
      <c r="CJ262" s="30">
        <v>15</v>
      </c>
      <c r="CK262" s="30">
        <v>0</v>
      </c>
      <c r="CL262" s="30">
        <v>30</v>
      </c>
      <c r="CM262" s="30">
        <v>130</v>
      </c>
      <c r="CN262" s="30">
        <v>142</v>
      </c>
      <c r="CO262" s="30">
        <v>0</v>
      </c>
      <c r="CP262" s="30">
        <v>272</v>
      </c>
      <c r="CQ262" s="1">
        <f t="shared" si="137"/>
        <v>0.1366147664490206</v>
      </c>
      <c r="CR262" s="47">
        <v>10400</v>
      </c>
      <c r="CS262" s="55">
        <f t="shared" si="130"/>
        <v>5.2235057759919634</v>
      </c>
      <c r="CT262" s="59">
        <v>1300</v>
      </c>
      <c r="CU262" s="29" t="s">
        <v>25</v>
      </c>
      <c r="CV262" s="29" t="s">
        <v>25</v>
      </c>
      <c r="CW262" s="29" t="s">
        <v>25</v>
      </c>
      <c r="CX262" s="35">
        <v>0</v>
      </c>
      <c r="CY262" s="49">
        <v>0</v>
      </c>
      <c r="CZ262" s="35">
        <v>1</v>
      </c>
      <c r="DA262" s="35">
        <v>1</v>
      </c>
      <c r="DB262" s="35">
        <v>2</v>
      </c>
      <c r="DC262" s="49">
        <f t="shared" si="131"/>
        <v>995.5</v>
      </c>
      <c r="DD262" s="30">
        <v>566</v>
      </c>
      <c r="DE262" s="31">
        <v>36400</v>
      </c>
      <c r="DF262" s="35">
        <v>40</v>
      </c>
      <c r="DG262" s="29" t="s">
        <v>25</v>
      </c>
      <c r="DH262" s="29" t="s">
        <v>25</v>
      </c>
      <c r="DI262" s="29" t="s">
        <v>25</v>
      </c>
      <c r="DJ262" s="47">
        <v>17</v>
      </c>
      <c r="DK262" s="47">
        <v>25</v>
      </c>
      <c r="DL262" s="47">
        <v>5</v>
      </c>
      <c r="DM262" s="47">
        <v>1518</v>
      </c>
      <c r="DN262" s="47">
        <v>225</v>
      </c>
      <c r="DO262" s="47">
        <v>1462</v>
      </c>
      <c r="DP262" s="29" t="s">
        <v>2028</v>
      </c>
      <c r="DQ262" s="47">
        <v>0</v>
      </c>
      <c r="DR262" s="47">
        <v>2598</v>
      </c>
      <c r="DS262" s="30">
        <v>52</v>
      </c>
      <c r="DT262" s="30">
        <v>53</v>
      </c>
      <c r="DU262" s="30">
        <v>53</v>
      </c>
      <c r="DV262" s="30">
        <v>53</v>
      </c>
      <c r="DX262" s="2">
        <f t="shared" si="132"/>
        <v>2598</v>
      </c>
      <c r="DY262" s="33" t="s">
        <v>2186</v>
      </c>
      <c r="DZ262" s="33" t="s">
        <v>1611</v>
      </c>
      <c r="EA262" s="33" t="s">
        <v>2030</v>
      </c>
      <c r="EB262" s="33" t="s">
        <v>2027</v>
      </c>
      <c r="EC262" s="36">
        <v>542</v>
      </c>
      <c r="ED262" s="29" t="s">
        <v>1610</v>
      </c>
      <c r="EE262" s="29" t="s">
        <v>110</v>
      </c>
      <c r="EF262" s="37">
        <v>41548</v>
      </c>
      <c r="EG262" s="37">
        <v>41912</v>
      </c>
      <c r="EH262" s="29" t="s">
        <v>1610</v>
      </c>
      <c r="EI262" s="55">
        <f t="shared" si="133"/>
        <v>0.75439477649422404</v>
      </c>
      <c r="EJ262" s="54">
        <f t="shared" si="134"/>
        <v>0</v>
      </c>
      <c r="EK262" s="55">
        <f t="shared" si="135"/>
        <v>2.2862882973380212</v>
      </c>
      <c r="EL262" s="54">
        <f t="shared" si="136"/>
        <v>0</v>
      </c>
    </row>
    <row r="263" spans="1:142" ht="28.8" x14ac:dyDescent="0.3">
      <c r="A263" s="29" t="s">
        <v>1659</v>
      </c>
      <c r="B263" s="29"/>
      <c r="C263" s="30">
        <v>24393</v>
      </c>
      <c r="D263" s="30">
        <v>0</v>
      </c>
      <c r="E263" s="30">
        <v>0</v>
      </c>
      <c r="F263" s="30">
        <v>8000</v>
      </c>
      <c r="H263" s="2">
        <f t="shared" si="112"/>
        <v>8000</v>
      </c>
      <c r="I263" s="1">
        <f t="shared" si="111"/>
        <v>0.32796294018775879</v>
      </c>
      <c r="J263" s="31">
        <v>120875</v>
      </c>
      <c r="K263" s="31">
        <v>14002</v>
      </c>
      <c r="L263" s="31">
        <v>134877</v>
      </c>
      <c r="M263" s="45">
        <f t="shared" si="113"/>
        <v>5.5293321854630424</v>
      </c>
      <c r="N263" s="31">
        <v>3512</v>
      </c>
      <c r="O263" s="31">
        <v>3000</v>
      </c>
      <c r="P263" s="31">
        <v>963</v>
      </c>
      <c r="Q263" s="31">
        <v>7475</v>
      </c>
      <c r="R263" s="45">
        <f t="shared" si="114"/>
        <v>0.30644037223793713</v>
      </c>
      <c r="S263" s="31">
        <v>29918</v>
      </c>
      <c r="T263" s="31">
        <v>172270</v>
      </c>
      <c r="U263" s="31">
        <v>12490</v>
      </c>
      <c r="V263" s="31">
        <v>184760</v>
      </c>
      <c r="W263" s="45">
        <f t="shared" si="115"/>
        <v>7.5743041036362895</v>
      </c>
      <c r="X263" s="4">
        <f t="shared" si="116"/>
        <v>0.73001190733925092</v>
      </c>
      <c r="Y263" s="4">
        <f t="shared" si="117"/>
        <v>4.04578913184672E-2</v>
      </c>
      <c r="Z263" s="4">
        <f t="shared" si="118"/>
        <v>0.16192898895864904</v>
      </c>
      <c r="AA263" s="4">
        <f t="shared" si="119"/>
        <v>6.7601212383632828E-2</v>
      </c>
      <c r="AB263" s="31">
        <v>0</v>
      </c>
      <c r="AC263" s="31">
        <v>9308</v>
      </c>
      <c r="AD263" s="31">
        <v>184760</v>
      </c>
      <c r="AE263" s="31">
        <v>178622</v>
      </c>
      <c r="AF263" s="31">
        <v>18000</v>
      </c>
      <c r="AG263" s="31">
        <v>0</v>
      </c>
      <c r="AH263" s="31">
        <v>149965</v>
      </c>
      <c r="AI263" s="31">
        <v>167965</v>
      </c>
      <c r="AJ263" s="45">
        <f t="shared" si="120"/>
        <v>6.8857869060796126</v>
      </c>
      <c r="AK263" s="31">
        <v>0</v>
      </c>
      <c r="AL263" s="31">
        <v>0</v>
      </c>
      <c r="AM263" s="31">
        <v>0</v>
      </c>
      <c r="AN263" s="31">
        <v>0</v>
      </c>
      <c r="AO263" s="31">
        <v>0</v>
      </c>
      <c r="AP263" s="31">
        <v>6138</v>
      </c>
      <c r="AQ263" s="31">
        <v>6138</v>
      </c>
      <c r="AR263" s="31">
        <v>174103</v>
      </c>
      <c r="AS263" s="46">
        <f t="shared" si="121"/>
        <v>7.1374164719386712</v>
      </c>
      <c r="AT263" s="31">
        <v>0</v>
      </c>
      <c r="AU263" s="31">
        <v>0</v>
      </c>
      <c r="AV263" s="31">
        <v>0</v>
      </c>
      <c r="AW263" s="31">
        <v>0</v>
      </c>
      <c r="AX263" s="31">
        <v>0</v>
      </c>
      <c r="AY263" s="31">
        <v>0</v>
      </c>
      <c r="AZ263" s="31">
        <v>0</v>
      </c>
      <c r="BA263" s="31">
        <v>0</v>
      </c>
      <c r="BB263" s="31">
        <v>0</v>
      </c>
      <c r="BC263" s="33" t="s">
        <v>25</v>
      </c>
      <c r="BD263" s="47">
        <v>30385</v>
      </c>
      <c r="BE263" s="47">
        <v>30590</v>
      </c>
      <c r="BF263" s="45">
        <f t="shared" si="122"/>
        <v>1.2540482925429426</v>
      </c>
      <c r="BG263" s="30">
        <v>236</v>
      </c>
      <c r="BH263" s="30">
        <v>236</v>
      </c>
      <c r="BI263" s="30">
        <v>4714</v>
      </c>
      <c r="BJ263" s="30">
        <v>1387</v>
      </c>
      <c r="BK263" s="30">
        <v>1387</v>
      </c>
      <c r="BL263" s="30">
        <v>0</v>
      </c>
      <c r="BM263" s="30">
        <v>9049</v>
      </c>
      <c r="BN263" s="30">
        <v>1</v>
      </c>
      <c r="BO263" s="30">
        <v>51</v>
      </c>
      <c r="BP263" s="30">
        <v>0</v>
      </c>
      <c r="BQ263" s="30">
        <v>52</v>
      </c>
      <c r="BR263" s="47">
        <v>32008</v>
      </c>
      <c r="BS263" s="47">
        <v>45977</v>
      </c>
      <c r="BT263" s="1">
        <f t="shared" si="123"/>
        <v>1.8848440126265733</v>
      </c>
      <c r="BU263" s="30">
        <v>22</v>
      </c>
      <c r="BV263" s="30">
        <v>0</v>
      </c>
      <c r="BW263" s="47">
        <v>21350</v>
      </c>
      <c r="BX263" s="52">
        <f t="shared" si="124"/>
        <v>0.87525109662608125</v>
      </c>
      <c r="BY263" s="47">
        <v>14156</v>
      </c>
      <c r="BZ263" s="47">
        <v>0</v>
      </c>
      <c r="CA263" s="47">
        <v>6781</v>
      </c>
      <c r="CB263" s="47">
        <v>911</v>
      </c>
      <c r="CC263" s="47">
        <v>21848</v>
      </c>
      <c r="CD263" s="55">
        <f t="shared" si="125"/>
        <v>0.89566678965276925</v>
      </c>
      <c r="CE263" s="3">
        <f t="shared" si="126"/>
        <v>7733.8053097345128</v>
      </c>
      <c r="CF263" s="55">
        <f t="shared" si="127"/>
        <v>9.1490787269681739</v>
      </c>
      <c r="CG263" s="55">
        <f t="shared" si="128"/>
        <v>0.78131817043950935</v>
      </c>
      <c r="CH263" s="55">
        <f t="shared" si="129"/>
        <v>0.45537986384496598</v>
      </c>
      <c r="CI263" s="30">
        <v>400</v>
      </c>
      <c r="CJ263" s="30">
        <v>300</v>
      </c>
      <c r="CK263" s="30">
        <v>0</v>
      </c>
      <c r="CL263" s="30">
        <v>700</v>
      </c>
      <c r="CM263" s="30">
        <v>1700</v>
      </c>
      <c r="CN263" s="30">
        <v>1004</v>
      </c>
      <c r="CO263" s="30">
        <v>0</v>
      </c>
      <c r="CP263" s="30">
        <v>2704</v>
      </c>
      <c r="CQ263" s="1">
        <f t="shared" si="137"/>
        <v>0.11085147378346247</v>
      </c>
      <c r="CR263" s="47">
        <v>27963</v>
      </c>
      <c r="CS263" s="55">
        <f t="shared" si="130"/>
        <v>1.1463534620587874</v>
      </c>
      <c r="CT263" s="59">
        <v>6415</v>
      </c>
      <c r="CU263" s="29" t="s">
        <v>25</v>
      </c>
      <c r="CV263" s="29" t="s">
        <v>25</v>
      </c>
      <c r="CW263" s="29" t="s">
        <v>25</v>
      </c>
      <c r="CX263" s="35">
        <v>1</v>
      </c>
      <c r="CY263" s="49">
        <f>C263/CX263</f>
        <v>24393</v>
      </c>
      <c r="CZ263" s="35">
        <v>0</v>
      </c>
      <c r="DA263" s="35">
        <v>1.825</v>
      </c>
      <c r="DB263" s="35">
        <v>2.8250000000000002</v>
      </c>
      <c r="DC263" s="49">
        <f t="shared" si="131"/>
        <v>8634.6902654867245</v>
      </c>
      <c r="DD263" s="30">
        <v>1102</v>
      </c>
      <c r="DE263" s="31">
        <v>74019</v>
      </c>
      <c r="DF263" s="35">
        <v>40</v>
      </c>
      <c r="DG263" s="29" t="s">
        <v>25</v>
      </c>
      <c r="DH263" s="29" t="s">
        <v>25</v>
      </c>
      <c r="DI263" s="29" t="s">
        <v>25</v>
      </c>
      <c r="DJ263" s="47">
        <v>10</v>
      </c>
      <c r="DK263" s="47">
        <v>20</v>
      </c>
      <c r="DL263" s="47">
        <v>18</v>
      </c>
      <c r="DM263" s="47">
        <v>21680</v>
      </c>
      <c r="DN263" s="47">
        <v>6181</v>
      </c>
      <c r="DO263" s="47">
        <v>1412</v>
      </c>
      <c r="DP263" s="29" t="s">
        <v>2028</v>
      </c>
      <c r="DQ263" s="47">
        <v>0</v>
      </c>
      <c r="DR263" s="47">
        <v>2388</v>
      </c>
      <c r="DS263" s="30">
        <v>50</v>
      </c>
      <c r="DT263" s="30">
        <v>56</v>
      </c>
      <c r="DU263" s="30">
        <v>56</v>
      </c>
      <c r="DV263" s="30">
        <v>36</v>
      </c>
      <c r="DX263" s="2">
        <f t="shared" si="132"/>
        <v>2388</v>
      </c>
      <c r="DY263" s="33" t="s">
        <v>2181</v>
      </c>
      <c r="DZ263" s="33" t="s">
        <v>1661</v>
      </c>
      <c r="EA263" s="33" t="s">
        <v>2035</v>
      </c>
      <c r="EB263" s="33" t="s">
        <v>2027</v>
      </c>
      <c r="EC263" s="36">
        <v>564</v>
      </c>
      <c r="ED263" s="29" t="s">
        <v>1660</v>
      </c>
      <c r="EE263" s="29" t="s">
        <v>236</v>
      </c>
      <c r="EF263" s="37">
        <v>41518</v>
      </c>
      <c r="EG263" s="37">
        <v>41882</v>
      </c>
      <c r="EH263" s="29" t="s">
        <v>1660</v>
      </c>
      <c r="EI263" s="55">
        <f t="shared" si="133"/>
        <v>0.58033042266223922</v>
      </c>
      <c r="EJ263" s="54">
        <f t="shared" si="134"/>
        <v>0</v>
      </c>
      <c r="EK263" s="55">
        <f t="shared" si="135"/>
        <v>0.27798958717664901</v>
      </c>
      <c r="EL263" s="54">
        <f t="shared" si="136"/>
        <v>3.7346779813881029E-2</v>
      </c>
    </row>
    <row r="264" spans="1:142" ht="43.2" x14ac:dyDescent="0.3">
      <c r="A264" s="29" t="s">
        <v>728</v>
      </c>
      <c r="B264" s="29"/>
      <c r="C264" s="30">
        <v>9250</v>
      </c>
      <c r="D264" s="30">
        <v>0</v>
      </c>
      <c r="E264" s="30">
        <v>0</v>
      </c>
      <c r="F264" s="30">
        <v>5410</v>
      </c>
      <c r="H264" s="2">
        <f t="shared" si="112"/>
        <v>5410</v>
      </c>
      <c r="I264" s="1">
        <f t="shared" si="111"/>
        <v>0.58486486486486489</v>
      </c>
      <c r="J264" s="31">
        <v>73777</v>
      </c>
      <c r="K264" s="31">
        <v>21692</v>
      </c>
      <c r="L264" s="31">
        <v>95469</v>
      </c>
      <c r="M264" s="45">
        <f t="shared" si="113"/>
        <v>10.320972972972973</v>
      </c>
      <c r="N264" s="31">
        <v>14601</v>
      </c>
      <c r="O264" s="31">
        <v>0</v>
      </c>
      <c r="P264" s="31">
        <v>2528</v>
      </c>
      <c r="Q264" s="31">
        <v>17129</v>
      </c>
      <c r="R264" s="45">
        <f t="shared" si="114"/>
        <v>1.8517837837837838</v>
      </c>
      <c r="S264" s="31">
        <v>23754</v>
      </c>
      <c r="T264" s="31">
        <v>136352</v>
      </c>
      <c r="U264" s="31">
        <v>0</v>
      </c>
      <c r="V264" s="31">
        <v>136352</v>
      </c>
      <c r="W264" s="45">
        <f t="shared" si="115"/>
        <v>14.740756756756756</v>
      </c>
      <c r="X264" s="4">
        <f t="shared" si="116"/>
        <v>0.70016574747711802</v>
      </c>
      <c r="Y264" s="4">
        <f t="shared" si="117"/>
        <v>0.1256233865289838</v>
      </c>
      <c r="Z264" s="4">
        <f t="shared" si="118"/>
        <v>0.17421086599389815</v>
      </c>
      <c r="AA264" s="4">
        <f t="shared" si="119"/>
        <v>0</v>
      </c>
      <c r="AB264" s="31">
        <v>0</v>
      </c>
      <c r="AC264" s="31">
        <v>17129</v>
      </c>
      <c r="AD264" s="31">
        <v>136352</v>
      </c>
      <c r="AE264" s="31">
        <v>136352</v>
      </c>
      <c r="AF264" s="31">
        <v>129852</v>
      </c>
      <c r="AG264" s="31">
        <v>6500</v>
      </c>
      <c r="AH264" s="31">
        <v>0</v>
      </c>
      <c r="AI264" s="31">
        <v>136352</v>
      </c>
      <c r="AJ264" s="45">
        <f t="shared" si="120"/>
        <v>14.740756756756756</v>
      </c>
      <c r="AK264" s="31">
        <v>0</v>
      </c>
      <c r="AL264" s="31">
        <v>0</v>
      </c>
      <c r="AM264" s="31">
        <v>0</v>
      </c>
      <c r="AN264" s="31">
        <v>0</v>
      </c>
      <c r="AO264" s="31">
        <v>9450</v>
      </c>
      <c r="AP264" s="31">
        <v>0</v>
      </c>
      <c r="AQ264" s="31">
        <v>9450</v>
      </c>
      <c r="AR264" s="31">
        <v>145802</v>
      </c>
      <c r="AS264" s="46">
        <f t="shared" si="121"/>
        <v>15.762378378378378</v>
      </c>
      <c r="AT264" s="31">
        <v>0</v>
      </c>
      <c r="AU264" s="31">
        <v>0</v>
      </c>
      <c r="AV264" s="31">
        <v>0</v>
      </c>
      <c r="AW264" s="31">
        <v>0</v>
      </c>
      <c r="AX264" s="31">
        <v>0</v>
      </c>
      <c r="AY264" s="31">
        <v>0</v>
      </c>
      <c r="AZ264" s="31">
        <v>0</v>
      </c>
      <c r="BA264" s="31">
        <v>0</v>
      </c>
      <c r="BB264" s="31">
        <v>0</v>
      </c>
      <c r="BC264" s="33" t="s">
        <v>25</v>
      </c>
      <c r="BD264" s="47">
        <v>31994</v>
      </c>
      <c r="BE264" s="47">
        <v>32994</v>
      </c>
      <c r="BF264" s="45">
        <f t="shared" si="122"/>
        <v>3.566918918918919</v>
      </c>
      <c r="BG264" s="30">
        <v>1016</v>
      </c>
      <c r="BH264" s="30">
        <v>1016</v>
      </c>
      <c r="BI264" s="30">
        <v>0</v>
      </c>
      <c r="BJ264" s="30">
        <v>68</v>
      </c>
      <c r="BK264" s="30">
        <v>68</v>
      </c>
      <c r="BL264" s="30">
        <v>0</v>
      </c>
      <c r="BM264" s="30">
        <v>0</v>
      </c>
      <c r="BN264" s="30">
        <v>0</v>
      </c>
      <c r="BO264" s="30">
        <v>51</v>
      </c>
      <c r="BP264" s="30">
        <v>0</v>
      </c>
      <c r="BQ264" s="30">
        <v>51</v>
      </c>
      <c r="BR264" s="47">
        <v>33078</v>
      </c>
      <c r="BS264" s="47">
        <v>34078</v>
      </c>
      <c r="BT264" s="1">
        <f t="shared" si="123"/>
        <v>3.684108108108108</v>
      </c>
      <c r="BU264" s="30">
        <v>53</v>
      </c>
      <c r="BV264" s="30">
        <v>0</v>
      </c>
      <c r="BW264" s="47">
        <v>3739</v>
      </c>
      <c r="BX264" s="52">
        <f t="shared" si="124"/>
        <v>0.40421621621621623</v>
      </c>
      <c r="BY264" s="47">
        <v>3026</v>
      </c>
      <c r="BZ264" s="47">
        <v>0</v>
      </c>
      <c r="CA264" s="47">
        <v>18202</v>
      </c>
      <c r="CB264" s="47">
        <v>0</v>
      </c>
      <c r="CC264" s="47">
        <v>21228</v>
      </c>
      <c r="CD264" s="55">
        <f t="shared" si="125"/>
        <v>2.2949189189189187</v>
      </c>
      <c r="CE264" s="3">
        <f t="shared" si="126"/>
        <v>7076</v>
      </c>
      <c r="CF264" s="55">
        <f t="shared" si="127"/>
        <v>8.7682775712515486</v>
      </c>
      <c r="CG264" s="55">
        <f t="shared" si="128"/>
        <v>0.95005370569280345</v>
      </c>
      <c r="CH264" s="55">
        <f t="shared" si="129"/>
        <v>0.6229238805094196</v>
      </c>
      <c r="CI264" s="30">
        <v>53</v>
      </c>
      <c r="CJ264" s="30">
        <v>0</v>
      </c>
      <c r="CK264" s="30">
        <v>0</v>
      </c>
      <c r="CL264" s="30">
        <v>53</v>
      </c>
      <c r="CM264" s="30">
        <v>1180</v>
      </c>
      <c r="CN264" s="30">
        <v>0</v>
      </c>
      <c r="CO264" s="30">
        <v>0</v>
      </c>
      <c r="CP264" s="30">
        <v>1180</v>
      </c>
      <c r="CQ264" s="1">
        <f t="shared" si="137"/>
        <v>0.12756756756756757</v>
      </c>
      <c r="CR264" s="47">
        <v>22344</v>
      </c>
      <c r="CS264" s="55">
        <f t="shared" si="130"/>
        <v>2.4155675675675674</v>
      </c>
      <c r="CT264" s="59">
        <v>4288</v>
      </c>
      <c r="CU264" s="29" t="s">
        <v>25</v>
      </c>
      <c r="CV264" s="29" t="s">
        <v>25</v>
      </c>
      <c r="CW264" s="29" t="s">
        <v>25</v>
      </c>
      <c r="CX264" s="35">
        <v>0</v>
      </c>
      <c r="CY264" s="49">
        <v>0</v>
      </c>
      <c r="CZ264" s="35">
        <v>1</v>
      </c>
      <c r="DA264" s="35">
        <v>2</v>
      </c>
      <c r="DB264" s="35">
        <v>3</v>
      </c>
      <c r="DC264" s="49">
        <f t="shared" si="131"/>
        <v>3083.3333333333335</v>
      </c>
      <c r="DD264" s="30">
        <v>160</v>
      </c>
      <c r="DE264" s="31">
        <v>31866</v>
      </c>
      <c r="DF264" s="35">
        <v>40</v>
      </c>
      <c r="DG264" s="29" t="s">
        <v>25</v>
      </c>
      <c r="DH264" s="29" t="s">
        <v>26</v>
      </c>
      <c r="DI264" s="29" t="s">
        <v>26</v>
      </c>
      <c r="DJ264" s="47">
        <v>0</v>
      </c>
      <c r="DK264" s="47">
        <v>0</v>
      </c>
      <c r="DL264" s="47">
        <v>12</v>
      </c>
      <c r="DM264" s="47">
        <v>5545</v>
      </c>
      <c r="DN264" s="47">
        <v>389</v>
      </c>
      <c r="DO264" s="47">
        <v>-1</v>
      </c>
      <c r="DP264" s="29" t="s">
        <v>2028</v>
      </c>
      <c r="DQ264" s="47">
        <v>0</v>
      </c>
      <c r="DR264" s="47">
        <v>2421</v>
      </c>
      <c r="DS264" s="30">
        <v>52</v>
      </c>
      <c r="DT264" s="30">
        <v>49</v>
      </c>
      <c r="DU264" s="30">
        <v>49</v>
      </c>
      <c r="DV264" s="30">
        <v>49</v>
      </c>
      <c r="DX264" s="2">
        <f t="shared" si="132"/>
        <v>2421</v>
      </c>
      <c r="DY264" s="33" t="s">
        <v>2187</v>
      </c>
      <c r="DZ264" s="33" t="s">
        <v>731</v>
      </c>
      <c r="EA264" s="33" t="s">
        <v>2030</v>
      </c>
      <c r="EB264" s="33" t="s">
        <v>2027</v>
      </c>
      <c r="EC264" s="36">
        <v>206</v>
      </c>
      <c r="ED264" s="29" t="s">
        <v>729</v>
      </c>
      <c r="EE264" s="29" t="s">
        <v>730</v>
      </c>
      <c r="EF264" s="37">
        <v>41548</v>
      </c>
      <c r="EG264" s="37">
        <v>41912</v>
      </c>
      <c r="EH264" s="29" t="s">
        <v>729</v>
      </c>
      <c r="EI264" s="55">
        <f t="shared" si="133"/>
        <v>0.32713513513513515</v>
      </c>
      <c r="EJ264" s="54">
        <f t="shared" si="134"/>
        <v>0</v>
      </c>
      <c r="EK264" s="55">
        <f t="shared" si="135"/>
        <v>1.9677837837837837</v>
      </c>
      <c r="EL264" s="54">
        <f t="shared" si="136"/>
        <v>0</v>
      </c>
    </row>
    <row r="265" spans="1:142" ht="28.8" x14ac:dyDescent="0.3">
      <c r="A265" s="29" t="s">
        <v>732</v>
      </c>
      <c r="B265" s="29"/>
      <c r="C265" s="30">
        <v>4481</v>
      </c>
      <c r="D265" s="30">
        <v>0</v>
      </c>
      <c r="E265" s="30">
        <v>0</v>
      </c>
      <c r="F265" s="30">
        <v>5146</v>
      </c>
      <c r="H265" s="2">
        <f t="shared" si="112"/>
        <v>5146</v>
      </c>
      <c r="I265" s="1">
        <f t="shared" si="111"/>
        <v>1.1484043740236554</v>
      </c>
      <c r="J265" s="31">
        <v>62274</v>
      </c>
      <c r="K265" s="31">
        <v>11041</v>
      </c>
      <c r="L265" s="31">
        <v>73315</v>
      </c>
      <c r="M265" s="45">
        <f t="shared" si="113"/>
        <v>16.361303280517742</v>
      </c>
      <c r="N265" s="31">
        <v>19659</v>
      </c>
      <c r="O265" s="31">
        <v>1500</v>
      </c>
      <c r="P265" s="31">
        <v>3890</v>
      </c>
      <c r="Q265" s="31">
        <v>25049</v>
      </c>
      <c r="R265" s="45">
        <f t="shared" si="114"/>
        <v>5.5900468645391657</v>
      </c>
      <c r="S265" s="31">
        <v>26561</v>
      </c>
      <c r="T265" s="31">
        <v>124925</v>
      </c>
      <c r="U265" s="31">
        <v>2192</v>
      </c>
      <c r="V265" s="31">
        <v>127117</v>
      </c>
      <c r="W265" s="45">
        <f t="shared" si="115"/>
        <v>28.367998214684221</v>
      </c>
      <c r="X265" s="4">
        <f t="shared" si="116"/>
        <v>0.57675212599416281</v>
      </c>
      <c r="Y265" s="4">
        <f t="shared" si="117"/>
        <v>0.19705468190721934</v>
      </c>
      <c r="Z265" s="4">
        <f t="shared" si="118"/>
        <v>0.20894923574344895</v>
      </c>
      <c r="AA265" s="4">
        <f t="shared" si="119"/>
        <v>1.7243956355168861E-2</v>
      </c>
      <c r="AB265" s="31">
        <v>0</v>
      </c>
      <c r="AC265" s="31">
        <v>25049</v>
      </c>
      <c r="AD265" s="31">
        <v>127117</v>
      </c>
      <c r="AE265" s="31">
        <v>104404</v>
      </c>
      <c r="AF265" s="31">
        <v>5400</v>
      </c>
      <c r="AG265" s="31">
        <v>99004</v>
      </c>
      <c r="AH265" s="31">
        <v>0</v>
      </c>
      <c r="AI265" s="31">
        <v>104404</v>
      </c>
      <c r="AJ265" s="45">
        <f t="shared" si="120"/>
        <v>23.299263557241687</v>
      </c>
      <c r="AK265" s="31">
        <v>0</v>
      </c>
      <c r="AL265" s="31">
        <v>0</v>
      </c>
      <c r="AM265" s="31">
        <v>0</v>
      </c>
      <c r="AN265" s="31">
        <v>0</v>
      </c>
      <c r="AO265" s="31">
        <v>1000</v>
      </c>
      <c r="AP265" s="31">
        <v>30747</v>
      </c>
      <c r="AQ265" s="31">
        <v>31747</v>
      </c>
      <c r="AR265" s="31">
        <v>136151</v>
      </c>
      <c r="AS265" s="46">
        <f t="shared" si="121"/>
        <v>30.384066056683775</v>
      </c>
      <c r="AT265" s="31">
        <v>0</v>
      </c>
      <c r="AU265" s="31">
        <v>0</v>
      </c>
      <c r="AV265" s="31">
        <v>0</v>
      </c>
      <c r="AW265" s="31">
        <v>0</v>
      </c>
      <c r="AX265" s="31">
        <v>0</v>
      </c>
      <c r="AY265" s="31">
        <v>0</v>
      </c>
      <c r="AZ265" s="31">
        <v>0</v>
      </c>
      <c r="BA265" s="31">
        <v>0</v>
      </c>
      <c r="BB265" s="31">
        <v>0</v>
      </c>
      <c r="BC265" s="33" t="s">
        <v>25</v>
      </c>
      <c r="BD265" s="47">
        <v>19759</v>
      </c>
      <c r="BE265" s="47">
        <v>20304</v>
      </c>
      <c r="BF265" s="45">
        <f t="shared" si="122"/>
        <v>4.531131443874135</v>
      </c>
      <c r="BG265" s="30">
        <v>1047</v>
      </c>
      <c r="BH265" s="30">
        <v>1061</v>
      </c>
      <c r="BI265" s="30">
        <v>0</v>
      </c>
      <c r="BJ265" s="30">
        <v>1367</v>
      </c>
      <c r="BK265" s="30">
        <v>1392</v>
      </c>
      <c r="BL265" s="30">
        <v>0</v>
      </c>
      <c r="BM265" s="30">
        <v>6162</v>
      </c>
      <c r="BN265" s="30">
        <v>6</v>
      </c>
      <c r="BO265" s="30">
        <v>0</v>
      </c>
      <c r="BP265" s="30">
        <v>0</v>
      </c>
      <c r="BQ265" s="30">
        <v>6</v>
      </c>
      <c r="BR265" s="47">
        <v>22173</v>
      </c>
      <c r="BS265" s="47">
        <v>28925</v>
      </c>
      <c r="BT265" s="1">
        <f t="shared" si="123"/>
        <v>6.455032358848471</v>
      </c>
      <c r="BU265" s="30">
        <v>49</v>
      </c>
      <c r="BV265" s="30">
        <v>2</v>
      </c>
      <c r="BW265" s="47">
        <v>143</v>
      </c>
      <c r="BX265" s="52">
        <f t="shared" si="124"/>
        <v>3.1912519526891316E-2</v>
      </c>
      <c r="BY265" s="47">
        <v>2069</v>
      </c>
      <c r="BZ265" s="47">
        <v>0</v>
      </c>
      <c r="CA265" s="47">
        <v>15492</v>
      </c>
      <c r="CB265" s="47">
        <v>1044</v>
      </c>
      <c r="CC265" s="47">
        <v>18605</v>
      </c>
      <c r="CD265" s="55">
        <f t="shared" si="125"/>
        <v>4.1519750055791116</v>
      </c>
      <c r="CE265" s="3">
        <f t="shared" si="126"/>
        <v>6201.666666666667</v>
      </c>
      <c r="CF265" s="55">
        <f t="shared" si="127"/>
        <v>8.4033423667570002</v>
      </c>
      <c r="CG265" s="55">
        <f t="shared" si="128"/>
        <v>0.87908712908712905</v>
      </c>
      <c r="CH265" s="55">
        <f t="shared" si="129"/>
        <v>0.60712186689714776</v>
      </c>
      <c r="CI265" s="30">
        <v>36</v>
      </c>
      <c r="CJ265" s="30">
        <v>5</v>
      </c>
      <c r="CK265" s="30">
        <v>9</v>
      </c>
      <c r="CL265" s="30">
        <v>50</v>
      </c>
      <c r="CM265" s="30">
        <v>608</v>
      </c>
      <c r="CN265" s="30">
        <v>132</v>
      </c>
      <c r="CO265" s="30">
        <v>459</v>
      </c>
      <c r="CP265" s="30">
        <v>1199</v>
      </c>
      <c r="CQ265" s="1">
        <f t="shared" si="137"/>
        <v>0.26757420218701183</v>
      </c>
      <c r="CR265" s="47">
        <v>21164</v>
      </c>
      <c r="CS265" s="55">
        <f t="shared" si="130"/>
        <v>4.7230528899799156</v>
      </c>
      <c r="CT265" s="59">
        <v>3764</v>
      </c>
      <c r="CU265" s="29" t="s">
        <v>25</v>
      </c>
      <c r="CV265" s="29" t="s">
        <v>25</v>
      </c>
      <c r="CW265" s="29" t="s">
        <v>25</v>
      </c>
      <c r="CX265" s="35">
        <v>0</v>
      </c>
      <c r="CY265" s="49">
        <v>0</v>
      </c>
      <c r="CZ265" s="35">
        <v>2</v>
      </c>
      <c r="DA265" s="35">
        <v>1</v>
      </c>
      <c r="DB265" s="35">
        <v>3</v>
      </c>
      <c r="DC265" s="49">
        <f t="shared" si="131"/>
        <v>1493.6666666666667</v>
      </c>
      <c r="DD265" s="30">
        <v>171</v>
      </c>
      <c r="DE265" s="31">
        <v>34040</v>
      </c>
      <c r="DF265" s="35">
        <v>40</v>
      </c>
      <c r="DG265" s="29" t="s">
        <v>25</v>
      </c>
      <c r="DH265" s="29" t="s">
        <v>25</v>
      </c>
      <c r="DI265" s="29" t="s">
        <v>25</v>
      </c>
      <c r="DJ265" s="47">
        <v>1</v>
      </c>
      <c r="DK265" s="47">
        <v>0</v>
      </c>
      <c r="DL265" s="47">
        <v>18</v>
      </c>
      <c r="DM265" s="47">
        <v>6521</v>
      </c>
      <c r="DN265" s="47">
        <v>14</v>
      </c>
      <c r="DO265" s="47">
        <v>451</v>
      </c>
      <c r="DP265" s="29" t="s">
        <v>2028</v>
      </c>
      <c r="DQ265" s="47">
        <v>0</v>
      </c>
      <c r="DR265" s="47">
        <v>2214</v>
      </c>
      <c r="DS265" s="30">
        <v>52</v>
      </c>
      <c r="DT265" s="30">
        <v>42</v>
      </c>
      <c r="DU265" s="30">
        <v>42</v>
      </c>
      <c r="DV265" s="30">
        <v>42</v>
      </c>
      <c r="DX265" s="2">
        <f t="shared" si="132"/>
        <v>2214</v>
      </c>
      <c r="DY265" s="33" t="s">
        <v>2179</v>
      </c>
      <c r="DZ265" s="33" t="s">
        <v>735</v>
      </c>
      <c r="EA265" s="33" t="s">
        <v>2031</v>
      </c>
      <c r="EB265" s="33" t="s">
        <v>2027</v>
      </c>
      <c r="EC265" s="36">
        <v>207</v>
      </c>
      <c r="ED265" s="29" t="s">
        <v>733</v>
      </c>
      <c r="EE265" s="29" t="s">
        <v>734</v>
      </c>
      <c r="EF265" s="37">
        <v>41640</v>
      </c>
      <c r="EG265" s="37">
        <v>42004</v>
      </c>
      <c r="EH265" s="29" t="s">
        <v>733</v>
      </c>
      <c r="EI265" s="55">
        <f t="shared" si="133"/>
        <v>0.46172729301495202</v>
      </c>
      <c r="EJ265" s="54">
        <f t="shared" si="134"/>
        <v>0</v>
      </c>
      <c r="EK265" s="55">
        <f t="shared" si="135"/>
        <v>3.4572640035706317</v>
      </c>
      <c r="EL265" s="54">
        <f t="shared" si="136"/>
        <v>0.23298370899352824</v>
      </c>
    </row>
    <row r="266" spans="1:142" ht="28.8" x14ac:dyDescent="0.3">
      <c r="A266" s="29" t="s">
        <v>1540</v>
      </c>
      <c r="B266" s="29"/>
      <c r="C266" s="30">
        <v>4290</v>
      </c>
      <c r="D266" s="30">
        <v>0</v>
      </c>
      <c r="E266" s="30">
        <v>0</v>
      </c>
      <c r="F266" s="30">
        <v>2328</v>
      </c>
      <c r="H266" s="2">
        <f t="shared" si="112"/>
        <v>2328</v>
      </c>
      <c r="I266" s="1">
        <f t="shared" si="111"/>
        <v>0.54265734265734267</v>
      </c>
      <c r="J266" s="31">
        <v>26811</v>
      </c>
      <c r="K266" s="31">
        <v>4046</v>
      </c>
      <c r="L266" s="31">
        <v>30857</v>
      </c>
      <c r="M266" s="45">
        <f t="shared" si="113"/>
        <v>7.1927738927738929</v>
      </c>
      <c r="N266" s="31">
        <v>510</v>
      </c>
      <c r="O266" s="31">
        <v>0</v>
      </c>
      <c r="P266" s="31">
        <v>150</v>
      </c>
      <c r="Q266" s="31">
        <v>660</v>
      </c>
      <c r="R266" s="45">
        <f t="shared" si="114"/>
        <v>0.15384615384615385</v>
      </c>
      <c r="S266" s="31">
        <v>5495</v>
      </c>
      <c r="T266" s="31">
        <v>37012</v>
      </c>
      <c r="U266" s="31">
        <v>13738</v>
      </c>
      <c r="V266" s="31">
        <v>50750</v>
      </c>
      <c r="W266" s="45">
        <f t="shared" si="115"/>
        <v>11.829836829836831</v>
      </c>
      <c r="X266" s="4">
        <f t="shared" si="116"/>
        <v>0.60801970443349751</v>
      </c>
      <c r="Y266" s="4">
        <f t="shared" si="117"/>
        <v>1.3004926108374384E-2</v>
      </c>
      <c r="Z266" s="4">
        <f t="shared" si="118"/>
        <v>0.10827586206896551</v>
      </c>
      <c r="AA266" s="4">
        <f t="shared" si="119"/>
        <v>0.27069950738916254</v>
      </c>
      <c r="AB266" s="31">
        <v>0</v>
      </c>
      <c r="AC266" s="31">
        <v>660</v>
      </c>
      <c r="AD266" s="31">
        <v>50750</v>
      </c>
      <c r="AE266" s="31">
        <v>50750</v>
      </c>
      <c r="AF266" s="31">
        <v>43183</v>
      </c>
      <c r="AG266" s="31">
        <v>12330</v>
      </c>
      <c r="AH266" s="31">
        <v>0</v>
      </c>
      <c r="AI266" s="31">
        <v>55513</v>
      </c>
      <c r="AJ266" s="45">
        <f t="shared" si="120"/>
        <v>12.94009324009324</v>
      </c>
      <c r="AK266" s="31">
        <v>0</v>
      </c>
      <c r="AL266" s="31">
        <v>0</v>
      </c>
      <c r="AM266" s="31">
        <v>0</v>
      </c>
      <c r="AN266" s="31">
        <v>0</v>
      </c>
      <c r="AO266" s="31">
        <v>0</v>
      </c>
      <c r="AP266" s="31">
        <v>1788</v>
      </c>
      <c r="AQ266" s="31">
        <v>1788</v>
      </c>
      <c r="AR266" s="31">
        <v>57301</v>
      </c>
      <c r="AS266" s="46">
        <f t="shared" si="121"/>
        <v>13.356876456876456</v>
      </c>
      <c r="AT266" s="31">
        <v>0</v>
      </c>
      <c r="AU266" s="31">
        <v>0</v>
      </c>
      <c r="AV266" s="31">
        <v>0</v>
      </c>
      <c r="AW266" s="31">
        <v>0</v>
      </c>
      <c r="AX266" s="31">
        <v>0</v>
      </c>
      <c r="AY266" s="31">
        <v>0</v>
      </c>
      <c r="AZ266" s="31">
        <v>0</v>
      </c>
      <c r="BA266" s="31">
        <v>0</v>
      </c>
      <c r="BB266" s="31">
        <v>0</v>
      </c>
      <c r="BC266" s="33" t="s">
        <v>25</v>
      </c>
      <c r="BD266" s="47">
        <v>16325</v>
      </c>
      <c r="BE266" s="47">
        <v>16554</v>
      </c>
      <c r="BF266" s="45">
        <f t="shared" si="122"/>
        <v>3.8587412587412588</v>
      </c>
      <c r="BG266" s="30">
        <v>312</v>
      </c>
      <c r="BH266" s="30">
        <v>324</v>
      </c>
      <c r="BI266" s="30">
        <v>0</v>
      </c>
      <c r="BJ266" s="30">
        <v>2239</v>
      </c>
      <c r="BK266" s="30">
        <v>2295</v>
      </c>
      <c r="BL266" s="30">
        <v>0</v>
      </c>
      <c r="BM266" s="30">
        <v>0</v>
      </c>
      <c r="BN266" s="30">
        <v>1</v>
      </c>
      <c r="BO266" s="30">
        <v>51</v>
      </c>
      <c r="BP266" s="30">
        <v>0</v>
      </c>
      <c r="BQ266" s="30">
        <v>52</v>
      </c>
      <c r="BR266" s="47">
        <v>18876</v>
      </c>
      <c r="BS266" s="47">
        <v>19174</v>
      </c>
      <c r="BT266" s="1">
        <f t="shared" si="123"/>
        <v>4.4694638694638691</v>
      </c>
      <c r="BU266" s="30">
        <v>3</v>
      </c>
      <c r="BV266" s="30">
        <v>2</v>
      </c>
      <c r="BW266" s="47">
        <v>662</v>
      </c>
      <c r="BX266" s="52">
        <f t="shared" si="124"/>
        <v>0.15431235431235432</v>
      </c>
      <c r="BY266" s="47">
        <v>2837</v>
      </c>
      <c r="BZ266" s="47">
        <v>0</v>
      </c>
      <c r="CA266" s="47">
        <v>8570</v>
      </c>
      <c r="CB266" s="47">
        <v>0</v>
      </c>
      <c r="CC266" s="47">
        <v>11407</v>
      </c>
      <c r="CD266" s="55">
        <f t="shared" si="125"/>
        <v>2.6589743589743589</v>
      </c>
      <c r="CE266" s="3">
        <f t="shared" si="126"/>
        <v>5703.5</v>
      </c>
      <c r="CF266" s="55">
        <f t="shared" si="127"/>
        <v>14.276595744680851</v>
      </c>
      <c r="CG266" s="55">
        <f t="shared" si="128"/>
        <v>1.9419475655430711</v>
      </c>
      <c r="CH266" s="55">
        <f t="shared" si="129"/>
        <v>0.59492020444351723</v>
      </c>
      <c r="CI266" s="30">
        <v>23</v>
      </c>
      <c r="CJ266" s="30">
        <v>13</v>
      </c>
      <c r="CK266" s="30">
        <v>0</v>
      </c>
      <c r="CL266" s="30">
        <v>36</v>
      </c>
      <c r="CM266" s="30">
        <v>314</v>
      </c>
      <c r="CN266" s="30">
        <v>81</v>
      </c>
      <c r="CO266" s="30">
        <v>0</v>
      </c>
      <c r="CP266" s="30">
        <v>395</v>
      </c>
      <c r="CQ266" s="1">
        <f t="shared" si="137"/>
        <v>9.2074592074592079E-2</v>
      </c>
      <c r="CR266" s="47">
        <v>5874</v>
      </c>
      <c r="CS266" s="55">
        <f t="shared" si="130"/>
        <v>1.3692307692307693</v>
      </c>
      <c r="CT266" s="59">
        <v>2003</v>
      </c>
      <c r="CU266" s="29" t="s">
        <v>25</v>
      </c>
      <c r="CV266" s="29" t="s">
        <v>25</v>
      </c>
      <c r="CW266" s="29" t="s">
        <v>25</v>
      </c>
      <c r="CX266" s="35">
        <v>0</v>
      </c>
      <c r="CY266" s="49">
        <v>0</v>
      </c>
      <c r="CZ266" s="35">
        <v>1</v>
      </c>
      <c r="DA266" s="35">
        <v>1</v>
      </c>
      <c r="DB266" s="35">
        <v>2</v>
      </c>
      <c r="DC266" s="49">
        <f t="shared" si="131"/>
        <v>2145</v>
      </c>
      <c r="DD266" s="30">
        <v>64</v>
      </c>
      <c r="DE266" s="31">
        <v>21700</v>
      </c>
      <c r="DF266" s="35">
        <v>40</v>
      </c>
      <c r="DG266" s="29" t="s">
        <v>25</v>
      </c>
      <c r="DH266" s="29" t="s">
        <v>25</v>
      </c>
      <c r="DI266" s="29" t="s">
        <v>25</v>
      </c>
      <c r="DJ266" s="47">
        <v>358</v>
      </c>
      <c r="DK266" s="47">
        <v>234</v>
      </c>
      <c r="DL266" s="47">
        <v>5</v>
      </c>
      <c r="DM266" s="47">
        <v>181</v>
      </c>
      <c r="DN266" s="47">
        <v>81</v>
      </c>
      <c r="DO266" s="47">
        <v>15</v>
      </c>
      <c r="DP266" s="29" t="s">
        <v>25</v>
      </c>
      <c r="DQ266" s="47">
        <v>235</v>
      </c>
      <c r="DR266" s="47">
        <v>799</v>
      </c>
      <c r="DS266" s="30">
        <v>26</v>
      </c>
      <c r="DT266" s="30">
        <v>40</v>
      </c>
      <c r="DU266" s="30">
        <v>40</v>
      </c>
      <c r="DV266" s="30">
        <v>40</v>
      </c>
      <c r="DX266" s="2">
        <f t="shared" si="132"/>
        <v>799</v>
      </c>
      <c r="DY266" s="33" t="s">
        <v>2181</v>
      </c>
      <c r="DZ266" s="33" t="s">
        <v>1542</v>
      </c>
      <c r="EA266" s="33" t="s">
        <v>2030</v>
      </c>
      <c r="EB266" s="33" t="s">
        <v>2027</v>
      </c>
      <c r="EC266" s="36">
        <v>498</v>
      </c>
      <c r="ED266" s="29" t="s">
        <v>1541</v>
      </c>
      <c r="EE266" s="29" t="s">
        <v>424</v>
      </c>
      <c r="EF266" s="37">
        <v>41548</v>
      </c>
      <c r="EG266" s="37">
        <v>41912</v>
      </c>
      <c r="EH266" s="29" t="s">
        <v>1541</v>
      </c>
      <c r="EI266" s="55">
        <f t="shared" si="133"/>
        <v>0.66130536130536133</v>
      </c>
      <c r="EJ266" s="54">
        <f t="shared" si="134"/>
        <v>0</v>
      </c>
      <c r="EK266" s="55">
        <f t="shared" si="135"/>
        <v>1.9976689976689976</v>
      </c>
      <c r="EL266" s="54">
        <f t="shared" si="136"/>
        <v>0</v>
      </c>
    </row>
    <row r="267" spans="1:142" ht="28.8" x14ac:dyDescent="0.3">
      <c r="A267" s="29" t="s">
        <v>1553</v>
      </c>
      <c r="B267" s="29"/>
      <c r="C267" s="30">
        <v>5813</v>
      </c>
      <c r="D267" s="30">
        <v>0</v>
      </c>
      <c r="E267" s="30">
        <v>0</v>
      </c>
      <c r="F267" s="30">
        <v>4300</v>
      </c>
      <c r="H267" s="2">
        <f t="shared" si="112"/>
        <v>4300</v>
      </c>
      <c r="I267" s="1">
        <f t="shared" si="111"/>
        <v>0.73972131429554444</v>
      </c>
      <c r="J267" s="31">
        <v>56480</v>
      </c>
      <c r="K267" s="31">
        <v>23001</v>
      </c>
      <c r="L267" s="31">
        <v>79481</v>
      </c>
      <c r="M267" s="45">
        <f t="shared" si="113"/>
        <v>13.672974367796318</v>
      </c>
      <c r="N267" s="31">
        <v>27578</v>
      </c>
      <c r="O267" s="31">
        <v>0</v>
      </c>
      <c r="P267" s="31">
        <v>1230</v>
      </c>
      <c r="Q267" s="31">
        <v>28808</v>
      </c>
      <c r="R267" s="45">
        <f t="shared" si="114"/>
        <v>4.9557887493548938</v>
      </c>
      <c r="S267" s="31">
        <v>16505</v>
      </c>
      <c r="T267" s="31">
        <v>124794</v>
      </c>
      <c r="U267" s="31">
        <v>0</v>
      </c>
      <c r="V267" s="31">
        <v>124794</v>
      </c>
      <c r="W267" s="45">
        <f t="shared" si="115"/>
        <v>21.468088766557717</v>
      </c>
      <c r="X267" s="4">
        <f t="shared" si="116"/>
        <v>0.63689760725675915</v>
      </c>
      <c r="Y267" s="4">
        <f t="shared" si="117"/>
        <v>0.23084443162331522</v>
      </c>
      <c r="Z267" s="4">
        <f t="shared" si="118"/>
        <v>0.13225796111992563</v>
      </c>
      <c r="AA267" s="4">
        <f t="shared" si="119"/>
        <v>0</v>
      </c>
      <c r="AB267" s="31">
        <v>0</v>
      </c>
      <c r="AC267" s="31">
        <v>28808</v>
      </c>
      <c r="AD267" s="31">
        <v>124794</v>
      </c>
      <c r="AE267" s="31">
        <v>98361</v>
      </c>
      <c r="AF267" s="31">
        <v>0</v>
      </c>
      <c r="AG267" s="31">
        <v>107415</v>
      </c>
      <c r="AH267" s="31">
        <v>0</v>
      </c>
      <c r="AI267" s="31">
        <v>107415</v>
      </c>
      <c r="AJ267" s="45">
        <f t="shared" si="120"/>
        <v>18.478410459315327</v>
      </c>
      <c r="AK267" s="31">
        <v>0</v>
      </c>
      <c r="AL267" s="31">
        <v>0</v>
      </c>
      <c r="AM267" s="31">
        <v>0</v>
      </c>
      <c r="AN267" s="31">
        <v>0</v>
      </c>
      <c r="AO267" s="31">
        <v>0</v>
      </c>
      <c r="AP267" s="31">
        <v>12240</v>
      </c>
      <c r="AQ267" s="31">
        <v>12240</v>
      </c>
      <c r="AR267" s="31">
        <v>119655</v>
      </c>
      <c r="AS267" s="46">
        <f t="shared" si="121"/>
        <v>20.584035781868227</v>
      </c>
      <c r="AT267" s="31">
        <v>0</v>
      </c>
      <c r="AU267" s="31">
        <v>0</v>
      </c>
      <c r="AV267" s="31">
        <v>0</v>
      </c>
      <c r="AW267" s="31">
        <v>0</v>
      </c>
      <c r="AX267" s="31">
        <v>0</v>
      </c>
      <c r="AY267" s="31">
        <v>0</v>
      </c>
      <c r="AZ267" s="31">
        <v>0</v>
      </c>
      <c r="BA267" s="31">
        <v>0</v>
      </c>
      <c r="BB267" s="31">
        <v>0</v>
      </c>
      <c r="BC267" s="33" t="s">
        <v>25</v>
      </c>
      <c r="BD267" s="47">
        <v>19376</v>
      </c>
      <c r="BE267" s="47">
        <v>19441</v>
      </c>
      <c r="BF267" s="45">
        <f t="shared" si="122"/>
        <v>3.3444004816789952</v>
      </c>
      <c r="BG267" s="30">
        <v>129</v>
      </c>
      <c r="BH267" s="30">
        <v>129</v>
      </c>
      <c r="BI267" s="30">
        <v>0</v>
      </c>
      <c r="BJ267" s="30">
        <v>1287</v>
      </c>
      <c r="BK267" s="30">
        <v>1288</v>
      </c>
      <c r="BL267" s="30">
        <v>0</v>
      </c>
      <c r="BM267" s="30">
        <v>0</v>
      </c>
      <c r="BN267" s="30">
        <v>0</v>
      </c>
      <c r="BO267" s="30">
        <v>51</v>
      </c>
      <c r="BP267" s="30">
        <v>0</v>
      </c>
      <c r="BQ267" s="30">
        <v>51</v>
      </c>
      <c r="BR267" s="47">
        <v>20792</v>
      </c>
      <c r="BS267" s="47">
        <v>20858</v>
      </c>
      <c r="BT267" s="1">
        <f t="shared" si="123"/>
        <v>3.5881644589712711</v>
      </c>
      <c r="BU267" s="30">
        <v>41</v>
      </c>
      <c r="BV267" s="30">
        <v>0</v>
      </c>
      <c r="BW267" s="47">
        <v>2260</v>
      </c>
      <c r="BX267" s="52">
        <f t="shared" si="124"/>
        <v>0.38878376053672803</v>
      </c>
      <c r="BY267" s="47">
        <v>16464</v>
      </c>
      <c r="BZ267" s="47">
        <v>0</v>
      </c>
      <c r="CA267" s="47">
        <v>9131</v>
      </c>
      <c r="CB267" s="47">
        <v>0</v>
      </c>
      <c r="CC267" s="47">
        <v>25595</v>
      </c>
      <c r="CD267" s="55">
        <f t="shared" si="125"/>
        <v>4.4030621021847587</v>
      </c>
      <c r="CE267" s="3">
        <f t="shared" si="126"/>
        <v>12797.5</v>
      </c>
      <c r="CF267" s="55">
        <f t="shared" si="127"/>
        <v>12.358763882182521</v>
      </c>
      <c r="CG267" s="55">
        <f t="shared" si="128"/>
        <v>1.2863748303764386</v>
      </c>
      <c r="CH267" s="55">
        <f t="shared" si="129"/>
        <v>1.227107105187458</v>
      </c>
      <c r="CI267" s="30">
        <v>19</v>
      </c>
      <c r="CJ267" s="30">
        <v>0</v>
      </c>
      <c r="CK267" s="30">
        <v>0</v>
      </c>
      <c r="CL267" s="30">
        <v>19</v>
      </c>
      <c r="CM267" s="30">
        <v>1257</v>
      </c>
      <c r="CN267" s="30">
        <v>0</v>
      </c>
      <c r="CO267" s="30">
        <v>0</v>
      </c>
      <c r="CP267" s="30">
        <v>1257</v>
      </c>
      <c r="CQ267" s="1">
        <f t="shared" si="137"/>
        <v>0.2162394632719766</v>
      </c>
      <c r="CR267" s="47">
        <v>19897</v>
      </c>
      <c r="CS267" s="55">
        <f t="shared" si="130"/>
        <v>3.4228453466368483</v>
      </c>
      <c r="CT267" s="59">
        <v>1390</v>
      </c>
      <c r="CU267" s="29" t="s">
        <v>25</v>
      </c>
      <c r="CV267" s="29" t="s">
        <v>25</v>
      </c>
      <c r="CW267" s="29" t="s">
        <v>25</v>
      </c>
      <c r="CX267" s="35">
        <v>0</v>
      </c>
      <c r="CY267" s="49">
        <v>0</v>
      </c>
      <c r="CZ267" s="35">
        <v>1</v>
      </c>
      <c r="DA267" s="35">
        <v>1</v>
      </c>
      <c r="DB267" s="35">
        <v>2</v>
      </c>
      <c r="DC267" s="49">
        <f t="shared" si="131"/>
        <v>2906.5</v>
      </c>
      <c r="DD267" s="30">
        <v>51</v>
      </c>
      <c r="DE267" s="31">
        <v>30705</v>
      </c>
      <c r="DF267" s="35">
        <v>40</v>
      </c>
      <c r="DG267" s="29" t="s">
        <v>25</v>
      </c>
      <c r="DH267" s="29" t="s">
        <v>25</v>
      </c>
      <c r="DI267" s="29" t="s">
        <v>25</v>
      </c>
      <c r="DJ267" s="47">
        <v>64</v>
      </c>
      <c r="DK267" s="47">
        <v>67</v>
      </c>
      <c r="DL267" s="47">
        <v>6</v>
      </c>
      <c r="DM267" s="47">
        <v>4991</v>
      </c>
      <c r="DN267" s="47">
        <v>1448</v>
      </c>
      <c r="DO267" s="47">
        <v>1239</v>
      </c>
      <c r="DP267" s="29" t="s">
        <v>2028</v>
      </c>
      <c r="DQ267" s="47">
        <v>0</v>
      </c>
      <c r="DR267" s="47">
        <v>2071</v>
      </c>
      <c r="DS267" s="30">
        <v>52</v>
      </c>
      <c r="DT267" s="30">
        <v>43</v>
      </c>
      <c r="DU267" s="30">
        <v>43</v>
      </c>
      <c r="DV267" s="30">
        <v>43</v>
      </c>
      <c r="DX267" s="2">
        <f t="shared" si="132"/>
        <v>2071</v>
      </c>
      <c r="DY267" s="33" t="s">
        <v>2187</v>
      </c>
      <c r="DZ267" s="33" t="s">
        <v>1554</v>
      </c>
      <c r="EA267" s="33" t="s">
        <v>2030</v>
      </c>
      <c r="EB267" s="33" t="s">
        <v>2027</v>
      </c>
      <c r="EC267" s="36">
        <v>506</v>
      </c>
      <c r="ED267" s="29" t="s">
        <v>1552</v>
      </c>
      <c r="EE267" s="29" t="s">
        <v>748</v>
      </c>
      <c r="EF267" s="37">
        <v>41548</v>
      </c>
      <c r="EG267" s="37">
        <v>41912</v>
      </c>
      <c r="EH267" s="29" t="s">
        <v>1552</v>
      </c>
      <c r="EI267" s="55">
        <f t="shared" si="133"/>
        <v>2.832272492688801</v>
      </c>
      <c r="EJ267" s="54">
        <f t="shared" si="134"/>
        <v>0</v>
      </c>
      <c r="EK267" s="55">
        <f t="shared" si="135"/>
        <v>1.5707896094959573</v>
      </c>
      <c r="EL267" s="54">
        <f t="shared" si="136"/>
        <v>0</v>
      </c>
    </row>
    <row r="268" spans="1:142" ht="28.8" x14ac:dyDescent="0.3">
      <c r="A268" s="29" t="s">
        <v>736</v>
      </c>
      <c r="B268" s="29"/>
      <c r="C268" s="30">
        <v>19630</v>
      </c>
      <c r="D268" s="30">
        <v>0</v>
      </c>
      <c r="E268" s="30">
        <v>0</v>
      </c>
      <c r="F268" s="30">
        <v>9500</v>
      </c>
      <c r="H268" s="2">
        <f t="shared" si="112"/>
        <v>9500</v>
      </c>
      <c r="I268" s="1">
        <f t="shared" si="111"/>
        <v>0.48395313295975545</v>
      </c>
      <c r="J268" s="31">
        <v>130538</v>
      </c>
      <c r="K268" s="31">
        <v>42632</v>
      </c>
      <c r="L268" s="31">
        <v>173170</v>
      </c>
      <c r="M268" s="45">
        <f t="shared" si="113"/>
        <v>8.8217014773306168</v>
      </c>
      <c r="N268" s="31">
        <v>23145</v>
      </c>
      <c r="O268" s="31">
        <v>3000</v>
      </c>
      <c r="P268" s="31">
        <v>4674</v>
      </c>
      <c r="Q268" s="31">
        <v>30819</v>
      </c>
      <c r="R268" s="45">
        <f t="shared" si="114"/>
        <v>1.5699949057564953</v>
      </c>
      <c r="S268" s="31">
        <v>45727</v>
      </c>
      <c r="T268" s="31">
        <v>249716</v>
      </c>
      <c r="U268" s="31">
        <v>0</v>
      </c>
      <c r="V268" s="31">
        <v>249716</v>
      </c>
      <c r="W268" s="45">
        <f t="shared" si="115"/>
        <v>12.721141110545084</v>
      </c>
      <c r="X268" s="4">
        <f t="shared" si="116"/>
        <v>0.69346777939739546</v>
      </c>
      <c r="Y268" s="4">
        <f t="shared" si="117"/>
        <v>0.12341620080411347</v>
      </c>
      <c r="Z268" s="4">
        <f t="shared" si="118"/>
        <v>0.1831160197984911</v>
      </c>
      <c r="AA268" s="4">
        <f t="shared" si="119"/>
        <v>0</v>
      </c>
      <c r="AB268" s="31">
        <v>0</v>
      </c>
      <c r="AC268" s="31">
        <v>30819</v>
      </c>
      <c r="AD268" s="31">
        <v>249716</v>
      </c>
      <c r="AE268" s="31">
        <v>245972</v>
      </c>
      <c r="AF268" s="31">
        <v>15000</v>
      </c>
      <c r="AG268" s="31">
        <v>234776</v>
      </c>
      <c r="AH268" s="31">
        <v>0</v>
      </c>
      <c r="AI268" s="31">
        <v>249776</v>
      </c>
      <c r="AJ268" s="45">
        <f t="shared" si="120"/>
        <v>12.724197656647988</v>
      </c>
      <c r="AK268" s="31">
        <v>0</v>
      </c>
      <c r="AL268" s="31">
        <v>0</v>
      </c>
      <c r="AM268" s="31">
        <v>0</v>
      </c>
      <c r="AN268" s="31">
        <v>0</v>
      </c>
      <c r="AO268" s="31">
        <v>0</v>
      </c>
      <c r="AP268" s="31">
        <v>3744</v>
      </c>
      <c r="AQ268" s="31">
        <v>3744</v>
      </c>
      <c r="AR268" s="31">
        <v>253520</v>
      </c>
      <c r="AS268" s="46">
        <f t="shared" si="121"/>
        <v>12.91492613346918</v>
      </c>
      <c r="AT268" s="31">
        <v>0</v>
      </c>
      <c r="AU268" s="31">
        <v>0</v>
      </c>
      <c r="AV268" s="31">
        <v>0</v>
      </c>
      <c r="AW268" s="31">
        <v>0</v>
      </c>
      <c r="AX268" s="31">
        <v>0</v>
      </c>
      <c r="AY268" s="31">
        <v>0</v>
      </c>
      <c r="AZ268" s="31">
        <v>0</v>
      </c>
      <c r="BA268" s="31">
        <v>0</v>
      </c>
      <c r="BB268" s="31">
        <v>0</v>
      </c>
      <c r="BC268" s="33" t="s">
        <v>25</v>
      </c>
      <c r="BD268" s="47">
        <v>32877</v>
      </c>
      <c r="BE268" s="47">
        <v>34891</v>
      </c>
      <c r="BF268" s="45">
        <f t="shared" si="122"/>
        <v>1.7774325012735608</v>
      </c>
      <c r="BG268" s="30">
        <v>532</v>
      </c>
      <c r="BH268" s="30">
        <v>5266</v>
      </c>
      <c r="BI268" s="30">
        <v>1478</v>
      </c>
      <c r="BJ268" s="30">
        <v>616</v>
      </c>
      <c r="BK268" s="30">
        <v>648</v>
      </c>
      <c r="BL268" s="30">
        <v>27</v>
      </c>
      <c r="BM268" s="30">
        <v>11153</v>
      </c>
      <c r="BN268" s="30">
        <v>0</v>
      </c>
      <c r="BO268" s="30">
        <v>51</v>
      </c>
      <c r="BP268" s="30">
        <v>0</v>
      </c>
      <c r="BQ268" s="30">
        <v>51</v>
      </c>
      <c r="BR268" s="47">
        <v>34025</v>
      </c>
      <c r="BS268" s="47">
        <v>53463</v>
      </c>
      <c r="BT268" s="1">
        <f t="shared" si="123"/>
        <v>2.7235354049923588</v>
      </c>
      <c r="BU268" s="30">
        <v>13</v>
      </c>
      <c r="BV268" s="30">
        <v>0</v>
      </c>
      <c r="BW268" s="47">
        <v>12600</v>
      </c>
      <c r="BX268" s="52">
        <f t="shared" si="124"/>
        <v>0.64187468160978089</v>
      </c>
      <c r="BY268" s="47">
        <v>28455</v>
      </c>
      <c r="BZ268" s="47">
        <v>500</v>
      </c>
      <c r="CA268" s="47">
        <v>39777</v>
      </c>
      <c r="CB268" s="47">
        <v>3888</v>
      </c>
      <c r="CC268" s="47">
        <v>72620</v>
      </c>
      <c r="CD268" s="55">
        <f t="shared" si="125"/>
        <v>3.6994396332144674</v>
      </c>
      <c r="CE268" s="3">
        <f t="shared" si="126"/>
        <v>17087.058823529413</v>
      </c>
      <c r="CF268" s="55">
        <f t="shared" si="127"/>
        <v>34.515209125475288</v>
      </c>
      <c r="CG268" s="55">
        <f t="shared" si="128"/>
        <v>1.0460660885598225</v>
      </c>
      <c r="CH268" s="55">
        <f t="shared" si="129"/>
        <v>1.2762471241793389</v>
      </c>
      <c r="CI268" s="30">
        <v>88</v>
      </c>
      <c r="CJ268" s="30">
        <v>7</v>
      </c>
      <c r="CK268" s="30">
        <v>9</v>
      </c>
      <c r="CL268" s="30">
        <v>104</v>
      </c>
      <c r="CM268" s="30">
        <v>3456</v>
      </c>
      <c r="CN268" s="30">
        <v>52</v>
      </c>
      <c r="CO268" s="30">
        <v>68</v>
      </c>
      <c r="CP268" s="30">
        <v>3576</v>
      </c>
      <c r="CQ268" s="1">
        <f t="shared" si="137"/>
        <v>0.18217014773306164</v>
      </c>
      <c r="CR268" s="47">
        <v>69422</v>
      </c>
      <c r="CS268" s="55">
        <f t="shared" si="130"/>
        <v>3.5365257259296996</v>
      </c>
      <c r="CT268" s="59">
        <v>13314</v>
      </c>
      <c r="CU268" s="29" t="s">
        <v>25</v>
      </c>
      <c r="CV268" s="29" t="s">
        <v>25</v>
      </c>
      <c r="CW268" s="29" t="s">
        <v>25</v>
      </c>
      <c r="CX268" s="35">
        <v>1</v>
      </c>
      <c r="CY268" s="49">
        <f>C268/CX268</f>
        <v>19630</v>
      </c>
      <c r="CZ268" s="35">
        <v>0</v>
      </c>
      <c r="DA268" s="35">
        <v>3.25</v>
      </c>
      <c r="DB268" s="35">
        <v>4.25</v>
      </c>
      <c r="DC268" s="49">
        <f t="shared" si="131"/>
        <v>4618.8235294117649</v>
      </c>
      <c r="DD268" s="30">
        <v>12666</v>
      </c>
      <c r="DE268" s="31">
        <v>48495</v>
      </c>
      <c r="DF268" s="35">
        <v>40</v>
      </c>
      <c r="DG268" s="29" t="s">
        <v>25</v>
      </c>
      <c r="DH268" s="29" t="s">
        <v>25</v>
      </c>
      <c r="DI268" s="29" t="s">
        <v>25</v>
      </c>
      <c r="DJ268" s="47">
        <v>89</v>
      </c>
      <c r="DK268" s="47">
        <v>0</v>
      </c>
      <c r="DL268" s="47">
        <v>6</v>
      </c>
      <c r="DM268" s="47">
        <v>10223</v>
      </c>
      <c r="DN268" s="47">
        <v>3000</v>
      </c>
      <c r="DO268" s="47">
        <v>1500</v>
      </c>
      <c r="DP268" s="29" t="s">
        <v>2028</v>
      </c>
      <c r="DQ268" s="47">
        <v>0</v>
      </c>
      <c r="DR268" s="47">
        <v>2104</v>
      </c>
      <c r="DS268" s="30">
        <v>50</v>
      </c>
      <c r="DT268" s="30">
        <v>41</v>
      </c>
      <c r="DU268" s="30">
        <v>41</v>
      </c>
      <c r="DV268" s="30">
        <v>41</v>
      </c>
      <c r="DX268" s="2">
        <f t="shared" si="132"/>
        <v>2104</v>
      </c>
      <c r="DY268" s="33" t="s">
        <v>2182</v>
      </c>
      <c r="DZ268" s="33" t="s">
        <v>740</v>
      </c>
      <c r="EA268" s="33" t="s">
        <v>2031</v>
      </c>
      <c r="EB268" s="33" t="s">
        <v>2027</v>
      </c>
      <c r="EC268" s="36">
        <v>208</v>
      </c>
      <c r="ED268" s="29" t="s">
        <v>737</v>
      </c>
      <c r="EE268" s="29" t="s">
        <v>736</v>
      </c>
      <c r="EF268" s="37">
        <v>41548</v>
      </c>
      <c r="EG268" s="37">
        <v>41912</v>
      </c>
      <c r="EH268" s="29" t="s">
        <v>737</v>
      </c>
      <c r="EI268" s="55">
        <f t="shared" si="133"/>
        <v>1.4495669893020886</v>
      </c>
      <c r="EJ268" s="54">
        <f t="shared" si="134"/>
        <v>2.5471217524197658E-2</v>
      </c>
      <c r="EK268" s="55">
        <f t="shared" si="135"/>
        <v>2.0263372389200205</v>
      </c>
      <c r="EL268" s="54">
        <f t="shared" si="136"/>
        <v>0.19806418746816098</v>
      </c>
    </row>
    <row r="269" spans="1:142" ht="28.8" x14ac:dyDescent="0.3">
      <c r="A269" s="29" t="s">
        <v>741</v>
      </c>
      <c r="B269" s="29"/>
      <c r="C269" s="30">
        <v>42907</v>
      </c>
      <c r="D269" s="30">
        <v>0</v>
      </c>
      <c r="E269" s="30">
        <v>0</v>
      </c>
      <c r="F269" s="30">
        <v>22500</v>
      </c>
      <c r="H269" s="2">
        <f t="shared" si="112"/>
        <v>22500</v>
      </c>
      <c r="I269" s="1">
        <f t="shared" si="111"/>
        <v>0.5243899596802386</v>
      </c>
      <c r="J269" s="31">
        <v>671358</v>
      </c>
      <c r="K269" s="31">
        <v>250849</v>
      </c>
      <c r="L269" s="31">
        <v>922207</v>
      </c>
      <c r="M269" s="45">
        <f t="shared" si="113"/>
        <v>21.493159624303726</v>
      </c>
      <c r="N269" s="31">
        <v>105372</v>
      </c>
      <c r="O269" s="31">
        <v>46050</v>
      </c>
      <c r="P269" s="31">
        <v>36515</v>
      </c>
      <c r="Q269" s="31">
        <v>187937</v>
      </c>
      <c r="R269" s="45">
        <f t="shared" si="114"/>
        <v>4.3801011489966672</v>
      </c>
      <c r="S269" s="31">
        <v>225931</v>
      </c>
      <c r="T269" s="31">
        <v>1336075</v>
      </c>
      <c r="U269" s="31">
        <v>0</v>
      </c>
      <c r="V269" s="31">
        <v>1336075</v>
      </c>
      <c r="W269" s="45">
        <f t="shared" si="115"/>
        <v>31.138858461323327</v>
      </c>
      <c r="X269" s="4">
        <f t="shared" si="116"/>
        <v>0.69023595232303581</v>
      </c>
      <c r="Y269" s="4">
        <f t="shared" si="117"/>
        <v>0.14066351065621316</v>
      </c>
      <c r="Z269" s="4">
        <f t="shared" si="118"/>
        <v>0.16910053702075109</v>
      </c>
      <c r="AA269" s="4">
        <f t="shared" si="119"/>
        <v>0</v>
      </c>
      <c r="AB269" s="31">
        <v>0</v>
      </c>
      <c r="AC269" s="31">
        <v>187937</v>
      </c>
      <c r="AD269" s="31">
        <v>1336075</v>
      </c>
      <c r="AE269" s="31">
        <v>1336075</v>
      </c>
      <c r="AF269" s="31">
        <v>1336075</v>
      </c>
      <c r="AG269" s="31">
        <v>0</v>
      </c>
      <c r="AH269" s="31">
        <v>0</v>
      </c>
      <c r="AI269" s="31">
        <v>1336075</v>
      </c>
      <c r="AJ269" s="45">
        <f t="shared" si="120"/>
        <v>31.138858461323327</v>
      </c>
      <c r="AK269" s="31">
        <v>0</v>
      </c>
      <c r="AL269" s="31">
        <v>0</v>
      </c>
      <c r="AM269" s="31">
        <v>0</v>
      </c>
      <c r="AN269" s="31">
        <v>0</v>
      </c>
      <c r="AO269" s="31">
        <v>0</v>
      </c>
      <c r="AP269" s="31">
        <v>15647</v>
      </c>
      <c r="AQ269" s="31">
        <v>15647</v>
      </c>
      <c r="AR269" s="31">
        <v>1351722</v>
      </c>
      <c r="AS269" s="46">
        <f t="shared" si="121"/>
        <v>31.50353089239518</v>
      </c>
      <c r="AT269" s="31">
        <v>0</v>
      </c>
      <c r="AU269" s="31">
        <v>0</v>
      </c>
      <c r="AV269" s="31">
        <v>0</v>
      </c>
      <c r="AW269" s="31">
        <v>0</v>
      </c>
      <c r="AX269" s="31">
        <v>0</v>
      </c>
      <c r="AY269" s="31">
        <v>0</v>
      </c>
      <c r="AZ269" s="31">
        <v>0</v>
      </c>
      <c r="BA269" s="31">
        <v>0</v>
      </c>
      <c r="BB269" s="31">
        <v>0</v>
      </c>
      <c r="BC269" s="33" t="s">
        <v>25</v>
      </c>
      <c r="BD269" s="47">
        <v>69946</v>
      </c>
      <c r="BE269" s="47">
        <v>75362</v>
      </c>
      <c r="BF269" s="45">
        <f t="shared" si="122"/>
        <v>1.7564033840632065</v>
      </c>
      <c r="BG269" s="30">
        <v>5591</v>
      </c>
      <c r="BH269" s="30">
        <v>5707</v>
      </c>
      <c r="BI269" s="30">
        <v>4787</v>
      </c>
      <c r="BJ269" s="30">
        <v>7267</v>
      </c>
      <c r="BK269" s="30">
        <v>7888</v>
      </c>
      <c r="BL269" s="30">
        <v>0</v>
      </c>
      <c r="BM269" s="30">
        <v>10061</v>
      </c>
      <c r="BN269" s="30">
        <v>7</v>
      </c>
      <c r="BO269" s="30">
        <v>51</v>
      </c>
      <c r="BP269" s="30">
        <v>3</v>
      </c>
      <c r="BQ269" s="30">
        <v>61</v>
      </c>
      <c r="BR269" s="47">
        <v>82804</v>
      </c>
      <c r="BS269" s="47">
        <v>103812</v>
      </c>
      <c r="BT269" s="1">
        <f t="shared" si="123"/>
        <v>2.4194653553033305</v>
      </c>
      <c r="BU269" s="30">
        <v>88</v>
      </c>
      <c r="BV269" s="30">
        <v>49</v>
      </c>
      <c r="BW269" s="47">
        <v>19412</v>
      </c>
      <c r="BX269" s="52">
        <f t="shared" si="124"/>
        <v>0.45242035099167965</v>
      </c>
      <c r="BY269" s="47">
        <v>236316</v>
      </c>
      <c r="BZ269" s="47">
        <v>997</v>
      </c>
      <c r="CA269" s="47">
        <v>256010</v>
      </c>
      <c r="CB269" s="47">
        <v>22921</v>
      </c>
      <c r="CC269" s="47">
        <v>516244</v>
      </c>
      <c r="CD269" s="55">
        <f t="shared" si="125"/>
        <v>12.031696459785117</v>
      </c>
      <c r="CE269" s="3">
        <f t="shared" si="126"/>
        <v>34881.351351351354</v>
      </c>
      <c r="CF269" s="55">
        <f t="shared" si="127"/>
        <v>185.76610291471752</v>
      </c>
      <c r="CG269" s="55">
        <f t="shared" si="128"/>
        <v>2.2541437429045499</v>
      </c>
      <c r="CH269" s="55">
        <f t="shared" si="129"/>
        <v>4.7424767849574234</v>
      </c>
      <c r="CI269" s="30">
        <v>531</v>
      </c>
      <c r="CJ269" s="30">
        <v>31</v>
      </c>
      <c r="CK269" s="30">
        <v>38</v>
      </c>
      <c r="CL269" s="30">
        <v>600</v>
      </c>
      <c r="CM269" s="30">
        <v>12850</v>
      </c>
      <c r="CN269" s="30">
        <v>658</v>
      </c>
      <c r="CO269" s="30">
        <v>889</v>
      </c>
      <c r="CP269" s="30">
        <v>14397</v>
      </c>
      <c r="CQ269" s="1">
        <f t="shared" si="137"/>
        <v>0.33553965553406206</v>
      </c>
      <c r="CR269" s="47">
        <v>229020</v>
      </c>
      <c r="CS269" s="55">
        <f t="shared" si="130"/>
        <v>5.3375906029319227</v>
      </c>
      <c r="CT269" s="59">
        <v>28120</v>
      </c>
      <c r="CU269" s="29" t="s">
        <v>25</v>
      </c>
      <c r="CV269" s="29" t="s">
        <v>25</v>
      </c>
      <c r="CW269" s="29" t="s">
        <v>25</v>
      </c>
      <c r="CX269" s="35">
        <v>5.4749999999999996</v>
      </c>
      <c r="CY269" s="49">
        <f>C269/CX269</f>
        <v>7836.8949771689504</v>
      </c>
      <c r="CZ269" s="35">
        <v>0</v>
      </c>
      <c r="DA269" s="35">
        <v>9.3249999999999993</v>
      </c>
      <c r="DB269" s="35">
        <v>14.799999999999999</v>
      </c>
      <c r="DC269" s="49">
        <f t="shared" si="131"/>
        <v>2899.1216216216217</v>
      </c>
      <c r="DD269" s="30">
        <v>2378</v>
      </c>
      <c r="DE269" s="31">
        <v>100520</v>
      </c>
      <c r="DF269" s="35">
        <v>40</v>
      </c>
      <c r="DG269" s="29" t="s">
        <v>25</v>
      </c>
      <c r="DH269" s="29" t="s">
        <v>25</v>
      </c>
      <c r="DI269" s="29" t="s">
        <v>25</v>
      </c>
      <c r="DJ269" s="47">
        <v>60255</v>
      </c>
      <c r="DK269" s="47">
        <v>172128</v>
      </c>
      <c r="DL269" s="47">
        <v>38</v>
      </c>
      <c r="DM269" s="47">
        <v>34891</v>
      </c>
      <c r="DN269" s="47">
        <v>2886</v>
      </c>
      <c r="DO269" s="47">
        <v>8304</v>
      </c>
      <c r="DP269" s="29" t="s">
        <v>25</v>
      </c>
      <c r="DQ269" s="47">
        <v>106607</v>
      </c>
      <c r="DR269" s="47">
        <v>2779</v>
      </c>
      <c r="DS269" s="30">
        <v>52</v>
      </c>
      <c r="DT269" s="30">
        <v>56</v>
      </c>
      <c r="DU269" s="30">
        <v>56</v>
      </c>
      <c r="DV269" s="30">
        <v>56</v>
      </c>
      <c r="DX269" s="2">
        <f t="shared" si="132"/>
        <v>2779</v>
      </c>
      <c r="DY269" s="33" t="s">
        <v>2181</v>
      </c>
      <c r="DZ269" s="33" t="s">
        <v>743</v>
      </c>
      <c r="EA269" s="33" t="s">
        <v>2030</v>
      </c>
      <c r="EB269" s="33" t="s">
        <v>2027</v>
      </c>
      <c r="EC269" s="36">
        <v>209</v>
      </c>
      <c r="ED269" s="29" t="s">
        <v>742</v>
      </c>
      <c r="EE269" s="29" t="s">
        <v>91</v>
      </c>
      <c r="EF269" s="37">
        <v>41548</v>
      </c>
      <c r="EG269" s="37">
        <v>41912</v>
      </c>
      <c r="EH269" s="29" t="s">
        <v>742</v>
      </c>
      <c r="EI269" s="55">
        <f t="shared" si="133"/>
        <v>5.507632787190901</v>
      </c>
      <c r="EJ269" s="54">
        <f t="shared" si="134"/>
        <v>2.323630176894213E-2</v>
      </c>
      <c r="EK269" s="55">
        <f t="shared" si="135"/>
        <v>5.9666254923439066</v>
      </c>
      <c r="EL269" s="54">
        <f t="shared" si="136"/>
        <v>0.53420187848136669</v>
      </c>
    </row>
    <row r="270" spans="1:142" ht="28.8" x14ac:dyDescent="0.3">
      <c r="A270" s="29" t="s">
        <v>744</v>
      </c>
      <c r="B270" s="29"/>
      <c r="C270" s="30">
        <v>3074</v>
      </c>
      <c r="D270" s="30">
        <v>0</v>
      </c>
      <c r="E270" s="30">
        <v>0</v>
      </c>
      <c r="F270" s="30">
        <v>714</v>
      </c>
      <c r="H270" s="2">
        <f t="shared" si="112"/>
        <v>714</v>
      </c>
      <c r="I270" s="1">
        <f t="shared" si="111"/>
        <v>0.23227065712426806</v>
      </c>
      <c r="J270" s="31">
        <v>13367</v>
      </c>
      <c r="K270" s="31">
        <v>1023</v>
      </c>
      <c r="L270" s="31">
        <v>14390</v>
      </c>
      <c r="M270" s="45">
        <f t="shared" si="113"/>
        <v>4.6811971372804164</v>
      </c>
      <c r="N270" s="31">
        <v>2910</v>
      </c>
      <c r="O270" s="31">
        <v>0</v>
      </c>
      <c r="P270" s="31">
        <v>827</v>
      </c>
      <c r="Q270" s="31">
        <v>3737</v>
      </c>
      <c r="R270" s="45">
        <f t="shared" si="114"/>
        <v>1.2156798959011061</v>
      </c>
      <c r="S270" s="31">
        <v>10683</v>
      </c>
      <c r="T270" s="31">
        <v>28810</v>
      </c>
      <c r="U270" s="31">
        <v>0</v>
      </c>
      <c r="V270" s="31">
        <v>28810</v>
      </c>
      <c r="W270" s="45">
        <f t="shared" si="115"/>
        <v>9.3721535458685743</v>
      </c>
      <c r="X270" s="4">
        <f t="shared" si="116"/>
        <v>0.49947934744880251</v>
      </c>
      <c r="Y270" s="4">
        <f t="shared" si="117"/>
        <v>0.1297119055883374</v>
      </c>
      <c r="Z270" s="4">
        <f t="shared" si="118"/>
        <v>0.37080874696286009</v>
      </c>
      <c r="AA270" s="4">
        <f t="shared" si="119"/>
        <v>0</v>
      </c>
      <c r="AB270" s="31">
        <v>628</v>
      </c>
      <c r="AC270" s="31">
        <v>3737</v>
      </c>
      <c r="AD270" s="31">
        <v>28810</v>
      </c>
      <c r="AE270" s="31">
        <v>27861</v>
      </c>
      <c r="AF270" s="31">
        <v>0</v>
      </c>
      <c r="AG270" s="31">
        <v>27861</v>
      </c>
      <c r="AH270" s="31">
        <v>0</v>
      </c>
      <c r="AI270" s="31">
        <v>27861</v>
      </c>
      <c r="AJ270" s="45">
        <f t="shared" si="120"/>
        <v>9.0634352635003257</v>
      </c>
      <c r="AK270" s="31">
        <v>0</v>
      </c>
      <c r="AL270" s="31">
        <v>0</v>
      </c>
      <c r="AM270" s="31">
        <v>0</v>
      </c>
      <c r="AN270" s="31">
        <v>0</v>
      </c>
      <c r="AO270" s="31">
        <v>0</v>
      </c>
      <c r="AP270" s="31">
        <v>949</v>
      </c>
      <c r="AQ270" s="31">
        <v>949</v>
      </c>
      <c r="AR270" s="31">
        <v>28810</v>
      </c>
      <c r="AS270" s="46">
        <f t="shared" si="121"/>
        <v>9.3721535458685743</v>
      </c>
      <c r="AT270" s="31">
        <v>0</v>
      </c>
      <c r="AU270" s="31">
        <v>0</v>
      </c>
      <c r="AV270" s="31">
        <v>0</v>
      </c>
      <c r="AW270" s="31">
        <v>0</v>
      </c>
      <c r="AX270" s="31">
        <v>0</v>
      </c>
      <c r="AY270" s="31">
        <v>0</v>
      </c>
      <c r="AZ270" s="31">
        <v>0</v>
      </c>
      <c r="BA270" s="31">
        <v>739</v>
      </c>
      <c r="BB270" s="31">
        <v>739</v>
      </c>
      <c r="BC270" s="33" t="s">
        <v>25</v>
      </c>
      <c r="BD270" s="47">
        <v>9438</v>
      </c>
      <c r="BE270" s="47">
        <v>9501</v>
      </c>
      <c r="BF270" s="45">
        <f t="shared" si="122"/>
        <v>3.0907612231620041</v>
      </c>
      <c r="BG270" s="30">
        <v>392</v>
      </c>
      <c r="BH270" s="30">
        <v>392</v>
      </c>
      <c r="BI270" s="30">
        <v>0</v>
      </c>
      <c r="BJ270" s="30">
        <v>766</v>
      </c>
      <c r="BK270" s="30">
        <v>767</v>
      </c>
      <c r="BL270" s="30">
        <v>0</v>
      </c>
      <c r="BM270" s="30">
        <v>0</v>
      </c>
      <c r="BN270" s="30">
        <v>0</v>
      </c>
      <c r="BO270" s="30">
        <v>51</v>
      </c>
      <c r="BP270" s="30">
        <v>0</v>
      </c>
      <c r="BQ270" s="30">
        <v>51</v>
      </c>
      <c r="BR270" s="47">
        <v>10596</v>
      </c>
      <c r="BS270" s="47">
        <v>10660</v>
      </c>
      <c r="BT270" s="1">
        <f t="shared" si="123"/>
        <v>3.4677944046844504</v>
      </c>
      <c r="BU270" s="30">
        <v>5</v>
      </c>
      <c r="BV270" s="30">
        <v>0</v>
      </c>
      <c r="BW270" s="47">
        <v>97</v>
      </c>
      <c r="BX270" s="52">
        <f t="shared" si="124"/>
        <v>3.1554977228366948E-2</v>
      </c>
      <c r="BY270" s="47">
        <v>4626</v>
      </c>
      <c r="BZ270" s="47">
        <v>0</v>
      </c>
      <c r="CA270" s="47">
        <v>3658</v>
      </c>
      <c r="CB270" s="47">
        <v>0</v>
      </c>
      <c r="CC270" s="47">
        <v>8284</v>
      </c>
      <c r="CD270" s="55">
        <f t="shared" si="125"/>
        <v>2.6948601171112556</v>
      </c>
      <c r="CE270" s="3">
        <f t="shared" si="126"/>
        <v>16568</v>
      </c>
      <c r="CF270" s="55">
        <f t="shared" si="127"/>
        <v>8.6381647549530758</v>
      </c>
      <c r="CG270" s="55">
        <f t="shared" si="128"/>
        <v>4.0587947084762375</v>
      </c>
      <c r="CH270" s="55">
        <f t="shared" si="129"/>
        <v>0.77711069418386491</v>
      </c>
      <c r="CI270" s="30">
        <v>62</v>
      </c>
      <c r="CJ270" s="30">
        <v>15</v>
      </c>
      <c r="CK270" s="30">
        <v>0</v>
      </c>
      <c r="CL270" s="30">
        <v>77</v>
      </c>
      <c r="CM270" s="30">
        <v>785</v>
      </c>
      <c r="CN270" s="30">
        <v>75</v>
      </c>
      <c r="CO270" s="30">
        <v>0</v>
      </c>
      <c r="CP270" s="30">
        <v>860</v>
      </c>
      <c r="CQ270" s="1">
        <f t="shared" si="137"/>
        <v>0.2797657774886142</v>
      </c>
      <c r="CR270" s="47">
        <v>2041</v>
      </c>
      <c r="CS270" s="55">
        <f t="shared" si="130"/>
        <v>0.66395575797007156</v>
      </c>
      <c r="CT270" s="59">
        <v>323</v>
      </c>
      <c r="CU270" s="29" t="s">
        <v>25</v>
      </c>
      <c r="CV270" s="29" t="s">
        <v>25</v>
      </c>
      <c r="CW270" s="29" t="s">
        <v>25</v>
      </c>
      <c r="CX270" s="35">
        <v>0</v>
      </c>
      <c r="CY270" s="49">
        <v>0</v>
      </c>
      <c r="CZ270" s="35">
        <v>0.5</v>
      </c>
      <c r="DA270" s="35">
        <v>0</v>
      </c>
      <c r="DB270" s="35">
        <v>0.5</v>
      </c>
      <c r="DC270" s="49">
        <f t="shared" si="131"/>
        <v>6148</v>
      </c>
      <c r="DD270" s="30">
        <v>94</v>
      </c>
      <c r="DE270" s="31">
        <v>14390</v>
      </c>
      <c r="DF270" s="35">
        <v>20</v>
      </c>
      <c r="DG270" s="29" t="s">
        <v>25</v>
      </c>
      <c r="DH270" s="29" t="s">
        <v>25</v>
      </c>
      <c r="DI270" s="29" t="s">
        <v>25</v>
      </c>
      <c r="DJ270" s="47">
        <v>20</v>
      </c>
      <c r="DK270" s="47">
        <v>49</v>
      </c>
      <c r="DL270" s="47">
        <v>4</v>
      </c>
      <c r="DM270" s="47">
        <v>291</v>
      </c>
      <c r="DN270" s="47">
        <v>1</v>
      </c>
      <c r="DO270" s="47">
        <v>16</v>
      </c>
      <c r="DP270" s="29" t="s">
        <v>83</v>
      </c>
      <c r="DQ270" s="47">
        <v>0</v>
      </c>
      <c r="DR270" s="47">
        <v>959</v>
      </c>
      <c r="DS270" s="30">
        <v>52</v>
      </c>
      <c r="DT270" s="30">
        <v>20</v>
      </c>
      <c r="DU270" s="30">
        <v>20</v>
      </c>
      <c r="DV270" s="30">
        <v>20</v>
      </c>
      <c r="DX270" s="2">
        <f t="shared" si="132"/>
        <v>959</v>
      </c>
      <c r="DY270" s="33" t="s">
        <v>2187</v>
      </c>
      <c r="DZ270" s="33" t="s">
        <v>746</v>
      </c>
      <c r="EA270" s="33" t="s">
        <v>2032</v>
      </c>
      <c r="EB270" s="33" t="s">
        <v>2027</v>
      </c>
      <c r="EC270" s="36">
        <v>210</v>
      </c>
      <c r="ED270" s="29" t="s">
        <v>745</v>
      </c>
      <c r="EE270" s="29" t="s">
        <v>175</v>
      </c>
      <c r="EF270" s="37">
        <v>41640</v>
      </c>
      <c r="EG270" s="37">
        <v>42004</v>
      </c>
      <c r="EH270" s="29" t="s">
        <v>745</v>
      </c>
      <c r="EI270" s="55">
        <f t="shared" si="133"/>
        <v>1.5048796356538712</v>
      </c>
      <c r="EJ270" s="54">
        <f t="shared" si="134"/>
        <v>0</v>
      </c>
      <c r="EK270" s="55">
        <f t="shared" si="135"/>
        <v>1.1899804814573844</v>
      </c>
      <c r="EL270" s="54">
        <f t="shared" si="136"/>
        <v>0</v>
      </c>
    </row>
    <row r="271" spans="1:142" ht="28.8" x14ac:dyDescent="0.3">
      <c r="A271" s="29" t="s">
        <v>747</v>
      </c>
      <c r="B271" s="29"/>
      <c r="C271" s="30">
        <v>6179</v>
      </c>
      <c r="D271" s="30">
        <v>0</v>
      </c>
      <c r="E271" s="30">
        <v>0</v>
      </c>
      <c r="F271" s="30">
        <v>4928</v>
      </c>
      <c r="H271" s="2">
        <f t="shared" si="112"/>
        <v>4928</v>
      </c>
      <c r="I271" s="1">
        <f t="shared" si="111"/>
        <v>0.79754005502508496</v>
      </c>
      <c r="J271" s="31">
        <v>58395</v>
      </c>
      <c r="K271" s="31">
        <v>23135</v>
      </c>
      <c r="L271" s="31">
        <v>81530</v>
      </c>
      <c r="M271" s="45">
        <f t="shared" si="113"/>
        <v>13.194691697685709</v>
      </c>
      <c r="N271" s="31">
        <v>19157</v>
      </c>
      <c r="O271" s="31">
        <v>0</v>
      </c>
      <c r="P271" s="31">
        <v>2475</v>
      </c>
      <c r="Q271" s="31">
        <v>21632</v>
      </c>
      <c r="R271" s="45">
        <f t="shared" si="114"/>
        <v>3.5008901116685549</v>
      </c>
      <c r="S271" s="31">
        <v>22582</v>
      </c>
      <c r="T271" s="31">
        <v>125744</v>
      </c>
      <c r="U271" s="31">
        <v>0</v>
      </c>
      <c r="V271" s="31">
        <v>125744</v>
      </c>
      <c r="W271" s="45">
        <f t="shared" si="115"/>
        <v>20.350218481955007</v>
      </c>
      <c r="X271" s="4">
        <f t="shared" si="116"/>
        <v>0.64838083725664841</v>
      </c>
      <c r="Y271" s="4">
        <f t="shared" si="117"/>
        <v>0.17203206514823768</v>
      </c>
      <c r="Z271" s="4">
        <f t="shared" si="118"/>
        <v>0.17958709759511388</v>
      </c>
      <c r="AA271" s="4">
        <f t="shared" si="119"/>
        <v>0</v>
      </c>
      <c r="AB271" s="31">
        <v>3037</v>
      </c>
      <c r="AC271" s="31">
        <v>21632</v>
      </c>
      <c r="AD271" s="31">
        <v>125746</v>
      </c>
      <c r="AE271" s="31">
        <v>115838</v>
      </c>
      <c r="AF271" s="31">
        <v>0</v>
      </c>
      <c r="AG271" s="31">
        <v>107415</v>
      </c>
      <c r="AH271" s="31">
        <v>0</v>
      </c>
      <c r="AI271" s="31">
        <v>107415</v>
      </c>
      <c r="AJ271" s="45">
        <f t="shared" si="120"/>
        <v>17.383880886874898</v>
      </c>
      <c r="AK271" s="31">
        <v>0</v>
      </c>
      <c r="AL271" s="31">
        <v>0</v>
      </c>
      <c r="AM271" s="31">
        <v>0</v>
      </c>
      <c r="AN271" s="31">
        <v>0</v>
      </c>
      <c r="AO271" s="31">
        <v>0</v>
      </c>
      <c r="AP271" s="31">
        <v>10923</v>
      </c>
      <c r="AQ271" s="31">
        <v>10923</v>
      </c>
      <c r="AR271" s="31">
        <v>118338</v>
      </c>
      <c r="AS271" s="46">
        <f t="shared" si="121"/>
        <v>19.151642660624695</v>
      </c>
      <c r="AT271" s="31">
        <v>0</v>
      </c>
      <c r="AU271" s="31">
        <v>0</v>
      </c>
      <c r="AV271" s="31">
        <v>0</v>
      </c>
      <c r="AW271" s="31">
        <v>0</v>
      </c>
      <c r="AX271" s="31">
        <v>0</v>
      </c>
      <c r="AY271" s="31">
        <v>0</v>
      </c>
      <c r="AZ271" s="31">
        <v>13000</v>
      </c>
      <c r="BA271" s="31">
        <v>0</v>
      </c>
      <c r="BB271" s="31">
        <v>13000</v>
      </c>
      <c r="BC271" s="33" t="s">
        <v>25</v>
      </c>
      <c r="BD271" s="47">
        <v>20689</v>
      </c>
      <c r="BE271" s="47">
        <v>21443</v>
      </c>
      <c r="BF271" s="45">
        <f t="shared" si="122"/>
        <v>3.4703026379673085</v>
      </c>
      <c r="BG271" s="30">
        <v>299</v>
      </c>
      <c r="BH271" s="30">
        <v>300</v>
      </c>
      <c r="BI271" s="30">
        <v>0</v>
      </c>
      <c r="BJ271" s="30">
        <v>876</v>
      </c>
      <c r="BK271" s="30">
        <v>886</v>
      </c>
      <c r="BL271" s="30">
        <v>0</v>
      </c>
      <c r="BM271" s="30">
        <v>0</v>
      </c>
      <c r="BN271" s="30">
        <v>0</v>
      </c>
      <c r="BO271" s="30">
        <v>51</v>
      </c>
      <c r="BP271" s="30">
        <v>0</v>
      </c>
      <c r="BQ271" s="30">
        <v>51</v>
      </c>
      <c r="BR271" s="47">
        <v>21864</v>
      </c>
      <c r="BS271" s="47">
        <v>22629</v>
      </c>
      <c r="BT271" s="1">
        <f t="shared" si="123"/>
        <v>3.6622430814047582</v>
      </c>
      <c r="BU271" s="30">
        <v>36</v>
      </c>
      <c r="BV271" s="30">
        <v>0</v>
      </c>
      <c r="BW271" s="47">
        <v>12994</v>
      </c>
      <c r="BX271" s="52">
        <f t="shared" si="124"/>
        <v>2.1029292765819712</v>
      </c>
      <c r="BY271" s="47">
        <v>7965</v>
      </c>
      <c r="BZ271" s="47">
        <v>0</v>
      </c>
      <c r="CA271" s="47">
        <v>11336</v>
      </c>
      <c r="CB271" s="47">
        <v>0</v>
      </c>
      <c r="CC271" s="47">
        <v>19301</v>
      </c>
      <c r="CD271" s="55">
        <f t="shared" si="125"/>
        <v>3.123644602686519</v>
      </c>
      <c r="CE271" s="3">
        <f t="shared" si="126"/>
        <v>7352.7619047619046</v>
      </c>
      <c r="CF271" s="55">
        <f t="shared" si="127"/>
        <v>8.0960570469798654</v>
      </c>
      <c r="CG271" s="55">
        <f t="shared" si="128"/>
        <v>1.3423981082208931</v>
      </c>
      <c r="CH271" s="55">
        <f t="shared" si="129"/>
        <v>0.85293207830659767</v>
      </c>
      <c r="CI271" s="30">
        <v>10</v>
      </c>
      <c r="CJ271" s="30">
        <v>4</v>
      </c>
      <c r="CK271" s="30">
        <v>2</v>
      </c>
      <c r="CL271" s="30">
        <v>16</v>
      </c>
      <c r="CM271" s="30">
        <v>1112</v>
      </c>
      <c r="CN271" s="30">
        <v>82</v>
      </c>
      <c r="CO271" s="30">
        <v>13</v>
      </c>
      <c r="CP271" s="30">
        <v>1207</v>
      </c>
      <c r="CQ271" s="1">
        <f t="shared" si="137"/>
        <v>0.19533905162647677</v>
      </c>
      <c r="CR271" s="47">
        <v>14378</v>
      </c>
      <c r="CS271" s="55">
        <f t="shared" si="130"/>
        <v>2.3269137400873929</v>
      </c>
      <c r="CT271" s="59">
        <v>2590</v>
      </c>
      <c r="CU271" s="29" t="s">
        <v>25</v>
      </c>
      <c r="CV271" s="29" t="s">
        <v>25</v>
      </c>
      <c r="CW271" s="29" t="s">
        <v>25</v>
      </c>
      <c r="CX271" s="35">
        <v>0</v>
      </c>
      <c r="CY271" s="49">
        <v>0</v>
      </c>
      <c r="CZ271" s="35">
        <v>2</v>
      </c>
      <c r="DA271" s="35">
        <v>0.625</v>
      </c>
      <c r="DB271" s="35">
        <v>2.625</v>
      </c>
      <c r="DC271" s="49">
        <f t="shared" si="131"/>
        <v>2353.9047619047619</v>
      </c>
      <c r="DD271" s="30">
        <v>274</v>
      </c>
      <c r="DE271" s="31">
        <v>32219</v>
      </c>
      <c r="DF271" s="35">
        <v>40</v>
      </c>
      <c r="DG271" s="29" t="s">
        <v>25</v>
      </c>
      <c r="DH271" s="29" t="s">
        <v>25</v>
      </c>
      <c r="DI271" s="29" t="s">
        <v>25</v>
      </c>
      <c r="DJ271" s="47">
        <v>44</v>
      </c>
      <c r="DK271" s="47">
        <v>74</v>
      </c>
      <c r="DL271" s="47">
        <v>8</v>
      </c>
      <c r="DM271" s="47">
        <v>4606</v>
      </c>
      <c r="DN271" s="47">
        <v>426</v>
      </c>
      <c r="DO271" s="47">
        <v>629</v>
      </c>
      <c r="DP271" s="29" t="s">
        <v>2028</v>
      </c>
      <c r="DQ271" s="47">
        <v>0</v>
      </c>
      <c r="DR271" s="47">
        <v>2384</v>
      </c>
      <c r="DS271" s="30">
        <v>51</v>
      </c>
      <c r="DT271" s="30">
        <v>45</v>
      </c>
      <c r="DU271" s="30">
        <v>45</v>
      </c>
      <c r="DV271" s="30">
        <v>45</v>
      </c>
      <c r="DX271" s="2">
        <f t="shared" si="132"/>
        <v>2384</v>
      </c>
      <c r="DY271" s="33" t="s">
        <v>2187</v>
      </c>
      <c r="DZ271" s="33" t="s">
        <v>750</v>
      </c>
      <c r="EA271" s="33" t="s">
        <v>2030</v>
      </c>
      <c r="EB271" s="33" t="s">
        <v>2027</v>
      </c>
      <c r="EC271" s="36">
        <v>211</v>
      </c>
      <c r="ED271" s="29" t="s">
        <v>749</v>
      </c>
      <c r="EE271" s="29" t="s">
        <v>748</v>
      </c>
      <c r="EF271" s="37">
        <v>41548</v>
      </c>
      <c r="EG271" s="37">
        <v>41912</v>
      </c>
      <c r="EH271" s="29" t="s">
        <v>749</v>
      </c>
      <c r="EI271" s="55">
        <f t="shared" si="133"/>
        <v>1.2890435345525166</v>
      </c>
      <c r="EJ271" s="54">
        <f t="shared" si="134"/>
        <v>0</v>
      </c>
      <c r="EK271" s="55">
        <f t="shared" si="135"/>
        <v>1.8346010681340024</v>
      </c>
      <c r="EL271" s="54">
        <f t="shared" si="136"/>
        <v>0</v>
      </c>
    </row>
    <row r="272" spans="1:142" ht="28.8" x14ac:dyDescent="0.3">
      <c r="A272" s="29" t="s">
        <v>1643</v>
      </c>
      <c r="B272" s="29"/>
      <c r="C272" s="30">
        <v>7236</v>
      </c>
      <c r="D272" s="30">
        <v>0</v>
      </c>
      <c r="E272" s="30">
        <v>0</v>
      </c>
      <c r="F272" s="30">
        <v>4000</v>
      </c>
      <c r="H272" s="2">
        <f t="shared" si="112"/>
        <v>4000</v>
      </c>
      <c r="I272" s="1">
        <f t="shared" si="111"/>
        <v>0.55279159756771701</v>
      </c>
      <c r="J272" s="31">
        <v>113283</v>
      </c>
      <c r="K272" s="31">
        <v>36992</v>
      </c>
      <c r="L272" s="31">
        <v>150275</v>
      </c>
      <c r="M272" s="45">
        <f t="shared" si="113"/>
        <v>20.767689331122167</v>
      </c>
      <c r="N272" s="31">
        <v>11808</v>
      </c>
      <c r="O272" s="31">
        <v>4175</v>
      </c>
      <c r="P272" s="31">
        <v>2923</v>
      </c>
      <c r="Q272" s="31">
        <v>18906</v>
      </c>
      <c r="R272" s="45">
        <f t="shared" si="114"/>
        <v>2.6127694859038142</v>
      </c>
      <c r="S272" s="31">
        <v>56531</v>
      </c>
      <c r="T272" s="31">
        <v>225712</v>
      </c>
      <c r="U272" s="31">
        <v>0</v>
      </c>
      <c r="V272" s="31">
        <v>225712</v>
      </c>
      <c r="W272" s="45">
        <f t="shared" si="115"/>
        <v>31.192924267551135</v>
      </c>
      <c r="X272" s="4">
        <f t="shared" si="116"/>
        <v>0.66578205855249162</v>
      </c>
      <c r="Y272" s="4">
        <f t="shared" si="117"/>
        <v>8.3761607712483158E-2</v>
      </c>
      <c r="Z272" s="4">
        <f t="shared" si="118"/>
        <v>0.25045633373502518</v>
      </c>
      <c r="AA272" s="4">
        <f t="shared" si="119"/>
        <v>0</v>
      </c>
      <c r="AB272" s="31">
        <v>0</v>
      </c>
      <c r="AC272" s="31">
        <v>18906</v>
      </c>
      <c r="AD272" s="31">
        <v>225712</v>
      </c>
      <c r="AE272" s="31">
        <v>225712</v>
      </c>
      <c r="AF272" s="31">
        <v>225712</v>
      </c>
      <c r="AG272" s="31">
        <v>0</v>
      </c>
      <c r="AH272" s="31">
        <v>0</v>
      </c>
      <c r="AI272" s="31">
        <v>225712</v>
      </c>
      <c r="AJ272" s="45">
        <f t="shared" si="120"/>
        <v>31.192924267551135</v>
      </c>
      <c r="AK272" s="31">
        <v>0</v>
      </c>
      <c r="AL272" s="31">
        <v>0</v>
      </c>
      <c r="AM272" s="31">
        <v>0</v>
      </c>
      <c r="AN272" s="31">
        <v>0</v>
      </c>
      <c r="AO272" s="31">
        <v>0</v>
      </c>
      <c r="AP272" s="31">
        <v>0</v>
      </c>
      <c r="AQ272" s="31">
        <v>0</v>
      </c>
      <c r="AR272" s="31">
        <v>225712</v>
      </c>
      <c r="AS272" s="46">
        <f t="shared" si="121"/>
        <v>31.192924267551135</v>
      </c>
      <c r="AT272" s="31">
        <v>0</v>
      </c>
      <c r="AU272" s="31">
        <v>0</v>
      </c>
      <c r="AV272" s="31">
        <v>0</v>
      </c>
      <c r="AW272" s="31">
        <v>0</v>
      </c>
      <c r="AX272" s="31">
        <v>0</v>
      </c>
      <c r="AY272" s="31">
        <v>0</v>
      </c>
      <c r="AZ272" s="31">
        <v>0</v>
      </c>
      <c r="BA272" s="31">
        <v>0</v>
      </c>
      <c r="BB272" s="31">
        <v>0</v>
      </c>
      <c r="BC272" s="33" t="s">
        <v>25</v>
      </c>
      <c r="BD272" s="47">
        <v>14369</v>
      </c>
      <c r="BE272" s="47">
        <v>14415</v>
      </c>
      <c r="BF272" s="45">
        <f t="shared" si="122"/>
        <v>1.99212271973466</v>
      </c>
      <c r="BG272" s="30">
        <v>392</v>
      </c>
      <c r="BH272" s="30">
        <v>392</v>
      </c>
      <c r="BI272" s="30">
        <v>4282</v>
      </c>
      <c r="BJ272" s="30">
        <v>487</v>
      </c>
      <c r="BK272" s="30">
        <v>492</v>
      </c>
      <c r="BL272" s="30">
        <v>0</v>
      </c>
      <c r="BM272" s="30">
        <v>8746</v>
      </c>
      <c r="BN272" s="30">
        <v>2</v>
      </c>
      <c r="BO272" s="30">
        <v>51</v>
      </c>
      <c r="BP272" s="30">
        <v>0</v>
      </c>
      <c r="BQ272" s="30">
        <v>53</v>
      </c>
      <c r="BR272" s="47">
        <v>15248</v>
      </c>
      <c r="BS272" s="47">
        <v>28329</v>
      </c>
      <c r="BT272" s="1">
        <f t="shared" si="123"/>
        <v>3.9150082918739635</v>
      </c>
      <c r="BU272" s="30">
        <v>19</v>
      </c>
      <c r="BV272" s="30">
        <v>0</v>
      </c>
      <c r="BW272" s="47">
        <v>599</v>
      </c>
      <c r="BX272" s="52">
        <f t="shared" si="124"/>
        <v>8.2780541735765614E-2</v>
      </c>
      <c r="BY272" s="47">
        <v>4370</v>
      </c>
      <c r="BZ272" s="47">
        <v>5</v>
      </c>
      <c r="CA272" s="47">
        <v>8039</v>
      </c>
      <c r="CB272" s="47">
        <v>724</v>
      </c>
      <c r="CC272" s="47">
        <v>13138</v>
      </c>
      <c r="CD272" s="55">
        <f t="shared" si="125"/>
        <v>1.8156440022111664</v>
      </c>
      <c r="CE272" s="3">
        <f t="shared" si="126"/>
        <v>3624.2758620689656</v>
      </c>
      <c r="CF272" s="55">
        <f t="shared" si="127"/>
        <v>5.9990867579908675</v>
      </c>
      <c r="CG272" s="55">
        <f t="shared" si="128"/>
        <v>1.1177471499064149</v>
      </c>
      <c r="CH272" s="55">
        <f t="shared" si="129"/>
        <v>0.43803169896572419</v>
      </c>
      <c r="CI272" s="30">
        <v>36</v>
      </c>
      <c r="CJ272" s="30">
        <v>0</v>
      </c>
      <c r="CK272" s="30">
        <v>10</v>
      </c>
      <c r="CL272" s="30">
        <v>46</v>
      </c>
      <c r="CM272" s="30">
        <v>638</v>
      </c>
      <c r="CN272" s="30">
        <v>0</v>
      </c>
      <c r="CO272" s="30">
        <v>61</v>
      </c>
      <c r="CP272" s="30">
        <v>699</v>
      </c>
      <c r="CQ272" s="1">
        <f t="shared" si="137"/>
        <v>9.6600331674958545E-2</v>
      </c>
      <c r="CR272" s="47">
        <v>11754</v>
      </c>
      <c r="CS272" s="55">
        <f t="shared" si="130"/>
        <v>1.6243781094527363</v>
      </c>
      <c r="CT272" s="59">
        <v>7664</v>
      </c>
      <c r="CU272" s="29" t="s">
        <v>25</v>
      </c>
      <c r="CV272" s="29" t="s">
        <v>25</v>
      </c>
      <c r="CW272" s="29" t="s">
        <v>25</v>
      </c>
      <c r="CX272" s="35">
        <v>0</v>
      </c>
      <c r="CY272" s="49">
        <v>0</v>
      </c>
      <c r="CZ272" s="35">
        <v>1</v>
      </c>
      <c r="DA272" s="35">
        <v>2.625</v>
      </c>
      <c r="DB272" s="35">
        <v>3.625</v>
      </c>
      <c r="DC272" s="49">
        <f t="shared" si="131"/>
        <v>1996.1379310344828</v>
      </c>
      <c r="DD272" s="30">
        <v>321</v>
      </c>
      <c r="DE272" s="31">
        <v>49801</v>
      </c>
      <c r="DF272" s="35">
        <v>40</v>
      </c>
      <c r="DG272" s="29" t="s">
        <v>25</v>
      </c>
      <c r="DH272" s="29" t="s">
        <v>25</v>
      </c>
      <c r="DI272" s="29" t="s">
        <v>25</v>
      </c>
      <c r="DJ272" s="47">
        <v>1032</v>
      </c>
      <c r="DK272" s="47">
        <v>2527</v>
      </c>
      <c r="DL272" s="47">
        <v>8</v>
      </c>
      <c r="DM272" s="47">
        <v>5162</v>
      </c>
      <c r="DN272" s="47">
        <v>673</v>
      </c>
      <c r="DO272" s="47">
        <v>0</v>
      </c>
      <c r="DP272" s="29" t="s">
        <v>25</v>
      </c>
      <c r="DQ272" s="47">
        <v>2790</v>
      </c>
      <c r="DR272" s="47">
        <v>2190</v>
      </c>
      <c r="DS272" s="30">
        <v>52</v>
      </c>
      <c r="DT272" s="30">
        <v>44</v>
      </c>
      <c r="DU272" s="30">
        <v>44</v>
      </c>
      <c r="DV272" s="30">
        <v>44</v>
      </c>
      <c r="DX272" s="2">
        <f t="shared" si="132"/>
        <v>2190</v>
      </c>
      <c r="DY272" s="33" t="s">
        <v>2181</v>
      </c>
      <c r="DZ272" s="33" t="s">
        <v>1645</v>
      </c>
      <c r="EA272" s="33" t="s">
        <v>2030</v>
      </c>
      <c r="EB272" s="33" t="s">
        <v>2027</v>
      </c>
      <c r="EC272" s="36">
        <v>558</v>
      </c>
      <c r="ED272" s="29" t="s">
        <v>1644</v>
      </c>
      <c r="EE272" s="29" t="s">
        <v>91</v>
      </c>
      <c r="EF272" s="37">
        <v>41548</v>
      </c>
      <c r="EG272" s="37">
        <v>41912</v>
      </c>
      <c r="EH272" s="29" t="s">
        <v>1644</v>
      </c>
      <c r="EI272" s="55">
        <f t="shared" si="133"/>
        <v>0.60392482034273076</v>
      </c>
      <c r="EJ272" s="54">
        <f t="shared" si="134"/>
        <v>6.9098949695964621E-4</v>
      </c>
      <c r="EK272" s="55">
        <f t="shared" si="135"/>
        <v>1.1109729132117192</v>
      </c>
      <c r="EL272" s="54">
        <f t="shared" si="136"/>
        <v>0.10005527915975677</v>
      </c>
    </row>
    <row r="273" spans="1:142" ht="28.8" x14ac:dyDescent="0.3">
      <c r="A273" s="29" t="s">
        <v>751</v>
      </c>
      <c r="B273" s="29"/>
      <c r="C273" s="30">
        <v>7606</v>
      </c>
      <c r="D273" s="30">
        <v>1</v>
      </c>
      <c r="E273" s="30">
        <v>0</v>
      </c>
      <c r="F273" s="30">
        <v>9030</v>
      </c>
      <c r="G273">
        <v>9606</v>
      </c>
      <c r="H273" s="2">
        <f t="shared" si="112"/>
        <v>18636</v>
      </c>
      <c r="I273" s="1">
        <f t="shared" si="111"/>
        <v>2.4501709176965552</v>
      </c>
      <c r="J273" s="31">
        <v>96538</v>
      </c>
      <c r="K273" s="31">
        <v>51965</v>
      </c>
      <c r="L273" s="31">
        <v>148503</v>
      </c>
      <c r="M273" s="45">
        <f t="shared" si="113"/>
        <v>19.524454378122535</v>
      </c>
      <c r="N273" s="31">
        <v>9930</v>
      </c>
      <c r="O273" s="31">
        <v>2359</v>
      </c>
      <c r="P273" s="31">
        <v>341</v>
      </c>
      <c r="Q273" s="31">
        <v>12630</v>
      </c>
      <c r="R273" s="45">
        <f t="shared" si="114"/>
        <v>1.6605311596108336</v>
      </c>
      <c r="S273" s="31">
        <v>25777</v>
      </c>
      <c r="T273" s="31">
        <v>186910</v>
      </c>
      <c r="U273" s="31">
        <v>0</v>
      </c>
      <c r="V273" s="31">
        <v>186910</v>
      </c>
      <c r="W273" s="45">
        <f t="shared" si="115"/>
        <v>24.574020510123585</v>
      </c>
      <c r="X273" s="4">
        <f t="shared" si="116"/>
        <v>0.79451607725643358</v>
      </c>
      <c r="Y273" s="4">
        <f t="shared" si="117"/>
        <v>6.757262853779894E-2</v>
      </c>
      <c r="Z273" s="4">
        <f t="shared" si="118"/>
        <v>0.13791129420576748</v>
      </c>
      <c r="AA273" s="4">
        <f t="shared" si="119"/>
        <v>0</v>
      </c>
      <c r="AB273" s="31">
        <v>0</v>
      </c>
      <c r="AC273" s="31">
        <v>12630</v>
      </c>
      <c r="AD273" s="31">
        <v>182475</v>
      </c>
      <c r="AE273" s="31">
        <v>182475</v>
      </c>
      <c r="AF273" s="31">
        <v>0</v>
      </c>
      <c r="AG273" s="31">
        <v>182475</v>
      </c>
      <c r="AH273" s="31">
        <v>0</v>
      </c>
      <c r="AI273" s="31">
        <v>182475</v>
      </c>
      <c r="AJ273" s="45">
        <f t="shared" si="120"/>
        <v>23.990928214567447</v>
      </c>
      <c r="AK273" s="31">
        <v>0</v>
      </c>
      <c r="AL273" s="31">
        <v>0</v>
      </c>
      <c r="AM273" s="31">
        <v>0</v>
      </c>
      <c r="AN273" s="31">
        <v>0</v>
      </c>
      <c r="AO273" s="31">
        <v>0</v>
      </c>
      <c r="AP273" s="31">
        <v>4436</v>
      </c>
      <c r="AQ273" s="31">
        <v>4436</v>
      </c>
      <c r="AR273" s="31">
        <v>186911</v>
      </c>
      <c r="AS273" s="46">
        <f t="shared" si="121"/>
        <v>24.574151985274781</v>
      </c>
      <c r="AT273" s="31">
        <v>0</v>
      </c>
      <c r="AU273" s="31">
        <v>0</v>
      </c>
      <c r="AV273" s="31">
        <v>0</v>
      </c>
      <c r="AW273" s="31">
        <v>0</v>
      </c>
      <c r="AX273" s="31">
        <v>0</v>
      </c>
      <c r="AY273" s="31">
        <v>0</v>
      </c>
      <c r="AZ273" s="31">
        <v>0</v>
      </c>
      <c r="BA273" s="31">
        <v>0</v>
      </c>
      <c r="BB273" s="31">
        <v>0</v>
      </c>
      <c r="BC273" s="33" t="s">
        <v>25</v>
      </c>
      <c r="BD273" s="47">
        <v>0</v>
      </c>
      <c r="BE273" s="47">
        <v>36812</v>
      </c>
      <c r="BF273" s="45">
        <f t="shared" si="122"/>
        <v>4.8398632658427561</v>
      </c>
      <c r="BG273" s="30">
        <v>0</v>
      </c>
      <c r="BH273" s="30">
        <v>885</v>
      </c>
      <c r="BI273" s="30">
        <v>0</v>
      </c>
      <c r="BJ273" s="30">
        <v>0</v>
      </c>
      <c r="BK273" s="30">
        <v>790</v>
      </c>
      <c r="BL273" s="30">
        <v>0</v>
      </c>
      <c r="BM273" s="30">
        <v>48</v>
      </c>
      <c r="BN273" s="30">
        <v>0</v>
      </c>
      <c r="BO273" s="30">
        <v>51</v>
      </c>
      <c r="BP273" s="30">
        <v>0</v>
      </c>
      <c r="BQ273" s="30">
        <v>51</v>
      </c>
      <c r="BR273" s="47">
        <v>0</v>
      </c>
      <c r="BS273" s="47">
        <v>38535</v>
      </c>
      <c r="BT273" s="1">
        <f t="shared" si="123"/>
        <v>5.0663949513541944</v>
      </c>
      <c r="BU273" s="30">
        <v>76</v>
      </c>
      <c r="BV273" s="30">
        <v>0</v>
      </c>
      <c r="BW273" s="47">
        <v>8250</v>
      </c>
      <c r="BX273" s="52">
        <f t="shared" si="124"/>
        <v>1.084669997370497</v>
      </c>
      <c r="BY273" s="47">
        <v>12202</v>
      </c>
      <c r="BZ273" s="47">
        <v>1500</v>
      </c>
      <c r="CA273" s="47">
        <v>24212</v>
      </c>
      <c r="CB273" s="47">
        <v>0</v>
      </c>
      <c r="CC273" s="47">
        <v>37914</v>
      </c>
      <c r="CD273" s="55">
        <f t="shared" si="125"/>
        <v>4.9847488824612149</v>
      </c>
      <c r="CE273" s="3">
        <f t="shared" si="126"/>
        <v>12638</v>
      </c>
      <c r="CF273" s="55">
        <f t="shared" si="127"/>
        <v>10.415934065934065</v>
      </c>
      <c r="CG273" s="55">
        <f t="shared" si="128"/>
        <v>1.1240438778535429</v>
      </c>
      <c r="CH273" s="55">
        <f t="shared" si="129"/>
        <v>0.94495912806539506</v>
      </c>
      <c r="CI273" s="30">
        <v>6</v>
      </c>
      <c r="CJ273" s="30">
        <v>0</v>
      </c>
      <c r="CK273" s="30">
        <v>1</v>
      </c>
      <c r="CL273" s="30">
        <v>7</v>
      </c>
      <c r="CM273" s="30">
        <v>312</v>
      </c>
      <c r="CN273" s="30">
        <v>0</v>
      </c>
      <c r="CO273" s="30">
        <v>15</v>
      </c>
      <c r="CP273" s="30">
        <v>327</v>
      </c>
      <c r="CQ273" s="1">
        <f t="shared" si="137"/>
        <v>4.2992374441230607E-2</v>
      </c>
      <c r="CR273" s="47">
        <v>33730</v>
      </c>
      <c r="CS273" s="55">
        <f t="shared" si="130"/>
        <v>4.4346568498553776</v>
      </c>
      <c r="CT273" s="59">
        <v>1910</v>
      </c>
      <c r="CU273" s="29" t="s">
        <v>25</v>
      </c>
      <c r="CV273" s="29" t="s">
        <v>25</v>
      </c>
      <c r="CW273" s="29" t="s">
        <v>25</v>
      </c>
      <c r="CX273" s="35">
        <v>0</v>
      </c>
      <c r="CY273" s="49">
        <v>0</v>
      </c>
      <c r="CZ273" s="35">
        <v>1</v>
      </c>
      <c r="DA273" s="35">
        <v>2</v>
      </c>
      <c r="DB273" s="35">
        <v>3</v>
      </c>
      <c r="DC273" s="49">
        <f t="shared" si="131"/>
        <v>2535.3333333333335</v>
      </c>
      <c r="DD273" s="30">
        <v>1415</v>
      </c>
      <c r="DE273" s="31">
        <v>36394</v>
      </c>
      <c r="DF273" s="35">
        <v>40</v>
      </c>
      <c r="DG273" s="29" t="s">
        <v>25</v>
      </c>
      <c r="DH273" s="29" t="s">
        <v>25</v>
      </c>
      <c r="DI273" s="29" t="s">
        <v>25</v>
      </c>
      <c r="DJ273" s="47">
        <v>0</v>
      </c>
      <c r="DK273" s="47">
        <v>0</v>
      </c>
      <c r="DL273" s="47">
        <v>8</v>
      </c>
      <c r="DM273" s="47">
        <v>6300</v>
      </c>
      <c r="DN273" s="47">
        <v>72</v>
      </c>
      <c r="DO273" s="47">
        <v>2914</v>
      </c>
      <c r="DP273" s="29" t="s">
        <v>2028</v>
      </c>
      <c r="DQ273" s="47">
        <v>0</v>
      </c>
      <c r="DR273" s="47">
        <v>2080</v>
      </c>
      <c r="DS273" s="30">
        <v>52</v>
      </c>
      <c r="DT273" s="30">
        <v>52</v>
      </c>
      <c r="DU273" s="30">
        <v>40</v>
      </c>
      <c r="DV273" s="30">
        <v>40</v>
      </c>
      <c r="DW273">
        <f>VLOOKUP(EC273,branch!$I$4:$K$77,3,0)</f>
        <v>1560</v>
      </c>
      <c r="DX273" s="2">
        <f t="shared" si="132"/>
        <v>3640</v>
      </c>
      <c r="DY273" s="33" t="s">
        <v>2178</v>
      </c>
      <c r="DZ273" s="33" t="s">
        <v>754</v>
      </c>
      <c r="EA273" s="33" t="s">
        <v>2031</v>
      </c>
      <c r="EB273" s="33" t="s">
        <v>2027</v>
      </c>
      <c r="EC273" s="36">
        <v>212</v>
      </c>
      <c r="ED273" s="29" t="s">
        <v>752</v>
      </c>
      <c r="EE273" s="29" t="s">
        <v>753</v>
      </c>
      <c r="EF273" s="37">
        <v>41640</v>
      </c>
      <c r="EG273" s="37">
        <v>42004</v>
      </c>
      <c r="EH273" s="29" t="s">
        <v>752</v>
      </c>
      <c r="EI273" s="55">
        <f t="shared" si="133"/>
        <v>1.604259794898764</v>
      </c>
      <c r="EJ273" s="54">
        <f t="shared" si="134"/>
        <v>0.19721272679463581</v>
      </c>
      <c r="EK273" s="55">
        <f t="shared" si="135"/>
        <v>3.1832763607678149</v>
      </c>
      <c r="EL273" s="54">
        <f t="shared" si="136"/>
        <v>0</v>
      </c>
    </row>
    <row r="274" spans="1:142" ht="28.8" x14ac:dyDescent="0.3">
      <c r="A274" s="29" t="s">
        <v>755</v>
      </c>
      <c r="B274" s="29"/>
      <c r="C274" s="30">
        <v>22663</v>
      </c>
      <c r="D274" s="30">
        <v>1</v>
      </c>
      <c r="E274" s="30">
        <v>0</v>
      </c>
      <c r="F274" s="30">
        <v>22064</v>
      </c>
      <c r="G274">
        <v>1795</v>
      </c>
      <c r="H274" s="2">
        <f t="shared" si="112"/>
        <v>23859</v>
      </c>
      <c r="I274" s="1">
        <f t="shared" si="111"/>
        <v>1.0527732427304417</v>
      </c>
      <c r="J274" s="31">
        <v>343132</v>
      </c>
      <c r="K274" s="31">
        <v>134671</v>
      </c>
      <c r="L274" s="31">
        <v>477803</v>
      </c>
      <c r="M274" s="45">
        <f t="shared" si="113"/>
        <v>21.082954595596348</v>
      </c>
      <c r="N274" s="31">
        <v>64312</v>
      </c>
      <c r="O274" s="31">
        <v>15087</v>
      </c>
      <c r="P274" s="31">
        <v>16572</v>
      </c>
      <c r="Q274" s="31">
        <v>95971</v>
      </c>
      <c r="R274" s="45">
        <f t="shared" si="114"/>
        <v>4.2346997308388126</v>
      </c>
      <c r="S274" s="31">
        <v>122338</v>
      </c>
      <c r="T274" s="31">
        <v>696112</v>
      </c>
      <c r="U274" s="31">
        <v>0</v>
      </c>
      <c r="V274" s="31">
        <v>696112</v>
      </c>
      <c r="W274" s="45">
        <f t="shared" si="115"/>
        <v>30.715792260512728</v>
      </c>
      <c r="X274" s="4">
        <f t="shared" si="116"/>
        <v>0.68638810995931687</v>
      </c>
      <c r="Y274" s="4">
        <f t="shared" si="117"/>
        <v>0.13786718229250466</v>
      </c>
      <c r="Z274" s="4">
        <f t="shared" si="118"/>
        <v>0.17574470774817846</v>
      </c>
      <c r="AA274" s="4">
        <f t="shared" si="119"/>
        <v>0</v>
      </c>
      <c r="AB274" s="31">
        <v>21238</v>
      </c>
      <c r="AC274" s="31">
        <v>95971</v>
      </c>
      <c r="AD274" s="31">
        <v>696112</v>
      </c>
      <c r="AE274" s="31">
        <v>667242</v>
      </c>
      <c r="AF274" s="31">
        <v>716458</v>
      </c>
      <c r="AG274" s="31">
        <v>0</v>
      </c>
      <c r="AH274" s="31">
        <v>0</v>
      </c>
      <c r="AI274" s="31">
        <v>716458</v>
      </c>
      <c r="AJ274" s="45">
        <f t="shared" si="120"/>
        <v>31.613555133918723</v>
      </c>
      <c r="AK274" s="31">
        <v>0</v>
      </c>
      <c r="AL274" s="31">
        <v>0</v>
      </c>
      <c r="AM274" s="31">
        <v>0</v>
      </c>
      <c r="AN274" s="31">
        <v>0</v>
      </c>
      <c r="AO274" s="31">
        <v>0</v>
      </c>
      <c r="AP274" s="31">
        <v>36997</v>
      </c>
      <c r="AQ274" s="31">
        <v>36997</v>
      </c>
      <c r="AR274" s="31">
        <v>753455</v>
      </c>
      <c r="AS274" s="46">
        <f t="shared" si="121"/>
        <v>33.24603980055597</v>
      </c>
      <c r="AT274" s="31">
        <v>0</v>
      </c>
      <c r="AU274" s="31">
        <v>0</v>
      </c>
      <c r="AV274" s="31">
        <v>0</v>
      </c>
      <c r="AW274" s="31">
        <v>0</v>
      </c>
      <c r="AX274" s="31">
        <v>0</v>
      </c>
      <c r="AY274" s="31">
        <v>0</v>
      </c>
      <c r="AZ274" s="31">
        <v>0</v>
      </c>
      <c r="BA274" s="31">
        <v>0</v>
      </c>
      <c r="BB274" s="31">
        <v>0</v>
      </c>
      <c r="BC274" s="33" t="s">
        <v>25</v>
      </c>
      <c r="BD274" s="47">
        <v>48996</v>
      </c>
      <c r="BE274" s="47">
        <v>51024</v>
      </c>
      <c r="BF274" s="45">
        <f t="shared" si="122"/>
        <v>2.2514230243127566</v>
      </c>
      <c r="BG274" s="30">
        <v>1548</v>
      </c>
      <c r="BH274" s="30">
        <v>1618</v>
      </c>
      <c r="BI274" s="30">
        <v>156</v>
      </c>
      <c r="BJ274" s="30">
        <v>2763</v>
      </c>
      <c r="BK274" s="30">
        <v>3035</v>
      </c>
      <c r="BL274" s="30">
        <v>0</v>
      </c>
      <c r="BM274" s="30">
        <v>690</v>
      </c>
      <c r="BN274" s="30">
        <v>4</v>
      </c>
      <c r="BO274" s="30">
        <v>51</v>
      </c>
      <c r="BP274" s="30">
        <v>0</v>
      </c>
      <c r="BQ274" s="30">
        <v>55</v>
      </c>
      <c r="BR274" s="47">
        <v>53307</v>
      </c>
      <c r="BS274" s="47">
        <v>56527</v>
      </c>
      <c r="BT274" s="1">
        <f t="shared" si="123"/>
        <v>2.4942417155716368</v>
      </c>
      <c r="BU274" s="30">
        <v>139</v>
      </c>
      <c r="BV274" s="30">
        <v>6</v>
      </c>
      <c r="BW274" s="47">
        <v>8774</v>
      </c>
      <c r="BX274" s="52">
        <f t="shared" si="124"/>
        <v>0.38715086263954462</v>
      </c>
      <c r="BY274" s="47">
        <v>31125</v>
      </c>
      <c r="BZ274" s="47">
        <v>144</v>
      </c>
      <c r="CA274" s="47">
        <v>79102</v>
      </c>
      <c r="CB274" s="47">
        <v>1349</v>
      </c>
      <c r="CC274" s="47">
        <v>111720</v>
      </c>
      <c r="CD274" s="55">
        <f t="shared" si="125"/>
        <v>4.9296209680977805</v>
      </c>
      <c r="CE274" s="3">
        <f t="shared" si="126"/>
        <v>12990.697674418605</v>
      </c>
      <c r="CF274" s="55">
        <f t="shared" si="127"/>
        <v>28.254931714719273</v>
      </c>
      <c r="CG274" s="55">
        <f t="shared" si="128"/>
        <v>1.1354812480943186</v>
      </c>
      <c r="CH274" s="55">
        <f t="shared" si="129"/>
        <v>1.9499885010702851</v>
      </c>
      <c r="CI274" s="30">
        <v>105</v>
      </c>
      <c r="CJ274" s="30">
        <v>11</v>
      </c>
      <c r="CK274" s="30">
        <v>23</v>
      </c>
      <c r="CL274" s="30">
        <v>139</v>
      </c>
      <c r="CM274" s="30">
        <v>4966</v>
      </c>
      <c r="CN274" s="30">
        <v>32</v>
      </c>
      <c r="CO274" s="30">
        <v>162</v>
      </c>
      <c r="CP274" s="30">
        <v>5160</v>
      </c>
      <c r="CQ274" s="1">
        <f t="shared" si="137"/>
        <v>0.22768389004103606</v>
      </c>
      <c r="CR274" s="47">
        <v>98390</v>
      </c>
      <c r="CS274" s="55">
        <f t="shared" si="130"/>
        <v>4.3414375854917706</v>
      </c>
      <c r="CT274" s="59">
        <v>7949</v>
      </c>
      <c r="CU274" s="29" t="s">
        <v>25</v>
      </c>
      <c r="CV274" s="29" t="s">
        <v>25</v>
      </c>
      <c r="CW274" s="29" t="s">
        <v>25</v>
      </c>
      <c r="CX274" s="35">
        <v>3</v>
      </c>
      <c r="CY274" s="49">
        <f>C274/CX274</f>
        <v>7554.333333333333</v>
      </c>
      <c r="CZ274" s="35">
        <v>0</v>
      </c>
      <c r="DA274" s="35">
        <v>5.6</v>
      </c>
      <c r="DB274" s="35">
        <v>8.6</v>
      </c>
      <c r="DC274" s="49">
        <f t="shared" si="131"/>
        <v>2635.2325581395348</v>
      </c>
      <c r="DD274" s="30">
        <v>1396</v>
      </c>
      <c r="DE274" s="31">
        <v>65915</v>
      </c>
      <c r="DF274" s="35">
        <v>40</v>
      </c>
      <c r="DG274" s="29" t="s">
        <v>25</v>
      </c>
      <c r="DH274" s="29" t="s">
        <v>25</v>
      </c>
      <c r="DI274" s="29" t="s">
        <v>25</v>
      </c>
      <c r="DJ274" s="47">
        <v>1725</v>
      </c>
      <c r="DK274" s="47">
        <v>23</v>
      </c>
      <c r="DL274" s="47">
        <v>27</v>
      </c>
      <c r="DM274" s="47">
        <v>27004</v>
      </c>
      <c r="DN274" s="47">
        <v>3372</v>
      </c>
      <c r="DO274" s="47">
        <v>15288</v>
      </c>
      <c r="DP274" s="29" t="s">
        <v>25</v>
      </c>
      <c r="DQ274" s="47">
        <v>11443</v>
      </c>
      <c r="DR274" s="47">
        <v>2658</v>
      </c>
      <c r="DS274" s="30">
        <v>52</v>
      </c>
      <c r="DT274" s="30">
        <v>54</v>
      </c>
      <c r="DU274" s="30">
        <v>54</v>
      </c>
      <c r="DV274" s="30">
        <v>54</v>
      </c>
      <c r="DW274">
        <f>VLOOKUP(EC274,branch!$I$4:$K$77,3,0)</f>
        <v>1296</v>
      </c>
      <c r="DX274" s="2">
        <f t="shared" si="132"/>
        <v>3954</v>
      </c>
      <c r="DY274" s="33" t="s">
        <v>2187</v>
      </c>
      <c r="DZ274" s="33" t="s">
        <v>759</v>
      </c>
      <c r="EA274" s="33" t="s">
        <v>2030</v>
      </c>
      <c r="EB274" s="33" t="s">
        <v>2027</v>
      </c>
      <c r="EC274" s="36">
        <v>213</v>
      </c>
      <c r="ED274" s="29" t="s">
        <v>756</v>
      </c>
      <c r="EE274" s="29" t="s">
        <v>757</v>
      </c>
      <c r="EF274" s="37">
        <v>41548</v>
      </c>
      <c r="EG274" s="37">
        <v>41912</v>
      </c>
      <c r="EH274" s="29" t="s">
        <v>756</v>
      </c>
      <c r="EI274" s="55">
        <f t="shared" si="133"/>
        <v>1.3733839297533426</v>
      </c>
      <c r="EJ274" s="54">
        <f t="shared" si="134"/>
        <v>6.3539690244010056E-3</v>
      </c>
      <c r="EK274" s="55">
        <f t="shared" si="135"/>
        <v>3.4903587345011693</v>
      </c>
      <c r="EL274" s="54">
        <f t="shared" si="136"/>
        <v>5.9524334818867757E-2</v>
      </c>
    </row>
    <row r="275" spans="1:142" ht="28.8" x14ac:dyDescent="0.3">
      <c r="A275" s="29" t="s">
        <v>760</v>
      </c>
      <c r="B275" s="29"/>
      <c r="C275" s="30">
        <v>16898</v>
      </c>
      <c r="D275" s="30">
        <v>0</v>
      </c>
      <c r="E275" s="30">
        <v>0</v>
      </c>
      <c r="F275" s="30">
        <v>8306</v>
      </c>
      <c r="H275" s="2">
        <f t="shared" si="112"/>
        <v>8306</v>
      </c>
      <c r="I275" s="1">
        <f t="shared" si="111"/>
        <v>0.49153746005444432</v>
      </c>
      <c r="J275" s="31">
        <v>195141</v>
      </c>
      <c r="K275" s="31">
        <v>89160</v>
      </c>
      <c r="L275" s="31">
        <v>284301</v>
      </c>
      <c r="M275" s="45">
        <f t="shared" si="113"/>
        <v>16.824535447982008</v>
      </c>
      <c r="N275" s="31">
        <v>23640</v>
      </c>
      <c r="O275" s="31">
        <v>12428</v>
      </c>
      <c r="P275" s="31">
        <v>11100</v>
      </c>
      <c r="Q275" s="31">
        <v>47168</v>
      </c>
      <c r="R275" s="45">
        <f t="shared" si="114"/>
        <v>2.7913362528109835</v>
      </c>
      <c r="S275" s="31">
        <v>75261</v>
      </c>
      <c r="T275" s="31">
        <v>406730</v>
      </c>
      <c r="U275" s="31">
        <v>0</v>
      </c>
      <c r="V275" s="31">
        <v>406730</v>
      </c>
      <c r="W275" s="45">
        <f t="shared" si="115"/>
        <v>24.069712391999055</v>
      </c>
      <c r="X275" s="4">
        <f t="shared" si="116"/>
        <v>0.69899196026848276</v>
      </c>
      <c r="Y275" s="4">
        <f t="shared" si="117"/>
        <v>0.11596882452732771</v>
      </c>
      <c r="Z275" s="4">
        <f t="shared" si="118"/>
        <v>0.18503921520418951</v>
      </c>
      <c r="AA275" s="4">
        <f t="shared" si="119"/>
        <v>0</v>
      </c>
      <c r="AB275" s="31">
        <v>0</v>
      </c>
      <c r="AC275" s="31">
        <v>47168</v>
      </c>
      <c r="AD275" s="31">
        <v>406730</v>
      </c>
      <c r="AE275" s="31">
        <v>395772</v>
      </c>
      <c r="AF275" s="31">
        <v>379772</v>
      </c>
      <c r="AG275" s="31">
        <v>16000</v>
      </c>
      <c r="AH275" s="31">
        <v>0</v>
      </c>
      <c r="AI275" s="31">
        <v>395772</v>
      </c>
      <c r="AJ275" s="45">
        <f t="shared" si="120"/>
        <v>23.421233282045211</v>
      </c>
      <c r="AK275" s="31">
        <v>0</v>
      </c>
      <c r="AL275" s="31">
        <v>0</v>
      </c>
      <c r="AM275" s="31">
        <v>0</v>
      </c>
      <c r="AN275" s="31">
        <v>0</v>
      </c>
      <c r="AO275" s="31">
        <v>0</v>
      </c>
      <c r="AP275" s="31">
        <v>10958</v>
      </c>
      <c r="AQ275" s="31">
        <v>10958</v>
      </c>
      <c r="AR275" s="31">
        <v>406730</v>
      </c>
      <c r="AS275" s="46">
        <f t="shared" si="121"/>
        <v>24.069712391999055</v>
      </c>
      <c r="AT275" s="31">
        <v>0</v>
      </c>
      <c r="AU275" s="31">
        <v>0</v>
      </c>
      <c r="AV275" s="31">
        <v>0</v>
      </c>
      <c r="AW275" s="31">
        <v>0</v>
      </c>
      <c r="AX275" s="31">
        <v>0</v>
      </c>
      <c r="AY275" s="31">
        <v>0</v>
      </c>
      <c r="AZ275" s="31">
        <v>0</v>
      </c>
      <c r="BA275" s="31">
        <v>0</v>
      </c>
      <c r="BB275" s="31">
        <v>0</v>
      </c>
      <c r="BC275" s="33" t="s">
        <v>25</v>
      </c>
      <c r="BD275" s="47">
        <v>29261</v>
      </c>
      <c r="BE275" s="47">
        <v>30394</v>
      </c>
      <c r="BF275" s="45">
        <f t="shared" si="122"/>
        <v>1.7986743993371996</v>
      </c>
      <c r="BG275" s="30">
        <v>2495</v>
      </c>
      <c r="BH275" s="30">
        <v>2695</v>
      </c>
      <c r="BI275" s="30">
        <v>1695</v>
      </c>
      <c r="BJ275" s="30">
        <v>892</v>
      </c>
      <c r="BK275" s="30">
        <v>912</v>
      </c>
      <c r="BL275" s="30">
        <v>25</v>
      </c>
      <c r="BM275" s="30">
        <v>11398</v>
      </c>
      <c r="BN275" s="30">
        <v>3</v>
      </c>
      <c r="BO275" s="30">
        <v>51</v>
      </c>
      <c r="BP275" s="30">
        <v>0</v>
      </c>
      <c r="BQ275" s="30">
        <v>54</v>
      </c>
      <c r="BR275" s="47">
        <v>32648</v>
      </c>
      <c r="BS275" s="47">
        <v>47122</v>
      </c>
      <c r="BT275" s="1">
        <f t="shared" si="123"/>
        <v>2.7886140371641615</v>
      </c>
      <c r="BU275" s="30">
        <v>58</v>
      </c>
      <c r="BV275" s="30">
        <v>32</v>
      </c>
      <c r="BW275" s="47">
        <v>5875</v>
      </c>
      <c r="BX275" s="52">
        <f t="shared" si="124"/>
        <v>0.34767428097999764</v>
      </c>
      <c r="BY275" s="47">
        <v>13150</v>
      </c>
      <c r="BZ275" s="47">
        <v>326</v>
      </c>
      <c r="CA275" s="47">
        <v>27054</v>
      </c>
      <c r="CB275" s="47">
        <v>3129</v>
      </c>
      <c r="CC275" s="47">
        <v>43659</v>
      </c>
      <c r="CD275" s="55">
        <f t="shared" si="125"/>
        <v>2.5836785418392707</v>
      </c>
      <c r="CE275" s="3">
        <f t="shared" si="126"/>
        <v>7559.9999999999991</v>
      </c>
      <c r="CF275" s="55">
        <f t="shared" si="127"/>
        <v>17.435702875399361</v>
      </c>
      <c r="CG275" s="55">
        <f t="shared" si="128"/>
        <v>1.0258223684210526</v>
      </c>
      <c r="CH275" s="55">
        <f t="shared" si="129"/>
        <v>0.85318959297143582</v>
      </c>
      <c r="CI275" s="30">
        <v>104</v>
      </c>
      <c r="CJ275" s="30">
        <v>0</v>
      </c>
      <c r="CK275" s="30">
        <v>0</v>
      </c>
      <c r="CL275" s="30">
        <v>104</v>
      </c>
      <c r="CM275" s="30">
        <v>5689</v>
      </c>
      <c r="CN275" s="30">
        <v>0</v>
      </c>
      <c r="CO275" s="30">
        <v>0</v>
      </c>
      <c r="CP275" s="30">
        <v>5689</v>
      </c>
      <c r="CQ275" s="1">
        <f t="shared" si="137"/>
        <v>0.33666706119067347</v>
      </c>
      <c r="CR275" s="47">
        <v>42560</v>
      </c>
      <c r="CS275" s="55">
        <f t="shared" si="130"/>
        <v>2.5186412593206295</v>
      </c>
      <c r="CT275" s="59">
        <v>10095</v>
      </c>
      <c r="CU275" s="29" t="s">
        <v>25</v>
      </c>
      <c r="CV275" s="29" t="s">
        <v>25</v>
      </c>
      <c r="CW275" s="29" t="s">
        <v>25</v>
      </c>
      <c r="CX275" s="35">
        <v>0</v>
      </c>
      <c r="CY275" s="49">
        <v>0</v>
      </c>
      <c r="CZ275" s="35">
        <v>1</v>
      </c>
      <c r="DA275" s="35">
        <v>4.7750000000000004</v>
      </c>
      <c r="DB275" s="35">
        <v>5.7750000000000004</v>
      </c>
      <c r="DC275" s="49">
        <f t="shared" si="131"/>
        <v>2926.060606060606</v>
      </c>
      <c r="DD275" s="30">
        <v>0</v>
      </c>
      <c r="DE275" s="31">
        <v>60000</v>
      </c>
      <c r="DF275" s="35">
        <v>40</v>
      </c>
      <c r="DG275" s="29" t="s">
        <v>25</v>
      </c>
      <c r="DH275" s="29" t="s">
        <v>25</v>
      </c>
      <c r="DI275" s="29" t="s">
        <v>25</v>
      </c>
      <c r="DJ275" s="47">
        <v>158</v>
      </c>
      <c r="DK275" s="47">
        <v>3</v>
      </c>
      <c r="DL275" s="47">
        <v>10</v>
      </c>
      <c r="DM275" s="47">
        <v>16490</v>
      </c>
      <c r="DN275" s="47">
        <v>136</v>
      </c>
      <c r="DO275" s="47">
        <v>1098</v>
      </c>
      <c r="DP275" s="29" t="s">
        <v>2028</v>
      </c>
      <c r="DQ275" s="47">
        <v>0</v>
      </c>
      <c r="DR275" s="47">
        <v>2504</v>
      </c>
      <c r="DS275" s="30">
        <v>52</v>
      </c>
      <c r="DT275" s="30">
        <v>50</v>
      </c>
      <c r="DU275" s="30">
        <v>50</v>
      </c>
      <c r="DV275" s="30">
        <v>60</v>
      </c>
      <c r="DX275" s="2">
        <f t="shared" si="132"/>
        <v>2504</v>
      </c>
      <c r="DY275" s="33" t="s">
        <v>2182</v>
      </c>
      <c r="DZ275" s="33" t="s">
        <v>762</v>
      </c>
      <c r="EA275" s="33" t="s">
        <v>2030</v>
      </c>
      <c r="EB275" s="33" t="s">
        <v>2027</v>
      </c>
      <c r="EC275" s="36">
        <v>214</v>
      </c>
      <c r="ED275" s="29" t="s">
        <v>761</v>
      </c>
      <c r="EE275" s="29" t="s">
        <v>581</v>
      </c>
      <c r="EF275" s="37">
        <v>41548</v>
      </c>
      <c r="EG275" s="37">
        <v>41912</v>
      </c>
      <c r="EH275" s="29" t="s">
        <v>761</v>
      </c>
      <c r="EI275" s="55">
        <f t="shared" si="133"/>
        <v>0.77819860338501601</v>
      </c>
      <c r="EJ275" s="54">
        <f t="shared" si="134"/>
        <v>1.9292223931826252E-2</v>
      </c>
      <c r="EK275" s="55">
        <f t="shared" si="135"/>
        <v>1.6010178719375074</v>
      </c>
      <c r="EL275" s="54">
        <f t="shared" si="136"/>
        <v>0.18516984258492128</v>
      </c>
    </row>
    <row r="276" spans="1:142" ht="28.8" x14ac:dyDescent="0.3">
      <c r="A276" s="29" t="s">
        <v>2059</v>
      </c>
      <c r="B276" s="29"/>
      <c r="C276" s="30">
        <v>121161</v>
      </c>
      <c r="D276" s="30">
        <v>1</v>
      </c>
      <c r="E276" s="30">
        <v>0</v>
      </c>
      <c r="F276" s="30">
        <v>14200</v>
      </c>
      <c r="G276">
        <v>9800</v>
      </c>
      <c r="H276" s="2">
        <f t="shared" si="112"/>
        <v>24000</v>
      </c>
      <c r="I276" s="1">
        <f t="shared" si="111"/>
        <v>0.19808354173372619</v>
      </c>
      <c r="J276" s="31">
        <v>913595</v>
      </c>
      <c r="K276" s="31">
        <v>259482</v>
      </c>
      <c r="L276" s="31">
        <v>1173077</v>
      </c>
      <c r="M276" s="45">
        <f t="shared" si="113"/>
        <v>9.6819686202655966</v>
      </c>
      <c r="N276" s="31">
        <v>90105</v>
      </c>
      <c r="O276" s="31">
        <v>100914</v>
      </c>
      <c r="P276" s="31">
        <v>5328</v>
      </c>
      <c r="Q276" s="31">
        <v>196347</v>
      </c>
      <c r="R276" s="45">
        <f t="shared" si="114"/>
        <v>1.6205462153663308</v>
      </c>
      <c r="S276" s="31">
        <v>106696</v>
      </c>
      <c r="T276" s="31">
        <v>1476120</v>
      </c>
      <c r="U276" s="31">
        <v>0</v>
      </c>
      <c r="V276" s="31">
        <v>1476120</v>
      </c>
      <c r="W276" s="45">
        <f t="shared" si="115"/>
        <v>12.18312823433283</v>
      </c>
      <c r="X276" s="4">
        <f t="shared" si="116"/>
        <v>0.794703005175731</v>
      </c>
      <c r="Y276" s="4">
        <f t="shared" si="117"/>
        <v>0.13301560848711486</v>
      </c>
      <c r="Z276" s="4">
        <f t="shared" si="118"/>
        <v>7.2281386337154155E-2</v>
      </c>
      <c r="AA276" s="4">
        <f t="shared" si="119"/>
        <v>0</v>
      </c>
      <c r="AB276" s="31">
        <v>0</v>
      </c>
      <c r="AC276" s="31">
        <v>196348</v>
      </c>
      <c r="AD276" s="31">
        <v>1476120</v>
      </c>
      <c r="AE276" s="31">
        <v>1467854</v>
      </c>
      <c r="AF276" s="31">
        <v>1467854</v>
      </c>
      <c r="AG276" s="31">
        <v>0</v>
      </c>
      <c r="AH276" s="31">
        <v>0</v>
      </c>
      <c r="AI276" s="31">
        <v>1467854</v>
      </c>
      <c r="AJ276" s="45">
        <f t="shared" si="120"/>
        <v>12.114904961167372</v>
      </c>
      <c r="AK276" s="31">
        <v>0</v>
      </c>
      <c r="AL276" s="31">
        <v>0</v>
      </c>
      <c r="AM276" s="31">
        <v>0</v>
      </c>
      <c r="AN276" s="31">
        <v>0</v>
      </c>
      <c r="AO276" s="31">
        <v>0</v>
      </c>
      <c r="AP276" s="31">
        <v>8266</v>
      </c>
      <c r="AQ276" s="31">
        <v>8266</v>
      </c>
      <c r="AR276" s="31">
        <v>1476120</v>
      </c>
      <c r="AS276" s="46">
        <f t="shared" si="121"/>
        <v>12.18312823433283</v>
      </c>
      <c r="AT276" s="31">
        <v>0</v>
      </c>
      <c r="AU276" s="31">
        <v>0</v>
      </c>
      <c r="AV276" s="31">
        <v>0</v>
      </c>
      <c r="AW276" s="31">
        <v>0</v>
      </c>
      <c r="AX276" s="31">
        <v>0</v>
      </c>
      <c r="AY276" s="31">
        <v>0</v>
      </c>
      <c r="AZ276" s="31">
        <v>0</v>
      </c>
      <c r="BA276" s="31">
        <v>0</v>
      </c>
      <c r="BB276" s="31">
        <v>0</v>
      </c>
      <c r="BC276" s="33" t="s">
        <v>25</v>
      </c>
      <c r="BD276" s="47">
        <v>89971</v>
      </c>
      <c r="BE276" s="47">
        <v>116962</v>
      </c>
      <c r="BF276" s="45">
        <f t="shared" si="122"/>
        <v>0.96534363367750353</v>
      </c>
      <c r="BG276" s="30">
        <v>3998</v>
      </c>
      <c r="BH276" s="30">
        <v>4838</v>
      </c>
      <c r="BI276" s="30">
        <v>2157</v>
      </c>
      <c r="BJ276" s="30">
        <v>7530</v>
      </c>
      <c r="BK276" s="30">
        <v>10015</v>
      </c>
      <c r="BL276" s="30">
        <v>81</v>
      </c>
      <c r="BM276" s="30">
        <v>4077</v>
      </c>
      <c r="BN276" s="30">
        <v>10</v>
      </c>
      <c r="BO276" s="30">
        <v>0</v>
      </c>
      <c r="BP276" s="30">
        <v>0</v>
      </c>
      <c r="BQ276" s="30">
        <v>10</v>
      </c>
      <c r="BR276" s="47">
        <v>101499</v>
      </c>
      <c r="BS276" s="47">
        <v>138140</v>
      </c>
      <c r="BT276" s="1">
        <f t="shared" si="123"/>
        <v>1.1401358522957057</v>
      </c>
      <c r="BU276" s="30">
        <v>84</v>
      </c>
      <c r="BV276" s="30">
        <v>79</v>
      </c>
      <c r="BW276" s="47">
        <v>27220</v>
      </c>
      <c r="BX276" s="52">
        <f t="shared" si="124"/>
        <v>0.22465975024966781</v>
      </c>
      <c r="BY276" s="47">
        <v>93709</v>
      </c>
      <c r="BZ276" s="47">
        <v>2156</v>
      </c>
      <c r="CA276" s="47">
        <v>183836</v>
      </c>
      <c r="CB276" s="47">
        <v>8103</v>
      </c>
      <c r="CC276" s="47">
        <v>287804</v>
      </c>
      <c r="CD276" s="55">
        <f t="shared" si="125"/>
        <v>2.3753848185472224</v>
      </c>
      <c r="CE276" s="3">
        <f t="shared" si="126"/>
        <v>10759.028037383177</v>
      </c>
      <c r="CF276" s="55">
        <f t="shared" si="127"/>
        <v>55.389530408006159</v>
      </c>
      <c r="CG276" s="55">
        <f t="shared" si="128"/>
        <v>1.0620740046423576</v>
      </c>
      <c r="CH276" s="55">
        <f t="shared" si="129"/>
        <v>2.0091573765744895</v>
      </c>
      <c r="CI276" s="30">
        <v>193</v>
      </c>
      <c r="CJ276" s="30">
        <v>12</v>
      </c>
      <c r="CK276" s="30">
        <v>2</v>
      </c>
      <c r="CL276" s="30">
        <v>207</v>
      </c>
      <c r="CM276" s="30">
        <v>7715</v>
      </c>
      <c r="CN276" s="30">
        <v>101</v>
      </c>
      <c r="CO276" s="30">
        <v>34</v>
      </c>
      <c r="CP276" s="30">
        <v>7850</v>
      </c>
      <c r="CQ276" s="1">
        <f t="shared" si="137"/>
        <v>6.478982510873961E-2</v>
      </c>
      <c r="CR276" s="47">
        <v>270983</v>
      </c>
      <c r="CS276" s="55">
        <f t="shared" si="130"/>
        <v>2.236553016234597</v>
      </c>
      <c r="CT276" s="59">
        <v>77156</v>
      </c>
      <c r="CU276" s="29" t="s">
        <v>26</v>
      </c>
      <c r="CV276" s="29" t="s">
        <v>25</v>
      </c>
      <c r="CW276" s="29" t="s">
        <v>25</v>
      </c>
      <c r="CX276" s="35">
        <v>4</v>
      </c>
      <c r="CY276" s="49">
        <f>C276/CX276</f>
        <v>30290.25</v>
      </c>
      <c r="CZ276" s="35">
        <v>2</v>
      </c>
      <c r="DA276" s="35">
        <v>20.75</v>
      </c>
      <c r="DB276" s="35">
        <v>26.75</v>
      </c>
      <c r="DC276" s="49">
        <f t="shared" si="131"/>
        <v>4529.3831775700937</v>
      </c>
      <c r="DD276" s="30">
        <v>1</v>
      </c>
      <c r="DE276" s="31">
        <v>103313</v>
      </c>
      <c r="DF276" s="35">
        <v>40</v>
      </c>
      <c r="DG276" s="29" t="s">
        <v>25</v>
      </c>
      <c r="DH276" s="29" t="s">
        <v>26</v>
      </c>
      <c r="DI276" s="29" t="s">
        <v>26</v>
      </c>
      <c r="DJ276" s="47">
        <v>0</v>
      </c>
      <c r="DK276" s="47">
        <v>0</v>
      </c>
      <c r="DL276" s="47">
        <v>28</v>
      </c>
      <c r="DM276" s="47">
        <v>100057</v>
      </c>
      <c r="DN276" s="47">
        <v>0</v>
      </c>
      <c r="DO276" s="47">
        <v>0</v>
      </c>
      <c r="DP276" s="29" t="s">
        <v>25</v>
      </c>
      <c r="DQ276" s="47">
        <v>28228</v>
      </c>
      <c r="DR276" s="47">
        <v>2598</v>
      </c>
      <c r="DS276" s="30">
        <v>52</v>
      </c>
      <c r="DT276" s="30">
        <v>56</v>
      </c>
      <c r="DU276" s="30">
        <v>52</v>
      </c>
      <c r="DV276" s="30">
        <v>52</v>
      </c>
      <c r="DW276">
        <f>VLOOKUP(EC276,branch!$I$4:$K$77,3,0)</f>
        <v>2598</v>
      </c>
      <c r="DX276" s="2">
        <f t="shared" si="132"/>
        <v>5196</v>
      </c>
      <c r="DY276" s="33" t="s">
        <v>2186</v>
      </c>
      <c r="DZ276" s="33" t="s">
        <v>2190</v>
      </c>
      <c r="EA276" s="33" t="s">
        <v>2030</v>
      </c>
      <c r="EB276" s="33" t="s">
        <v>2027</v>
      </c>
      <c r="EC276" s="36">
        <v>215</v>
      </c>
      <c r="ED276" s="29" t="s">
        <v>2199</v>
      </c>
      <c r="EE276" s="29" t="s">
        <v>128</v>
      </c>
      <c r="EF276" s="37">
        <v>41548</v>
      </c>
      <c r="EG276" s="37">
        <v>41912</v>
      </c>
      <c r="EH276" s="29" t="s">
        <v>2199</v>
      </c>
      <c r="EI276" s="55">
        <f t="shared" si="133"/>
        <v>0.77342544218023956</v>
      </c>
      <c r="EJ276" s="54">
        <f t="shared" si="134"/>
        <v>1.7794504832413072E-2</v>
      </c>
      <c r="EK276" s="55">
        <f t="shared" si="135"/>
        <v>1.5172869157567204</v>
      </c>
      <c r="EL276" s="54">
        <f t="shared" si="136"/>
        <v>6.6877955777849302E-2</v>
      </c>
    </row>
    <row r="277" spans="1:142" ht="28.8" x14ac:dyDescent="0.3">
      <c r="A277" s="29" t="s">
        <v>763</v>
      </c>
      <c r="B277" s="29"/>
      <c r="C277" s="30">
        <v>32513</v>
      </c>
      <c r="D277" s="30">
        <v>0</v>
      </c>
      <c r="E277" s="30">
        <v>0</v>
      </c>
      <c r="F277" s="30">
        <v>10250</v>
      </c>
      <c r="H277" s="2">
        <f t="shared" si="112"/>
        <v>10250</v>
      </c>
      <c r="I277" s="1">
        <f t="shared" si="111"/>
        <v>0.31525851197982346</v>
      </c>
      <c r="J277" s="31">
        <v>274210</v>
      </c>
      <c r="K277" s="31">
        <v>119482</v>
      </c>
      <c r="L277" s="31">
        <v>393692</v>
      </c>
      <c r="M277" s="45">
        <f t="shared" si="113"/>
        <v>12.108756497401039</v>
      </c>
      <c r="N277" s="31">
        <v>32122</v>
      </c>
      <c r="O277" s="31">
        <v>3954</v>
      </c>
      <c r="P277" s="31">
        <v>741</v>
      </c>
      <c r="Q277" s="31">
        <v>36817</v>
      </c>
      <c r="R277" s="45">
        <f t="shared" si="114"/>
        <v>1.1323778181035278</v>
      </c>
      <c r="S277" s="31">
        <v>114174</v>
      </c>
      <c r="T277" s="31">
        <v>544683</v>
      </c>
      <c r="U277" s="31">
        <v>0</v>
      </c>
      <c r="V277" s="31">
        <v>544683</v>
      </c>
      <c r="W277" s="45">
        <f t="shared" si="115"/>
        <v>16.752775812751821</v>
      </c>
      <c r="X277" s="4">
        <f t="shared" si="116"/>
        <v>0.72279105461341731</v>
      </c>
      <c r="Y277" s="4">
        <f t="shared" si="117"/>
        <v>6.7593444260239444E-2</v>
      </c>
      <c r="Z277" s="4">
        <f t="shared" si="118"/>
        <v>0.20961550112634322</v>
      </c>
      <c r="AA277" s="4">
        <f t="shared" si="119"/>
        <v>0</v>
      </c>
      <c r="AB277" s="31">
        <v>0</v>
      </c>
      <c r="AC277" s="31">
        <v>36817</v>
      </c>
      <c r="AD277" s="31">
        <v>544683</v>
      </c>
      <c r="AE277" s="31">
        <v>544683</v>
      </c>
      <c r="AF277" s="31">
        <v>274551</v>
      </c>
      <c r="AG277" s="31">
        <v>270132</v>
      </c>
      <c r="AH277" s="31">
        <v>0</v>
      </c>
      <c r="AI277" s="31">
        <v>544683</v>
      </c>
      <c r="AJ277" s="45">
        <f t="shared" si="120"/>
        <v>16.752775812751821</v>
      </c>
      <c r="AK277" s="31">
        <v>0</v>
      </c>
      <c r="AL277" s="31">
        <v>0</v>
      </c>
      <c r="AM277" s="31">
        <v>0</v>
      </c>
      <c r="AN277" s="31">
        <v>0</v>
      </c>
      <c r="AO277" s="31">
        <v>6000</v>
      </c>
      <c r="AP277" s="31">
        <v>0</v>
      </c>
      <c r="AQ277" s="31">
        <v>6000</v>
      </c>
      <c r="AR277" s="31">
        <v>550683</v>
      </c>
      <c r="AS277" s="46">
        <f t="shared" si="121"/>
        <v>16.937317380740012</v>
      </c>
      <c r="AT277" s="31">
        <v>0</v>
      </c>
      <c r="AU277" s="31">
        <v>0</v>
      </c>
      <c r="AV277" s="31">
        <v>0</v>
      </c>
      <c r="AW277" s="31">
        <v>0</v>
      </c>
      <c r="AX277" s="31">
        <v>0</v>
      </c>
      <c r="AY277" s="31">
        <v>0</v>
      </c>
      <c r="AZ277" s="31">
        <v>0</v>
      </c>
      <c r="BA277" s="31">
        <v>0</v>
      </c>
      <c r="BB277" s="31">
        <v>0</v>
      </c>
      <c r="BC277" s="33" t="s">
        <v>25</v>
      </c>
      <c r="BD277" s="47">
        <v>49119</v>
      </c>
      <c r="BE277" s="47">
        <v>57015</v>
      </c>
      <c r="BF277" s="45">
        <f t="shared" si="122"/>
        <v>1.7536062498077691</v>
      </c>
      <c r="BG277" s="30">
        <v>323</v>
      </c>
      <c r="BH277" s="30">
        <v>499</v>
      </c>
      <c r="BI277" s="30">
        <v>30</v>
      </c>
      <c r="BJ277" s="30">
        <v>83</v>
      </c>
      <c r="BK277" s="30">
        <v>85</v>
      </c>
      <c r="BL277" s="30">
        <v>4</v>
      </c>
      <c r="BM277" s="30">
        <v>276</v>
      </c>
      <c r="BN277" s="30">
        <v>1</v>
      </c>
      <c r="BO277" s="30">
        <v>51</v>
      </c>
      <c r="BP277" s="30">
        <v>0</v>
      </c>
      <c r="BQ277" s="30">
        <v>52</v>
      </c>
      <c r="BR277" s="47">
        <v>49525</v>
      </c>
      <c r="BS277" s="47">
        <v>57910</v>
      </c>
      <c r="BT277" s="1">
        <f t="shared" si="123"/>
        <v>1.7811337003660075</v>
      </c>
      <c r="BU277" s="30">
        <v>110</v>
      </c>
      <c r="BV277" s="30">
        <v>1</v>
      </c>
      <c r="BW277" s="47">
        <v>5536</v>
      </c>
      <c r="BX277" s="52">
        <f t="shared" si="124"/>
        <v>0.1702703533971027</v>
      </c>
      <c r="BY277" s="47">
        <v>21768</v>
      </c>
      <c r="BZ277" s="47">
        <v>148</v>
      </c>
      <c r="CA277" s="47">
        <v>17564</v>
      </c>
      <c r="CB277" s="47">
        <v>309</v>
      </c>
      <c r="CC277" s="47">
        <v>39789</v>
      </c>
      <c r="CD277" s="55">
        <f t="shared" si="125"/>
        <v>1.2237874081136777</v>
      </c>
      <c r="CE277" s="3">
        <f t="shared" si="126"/>
        <v>3835.0843373493976</v>
      </c>
      <c r="CF277" s="55">
        <f t="shared" si="127"/>
        <v>18.369806094182824</v>
      </c>
      <c r="CG277" s="55">
        <f t="shared" si="128"/>
        <v>0.74129482999534235</v>
      </c>
      <c r="CH277" s="55">
        <f t="shared" si="129"/>
        <v>0.67919184942151611</v>
      </c>
      <c r="CI277" s="30">
        <v>166</v>
      </c>
      <c r="CJ277" s="30">
        <v>4</v>
      </c>
      <c r="CK277" s="30">
        <v>132</v>
      </c>
      <c r="CL277" s="30">
        <v>302</v>
      </c>
      <c r="CM277" s="30">
        <v>5518</v>
      </c>
      <c r="CN277" s="30">
        <v>346</v>
      </c>
      <c r="CO277" s="30">
        <v>3302</v>
      </c>
      <c r="CP277" s="30">
        <v>9166</v>
      </c>
      <c r="CQ277" s="1">
        <f t="shared" si="137"/>
        <v>0.28191800202995726</v>
      </c>
      <c r="CR277" s="47">
        <v>53675</v>
      </c>
      <c r="CS277" s="55">
        <f t="shared" si="130"/>
        <v>1.6508781102943437</v>
      </c>
      <c r="CT277" s="59">
        <v>31226</v>
      </c>
      <c r="CU277" s="29" t="s">
        <v>25</v>
      </c>
      <c r="CV277" s="29" t="s">
        <v>25</v>
      </c>
      <c r="CW277" s="29" t="s">
        <v>25</v>
      </c>
      <c r="CX277" s="35">
        <v>1</v>
      </c>
      <c r="CY277" s="49">
        <f>C277/CX277</f>
        <v>32513</v>
      </c>
      <c r="CZ277" s="35">
        <v>5</v>
      </c>
      <c r="DA277" s="35">
        <v>4.375</v>
      </c>
      <c r="DB277" s="35">
        <v>10.375</v>
      </c>
      <c r="DC277" s="49">
        <f t="shared" si="131"/>
        <v>3133.7831325301204</v>
      </c>
      <c r="DD277" s="30">
        <v>325</v>
      </c>
      <c r="DE277" s="31">
        <v>54000</v>
      </c>
      <c r="DF277" s="35">
        <v>40</v>
      </c>
      <c r="DG277" s="29" t="s">
        <v>25</v>
      </c>
      <c r="DH277" s="29" t="s">
        <v>25</v>
      </c>
      <c r="DI277" s="29" t="s">
        <v>25</v>
      </c>
      <c r="DJ277" s="47">
        <v>55</v>
      </c>
      <c r="DK277" s="47">
        <v>0</v>
      </c>
      <c r="DL277" s="47">
        <v>16</v>
      </c>
      <c r="DM277" s="47">
        <v>13608</v>
      </c>
      <c r="DN277" s="47">
        <v>1891</v>
      </c>
      <c r="DO277" s="47">
        <v>3933</v>
      </c>
      <c r="DP277" s="29" t="s">
        <v>25</v>
      </c>
      <c r="DQ277" s="47">
        <v>17582</v>
      </c>
      <c r="DR277" s="47">
        <v>2166</v>
      </c>
      <c r="DS277" s="30">
        <v>52</v>
      </c>
      <c r="DT277" s="30">
        <v>44</v>
      </c>
      <c r="DU277" s="30">
        <v>44</v>
      </c>
      <c r="DV277" s="30">
        <v>44</v>
      </c>
      <c r="DX277" s="2">
        <f t="shared" si="132"/>
        <v>2166</v>
      </c>
      <c r="DY277" s="33" t="s">
        <v>2180</v>
      </c>
      <c r="DZ277" s="33" t="s">
        <v>766</v>
      </c>
      <c r="EA277" s="33" t="s">
        <v>2034</v>
      </c>
      <c r="EB277" s="33" t="s">
        <v>2027</v>
      </c>
      <c r="EC277" s="36">
        <v>216</v>
      </c>
      <c r="ED277" s="29" t="s">
        <v>764</v>
      </c>
      <c r="EE277" s="29" t="s">
        <v>765</v>
      </c>
      <c r="EF277" s="37">
        <v>41548</v>
      </c>
      <c r="EG277" s="37">
        <v>41912</v>
      </c>
      <c r="EH277" s="29" t="s">
        <v>764</v>
      </c>
      <c r="EI277" s="55">
        <f t="shared" si="133"/>
        <v>0.66951680866115093</v>
      </c>
      <c r="EJ277" s="54">
        <f t="shared" si="134"/>
        <v>4.5520253437086704E-3</v>
      </c>
      <c r="EK277" s="55">
        <f t="shared" si="135"/>
        <v>0.54021468335742628</v>
      </c>
      <c r="EL277" s="54">
        <f t="shared" si="136"/>
        <v>9.5038907513917519E-3</v>
      </c>
    </row>
    <row r="278" spans="1:142" ht="28.8" x14ac:dyDescent="0.3">
      <c r="A278" s="29" t="s">
        <v>767</v>
      </c>
      <c r="B278" s="29"/>
      <c r="C278" s="30">
        <v>3954</v>
      </c>
      <c r="D278" s="30">
        <v>0</v>
      </c>
      <c r="E278" s="30">
        <v>0</v>
      </c>
      <c r="F278" s="30">
        <v>5218</v>
      </c>
      <c r="H278" s="2">
        <f t="shared" si="112"/>
        <v>5218</v>
      </c>
      <c r="I278" s="1">
        <f t="shared" si="111"/>
        <v>1.319676277187658</v>
      </c>
      <c r="J278" s="31">
        <v>63912</v>
      </c>
      <c r="K278" s="31">
        <v>22793</v>
      </c>
      <c r="L278" s="31">
        <v>86705</v>
      </c>
      <c r="M278" s="45">
        <f t="shared" si="113"/>
        <v>21.928426909458775</v>
      </c>
      <c r="N278" s="31">
        <v>4589</v>
      </c>
      <c r="O278" s="31">
        <v>0</v>
      </c>
      <c r="P278" s="31">
        <v>0</v>
      </c>
      <c r="Q278" s="31">
        <v>4589</v>
      </c>
      <c r="R278" s="45">
        <f t="shared" si="114"/>
        <v>1.1605968639352555</v>
      </c>
      <c r="S278" s="31">
        <v>14067</v>
      </c>
      <c r="T278" s="31">
        <v>105361</v>
      </c>
      <c r="U278" s="31">
        <v>0</v>
      </c>
      <c r="V278" s="31">
        <v>105361</v>
      </c>
      <c r="W278" s="45">
        <f t="shared" si="115"/>
        <v>26.646686899342438</v>
      </c>
      <c r="X278" s="4">
        <f t="shared" si="116"/>
        <v>0.82293258416302051</v>
      </c>
      <c r="Y278" s="4">
        <f t="shared" si="117"/>
        <v>4.3555015612987726E-2</v>
      </c>
      <c r="Z278" s="4">
        <f t="shared" si="118"/>
        <v>0.1335124002239918</v>
      </c>
      <c r="AA278" s="4">
        <f t="shared" si="119"/>
        <v>0</v>
      </c>
      <c r="AB278" s="31">
        <v>0</v>
      </c>
      <c r="AC278" s="31">
        <v>2250</v>
      </c>
      <c r="AD278" s="31">
        <v>103022</v>
      </c>
      <c r="AE278" s="31">
        <v>103022</v>
      </c>
      <c r="AF278" s="31">
        <v>103022</v>
      </c>
      <c r="AG278" s="31">
        <v>3600</v>
      </c>
      <c r="AH278" s="31">
        <v>0</v>
      </c>
      <c r="AI278" s="31">
        <v>106622</v>
      </c>
      <c r="AJ278" s="45">
        <f t="shared" si="120"/>
        <v>26.965604451188671</v>
      </c>
      <c r="AK278" s="31">
        <v>0</v>
      </c>
      <c r="AL278" s="31">
        <v>0</v>
      </c>
      <c r="AM278" s="31">
        <v>0</v>
      </c>
      <c r="AN278" s="31">
        <v>0</v>
      </c>
      <c r="AO278" s="31">
        <v>0</v>
      </c>
      <c r="AP278" s="31">
        <v>8839</v>
      </c>
      <c r="AQ278" s="31">
        <v>8839</v>
      </c>
      <c r="AR278" s="31">
        <v>115461</v>
      </c>
      <c r="AS278" s="46">
        <f t="shared" si="121"/>
        <v>29.201062215477997</v>
      </c>
      <c r="AT278" s="31">
        <v>0</v>
      </c>
      <c r="AU278" s="31">
        <v>0</v>
      </c>
      <c r="AV278" s="31">
        <v>0</v>
      </c>
      <c r="AW278" s="31">
        <v>0</v>
      </c>
      <c r="AX278" s="31">
        <v>0</v>
      </c>
      <c r="AY278" s="31">
        <v>0</v>
      </c>
      <c r="AZ278" s="31">
        <v>0</v>
      </c>
      <c r="BA278" s="31">
        <v>0</v>
      </c>
      <c r="BB278" s="31">
        <v>0</v>
      </c>
      <c r="BC278" s="33" t="s">
        <v>25</v>
      </c>
      <c r="BD278" s="47">
        <v>17619</v>
      </c>
      <c r="BE278" s="47">
        <v>18619</v>
      </c>
      <c r="BF278" s="45">
        <f t="shared" si="122"/>
        <v>4.7089023773394034</v>
      </c>
      <c r="BG278" s="30">
        <v>325</v>
      </c>
      <c r="BH278" s="30">
        <v>381</v>
      </c>
      <c r="BI278" s="30">
        <v>0</v>
      </c>
      <c r="BJ278" s="30">
        <v>800</v>
      </c>
      <c r="BK278" s="30">
        <v>825</v>
      </c>
      <c r="BL278" s="30">
        <v>0</v>
      </c>
      <c r="BM278" s="30">
        <v>0</v>
      </c>
      <c r="BN278" s="30">
        <v>0</v>
      </c>
      <c r="BO278" s="30">
        <v>51</v>
      </c>
      <c r="BP278" s="30">
        <v>0</v>
      </c>
      <c r="BQ278" s="30">
        <v>51</v>
      </c>
      <c r="BR278" s="47">
        <v>18744</v>
      </c>
      <c r="BS278" s="47">
        <v>19825</v>
      </c>
      <c r="BT278" s="1">
        <f t="shared" si="123"/>
        <v>5.0139099645928171</v>
      </c>
      <c r="BU278" s="30">
        <v>28</v>
      </c>
      <c r="BV278" s="30">
        <v>2</v>
      </c>
      <c r="BW278" s="47">
        <v>12657</v>
      </c>
      <c r="BX278" s="52">
        <f t="shared" si="124"/>
        <v>3.2010622154779971</v>
      </c>
      <c r="BY278" s="47">
        <v>6724</v>
      </c>
      <c r="BZ278" s="47">
        <v>0</v>
      </c>
      <c r="CA278" s="47">
        <v>20727</v>
      </c>
      <c r="CB278" s="47">
        <v>0</v>
      </c>
      <c r="CC278" s="47">
        <v>27451</v>
      </c>
      <c r="CD278" s="55">
        <f t="shared" si="125"/>
        <v>6.942589782498735</v>
      </c>
      <c r="CE278" s="3">
        <f t="shared" si="126"/>
        <v>9803.9285714285725</v>
      </c>
      <c r="CF278" s="55">
        <f t="shared" si="127"/>
        <v>15.250555555555556</v>
      </c>
      <c r="CG278" s="55">
        <f t="shared" si="128"/>
        <v>0.92080370320676241</v>
      </c>
      <c r="CH278" s="55">
        <f t="shared" si="129"/>
        <v>1.3846658259773015</v>
      </c>
      <c r="CI278" s="30">
        <v>53</v>
      </c>
      <c r="CJ278" s="30">
        <v>14</v>
      </c>
      <c r="CK278" s="30">
        <v>34</v>
      </c>
      <c r="CL278" s="30">
        <v>101</v>
      </c>
      <c r="CM278" s="30">
        <v>782</v>
      </c>
      <c r="CN278" s="30">
        <v>192</v>
      </c>
      <c r="CO278" s="30">
        <v>300</v>
      </c>
      <c r="CP278" s="30">
        <v>1274</v>
      </c>
      <c r="CQ278" s="1">
        <f t="shared" si="137"/>
        <v>0.32220536165907943</v>
      </c>
      <c r="CR278" s="47">
        <v>29812</v>
      </c>
      <c r="CS278" s="55">
        <f t="shared" si="130"/>
        <v>7.5397066262013155</v>
      </c>
      <c r="CT278" s="59">
        <v>7457</v>
      </c>
      <c r="CU278" s="29" t="s">
        <v>25</v>
      </c>
      <c r="CV278" s="29" t="s">
        <v>25</v>
      </c>
      <c r="CW278" s="29" t="s">
        <v>25</v>
      </c>
      <c r="CX278" s="35">
        <v>0</v>
      </c>
      <c r="CY278" s="49">
        <v>0</v>
      </c>
      <c r="CZ278" s="35">
        <v>1</v>
      </c>
      <c r="DA278" s="35">
        <v>1.8</v>
      </c>
      <c r="DB278" s="35">
        <v>2.8</v>
      </c>
      <c r="DC278" s="49">
        <f t="shared" si="131"/>
        <v>1412.1428571428573</v>
      </c>
      <c r="DD278" s="30">
        <v>525</v>
      </c>
      <c r="DE278" s="31">
        <v>27580</v>
      </c>
      <c r="DF278" s="35">
        <v>40</v>
      </c>
      <c r="DG278" s="29" t="s">
        <v>25</v>
      </c>
      <c r="DH278" s="29" t="s">
        <v>25</v>
      </c>
      <c r="DI278" s="29" t="s">
        <v>25</v>
      </c>
      <c r="DJ278" s="47">
        <v>55</v>
      </c>
      <c r="DK278" s="47">
        <v>34</v>
      </c>
      <c r="DL278" s="47">
        <v>18</v>
      </c>
      <c r="DM278" s="47">
        <v>5945</v>
      </c>
      <c r="DN278" s="47">
        <v>160</v>
      </c>
      <c r="DO278" s="47">
        <v>2700</v>
      </c>
      <c r="DP278" s="29" t="s">
        <v>25</v>
      </c>
      <c r="DQ278" s="47">
        <v>4100</v>
      </c>
      <c r="DR278" s="47">
        <v>1800</v>
      </c>
      <c r="DS278" s="30">
        <v>50</v>
      </c>
      <c r="DT278" s="30">
        <v>36</v>
      </c>
      <c r="DU278" s="30">
        <v>36</v>
      </c>
      <c r="DV278" s="30">
        <v>36</v>
      </c>
      <c r="DX278" s="2">
        <f t="shared" si="132"/>
        <v>1800</v>
      </c>
      <c r="DY278" s="33" t="s">
        <v>2185</v>
      </c>
      <c r="DZ278" s="33" t="s">
        <v>769</v>
      </c>
      <c r="EA278" s="33" t="s">
        <v>2030</v>
      </c>
      <c r="EB278" s="33" t="s">
        <v>2027</v>
      </c>
      <c r="EC278" s="36">
        <v>217</v>
      </c>
      <c r="ED278" s="29" t="s">
        <v>768</v>
      </c>
      <c r="EE278" s="29" t="s">
        <v>717</v>
      </c>
      <c r="EF278" s="37">
        <v>41548</v>
      </c>
      <c r="EG278" s="37">
        <v>41912</v>
      </c>
      <c r="EH278" s="29" t="s">
        <v>768</v>
      </c>
      <c r="EI278" s="55">
        <f t="shared" si="133"/>
        <v>1.7005563985837127</v>
      </c>
      <c r="EJ278" s="54">
        <f t="shared" si="134"/>
        <v>0</v>
      </c>
      <c r="EK278" s="55">
        <f t="shared" si="135"/>
        <v>5.2420333839150226</v>
      </c>
      <c r="EL278" s="54">
        <f t="shared" si="136"/>
        <v>0</v>
      </c>
    </row>
    <row r="279" spans="1:142" ht="28.8" x14ac:dyDescent="0.3">
      <c r="A279" s="29" t="s">
        <v>770</v>
      </c>
      <c r="B279" s="29"/>
      <c r="C279" s="30">
        <v>5129</v>
      </c>
      <c r="D279" s="30">
        <v>0</v>
      </c>
      <c r="E279" s="30">
        <v>0</v>
      </c>
      <c r="F279" s="30">
        <v>5674</v>
      </c>
      <c r="H279" s="2">
        <f t="shared" si="112"/>
        <v>5674</v>
      </c>
      <c r="I279" s="1">
        <f t="shared" si="111"/>
        <v>1.1062585299278611</v>
      </c>
      <c r="J279" s="31">
        <v>70652</v>
      </c>
      <c r="K279" s="31">
        <v>16700</v>
      </c>
      <c r="L279" s="31">
        <v>87352</v>
      </c>
      <c r="M279" s="45">
        <f t="shared" si="113"/>
        <v>17.031000194969781</v>
      </c>
      <c r="N279" s="31">
        <v>4202</v>
      </c>
      <c r="O279" s="31">
        <v>3242</v>
      </c>
      <c r="P279" s="31">
        <v>4277</v>
      </c>
      <c r="Q279" s="31">
        <v>11721</v>
      </c>
      <c r="R279" s="45">
        <f t="shared" si="114"/>
        <v>2.2852407876779099</v>
      </c>
      <c r="S279" s="31">
        <v>17571</v>
      </c>
      <c r="T279" s="31">
        <v>116644</v>
      </c>
      <c r="U279" s="31">
        <v>0</v>
      </c>
      <c r="V279" s="31">
        <v>116644</v>
      </c>
      <c r="W279" s="45">
        <f t="shared" si="115"/>
        <v>22.742054981477871</v>
      </c>
      <c r="X279" s="4">
        <f t="shared" si="116"/>
        <v>0.74887692465964817</v>
      </c>
      <c r="Y279" s="4">
        <f t="shared" si="117"/>
        <v>0.1004852371317856</v>
      </c>
      <c r="Z279" s="4">
        <f t="shared" si="118"/>
        <v>0.15063783820856624</v>
      </c>
      <c r="AA279" s="4">
        <f t="shared" si="119"/>
        <v>0</v>
      </c>
      <c r="AB279" s="31">
        <v>0</v>
      </c>
      <c r="AC279" s="31">
        <v>11721</v>
      </c>
      <c r="AD279" s="31">
        <v>116644</v>
      </c>
      <c r="AE279" s="31">
        <v>111556</v>
      </c>
      <c r="AF279" s="31">
        <v>111556</v>
      </c>
      <c r="AG279" s="31">
        <v>0</v>
      </c>
      <c r="AH279" s="31">
        <v>0</v>
      </c>
      <c r="AI279" s="31">
        <v>111556</v>
      </c>
      <c r="AJ279" s="45">
        <f t="shared" si="120"/>
        <v>21.750048742444921</v>
      </c>
      <c r="AK279" s="31">
        <v>0</v>
      </c>
      <c r="AL279" s="31">
        <v>0</v>
      </c>
      <c r="AM279" s="31">
        <v>0</v>
      </c>
      <c r="AN279" s="31">
        <v>0</v>
      </c>
      <c r="AO279" s="31">
        <v>0</v>
      </c>
      <c r="AP279" s="31">
        <v>13655</v>
      </c>
      <c r="AQ279" s="31">
        <v>13655</v>
      </c>
      <c r="AR279" s="31">
        <v>125211</v>
      </c>
      <c r="AS279" s="46">
        <f t="shared" si="121"/>
        <v>24.412361084031975</v>
      </c>
      <c r="AT279" s="31">
        <v>0</v>
      </c>
      <c r="AU279" s="31">
        <v>0</v>
      </c>
      <c r="AV279" s="31">
        <v>0</v>
      </c>
      <c r="AW279" s="31">
        <v>0</v>
      </c>
      <c r="AX279" s="31">
        <v>0</v>
      </c>
      <c r="AY279" s="31">
        <v>0</v>
      </c>
      <c r="AZ279" s="31">
        <v>0</v>
      </c>
      <c r="BA279" s="31">
        <v>0</v>
      </c>
      <c r="BB279" s="31">
        <v>0</v>
      </c>
      <c r="BC279" s="33" t="s">
        <v>25</v>
      </c>
      <c r="BD279" s="47">
        <v>16614</v>
      </c>
      <c r="BE279" s="47">
        <v>16770</v>
      </c>
      <c r="BF279" s="45">
        <f t="shared" si="122"/>
        <v>3.2696432053031779</v>
      </c>
      <c r="BG279" s="30">
        <v>1238</v>
      </c>
      <c r="BH279" s="30">
        <v>1239</v>
      </c>
      <c r="BI279" s="30">
        <v>474</v>
      </c>
      <c r="BJ279" s="30">
        <v>1819</v>
      </c>
      <c r="BK279" s="30">
        <v>1828</v>
      </c>
      <c r="BL279" s="30">
        <v>57</v>
      </c>
      <c r="BM279" s="30">
        <v>4476</v>
      </c>
      <c r="BN279" s="30">
        <v>0</v>
      </c>
      <c r="BO279" s="30">
        <v>51</v>
      </c>
      <c r="BP279" s="30">
        <v>0</v>
      </c>
      <c r="BQ279" s="30">
        <v>51</v>
      </c>
      <c r="BR279" s="47">
        <v>19671</v>
      </c>
      <c r="BS279" s="47">
        <v>24844</v>
      </c>
      <c r="BT279" s="1">
        <f t="shared" si="123"/>
        <v>4.8438292064729964</v>
      </c>
      <c r="BU279" s="30">
        <v>20</v>
      </c>
      <c r="BV279" s="30">
        <v>0</v>
      </c>
      <c r="BW279" s="47">
        <v>1500</v>
      </c>
      <c r="BX279" s="52">
        <f t="shared" si="124"/>
        <v>0.29245466952622345</v>
      </c>
      <c r="BY279" s="47">
        <v>2558</v>
      </c>
      <c r="BZ279" s="47">
        <v>162</v>
      </c>
      <c r="CA279" s="47">
        <v>18331</v>
      </c>
      <c r="CB279" s="47">
        <v>2981</v>
      </c>
      <c r="CC279" s="47">
        <v>24032</v>
      </c>
      <c r="CD279" s="55">
        <f t="shared" si="125"/>
        <v>4.6855137453694677</v>
      </c>
      <c r="CE279" s="3">
        <f t="shared" si="126"/>
        <v>8738.9090909090901</v>
      </c>
      <c r="CF279" s="55">
        <f t="shared" si="127"/>
        <v>10.407968817669987</v>
      </c>
      <c r="CG279" s="55">
        <f t="shared" si="128"/>
        <v>1.021117484597408</v>
      </c>
      <c r="CH279" s="55">
        <f t="shared" si="129"/>
        <v>0.84080663339236839</v>
      </c>
      <c r="CI279" s="30">
        <v>5</v>
      </c>
      <c r="CJ279" s="30">
        <v>0</v>
      </c>
      <c r="CK279" s="30">
        <v>6</v>
      </c>
      <c r="CL279" s="30">
        <v>11</v>
      </c>
      <c r="CM279" s="30">
        <v>272</v>
      </c>
      <c r="CN279" s="30">
        <v>0</v>
      </c>
      <c r="CO279" s="30">
        <v>98</v>
      </c>
      <c r="CP279" s="30">
        <v>370</v>
      </c>
      <c r="CQ279" s="1">
        <f t="shared" si="137"/>
        <v>7.2138818483135109E-2</v>
      </c>
      <c r="CR279" s="47">
        <v>23535</v>
      </c>
      <c r="CS279" s="55">
        <f t="shared" si="130"/>
        <v>4.5886137648664453</v>
      </c>
      <c r="CT279" s="59">
        <v>7048</v>
      </c>
      <c r="CU279" s="29" t="s">
        <v>25</v>
      </c>
      <c r="CV279" s="29" t="s">
        <v>25</v>
      </c>
      <c r="CW279" s="29" t="s">
        <v>25</v>
      </c>
      <c r="CX279" s="35">
        <v>0</v>
      </c>
      <c r="CY279" s="49">
        <v>0</v>
      </c>
      <c r="CZ279" s="35">
        <v>1</v>
      </c>
      <c r="DA279" s="35">
        <v>1.75</v>
      </c>
      <c r="DB279" s="35">
        <v>2.75</v>
      </c>
      <c r="DC279" s="49">
        <f t="shared" si="131"/>
        <v>1865.090909090909</v>
      </c>
      <c r="DD279" s="30">
        <v>321</v>
      </c>
      <c r="DE279" s="31">
        <v>32125</v>
      </c>
      <c r="DF279" s="35">
        <v>40</v>
      </c>
      <c r="DG279" s="29" t="s">
        <v>25</v>
      </c>
      <c r="DH279" s="29" t="s">
        <v>25</v>
      </c>
      <c r="DI279" s="29" t="s">
        <v>25</v>
      </c>
      <c r="DJ279" s="47">
        <v>39</v>
      </c>
      <c r="DK279" s="47">
        <v>45</v>
      </c>
      <c r="DL279" s="47">
        <v>12</v>
      </c>
      <c r="DM279" s="47">
        <v>5778</v>
      </c>
      <c r="DN279" s="47">
        <v>200</v>
      </c>
      <c r="DO279" s="47">
        <v>4160</v>
      </c>
      <c r="DP279" s="29" t="s">
        <v>2028</v>
      </c>
      <c r="DQ279" s="47">
        <v>0</v>
      </c>
      <c r="DR279" s="47">
        <v>2309</v>
      </c>
      <c r="DS279" s="30">
        <v>51</v>
      </c>
      <c r="DT279" s="30">
        <v>48</v>
      </c>
      <c r="DU279" s="30">
        <v>48</v>
      </c>
      <c r="DV279" s="30">
        <v>48</v>
      </c>
      <c r="DX279" s="2">
        <f t="shared" si="132"/>
        <v>2309</v>
      </c>
      <c r="DY279" s="33" t="s">
        <v>2185</v>
      </c>
      <c r="DZ279" s="33" t="s">
        <v>773</v>
      </c>
      <c r="EA279" s="33" t="s">
        <v>2030</v>
      </c>
      <c r="EB279" s="33" t="s">
        <v>2027</v>
      </c>
      <c r="EC279" s="36">
        <v>218</v>
      </c>
      <c r="ED279" s="29" t="s">
        <v>771</v>
      </c>
      <c r="EE279" s="29" t="s">
        <v>772</v>
      </c>
      <c r="EF279" s="37">
        <v>41640</v>
      </c>
      <c r="EG279" s="37">
        <v>42004</v>
      </c>
      <c r="EH279" s="29" t="s">
        <v>771</v>
      </c>
      <c r="EI279" s="55">
        <f t="shared" si="133"/>
        <v>0.49873269643205304</v>
      </c>
      <c r="EJ279" s="54">
        <f t="shared" si="134"/>
        <v>3.1585104308832129E-2</v>
      </c>
      <c r="EK279" s="55">
        <f t="shared" si="135"/>
        <v>3.5739910313901344</v>
      </c>
      <c r="EL279" s="54">
        <f t="shared" si="136"/>
        <v>0.58120491323844803</v>
      </c>
    </row>
    <row r="280" spans="1:142" ht="28.8" x14ac:dyDescent="0.3">
      <c r="A280" s="29" t="s">
        <v>1490</v>
      </c>
      <c r="B280" s="29"/>
      <c r="C280" s="30">
        <v>5962</v>
      </c>
      <c r="D280" s="30">
        <v>0</v>
      </c>
      <c r="E280" s="30">
        <v>0</v>
      </c>
      <c r="F280" s="30">
        <v>2400</v>
      </c>
      <c r="H280" s="2">
        <f t="shared" si="112"/>
        <v>2400</v>
      </c>
      <c r="I280" s="1">
        <f t="shared" si="111"/>
        <v>0.40254948004025493</v>
      </c>
      <c r="J280" s="31">
        <v>67664</v>
      </c>
      <c r="K280" s="31">
        <v>11473</v>
      </c>
      <c r="L280" s="31">
        <v>79137</v>
      </c>
      <c r="M280" s="45">
        <f t="shared" si="113"/>
        <v>13.273565917477356</v>
      </c>
      <c r="N280" s="31">
        <v>8231</v>
      </c>
      <c r="O280" s="31">
        <v>532</v>
      </c>
      <c r="P280" s="31">
        <v>3100</v>
      </c>
      <c r="Q280" s="31">
        <v>11863</v>
      </c>
      <c r="R280" s="45">
        <f t="shared" si="114"/>
        <v>1.9897685340489768</v>
      </c>
      <c r="S280" s="31">
        <v>39749</v>
      </c>
      <c r="T280" s="31">
        <v>130749</v>
      </c>
      <c r="U280" s="31">
        <v>0</v>
      </c>
      <c r="V280" s="31">
        <v>130749</v>
      </c>
      <c r="W280" s="45">
        <f t="shared" si="115"/>
        <v>21.930392485743038</v>
      </c>
      <c r="X280" s="4">
        <f t="shared" si="116"/>
        <v>0.60525893123465568</v>
      </c>
      <c r="Y280" s="4">
        <f t="shared" si="117"/>
        <v>9.0731095457709049E-2</v>
      </c>
      <c r="Z280" s="4">
        <f t="shared" si="118"/>
        <v>0.30400997330763524</v>
      </c>
      <c r="AA280" s="4">
        <f t="shared" si="119"/>
        <v>0</v>
      </c>
      <c r="AB280" s="31">
        <v>0</v>
      </c>
      <c r="AC280" s="31">
        <v>11863</v>
      </c>
      <c r="AD280" s="31">
        <v>122421</v>
      </c>
      <c r="AE280" s="31">
        <v>118840</v>
      </c>
      <c r="AF280" s="31">
        <v>105680</v>
      </c>
      <c r="AG280" s="31">
        <v>13160</v>
      </c>
      <c r="AH280" s="31">
        <v>0</v>
      </c>
      <c r="AI280" s="31">
        <v>118840</v>
      </c>
      <c r="AJ280" s="45">
        <f t="shared" si="120"/>
        <v>19.932908419993289</v>
      </c>
      <c r="AK280" s="31">
        <v>0</v>
      </c>
      <c r="AL280" s="31">
        <v>0</v>
      </c>
      <c r="AM280" s="31">
        <v>0</v>
      </c>
      <c r="AN280" s="31">
        <v>0</v>
      </c>
      <c r="AO280" s="31">
        <v>8328</v>
      </c>
      <c r="AP280" s="31">
        <v>3581</v>
      </c>
      <c r="AQ280" s="31">
        <v>11909</v>
      </c>
      <c r="AR280" s="31">
        <v>130749</v>
      </c>
      <c r="AS280" s="46">
        <f t="shared" si="121"/>
        <v>21.930392485743038</v>
      </c>
      <c r="AT280" s="31">
        <v>0</v>
      </c>
      <c r="AU280" s="31">
        <v>0</v>
      </c>
      <c r="AV280" s="31">
        <v>0</v>
      </c>
      <c r="AW280" s="31">
        <v>0</v>
      </c>
      <c r="AX280" s="31">
        <v>0</v>
      </c>
      <c r="AY280" s="31">
        <v>0</v>
      </c>
      <c r="AZ280" s="31">
        <v>0</v>
      </c>
      <c r="BA280" s="31">
        <v>0</v>
      </c>
      <c r="BB280" s="31">
        <v>0</v>
      </c>
      <c r="BC280" s="33" t="s">
        <v>25</v>
      </c>
      <c r="BD280" s="47">
        <v>18652</v>
      </c>
      <c r="BE280" s="47">
        <v>19072</v>
      </c>
      <c r="BF280" s="45">
        <f t="shared" si="122"/>
        <v>3.1989265347198925</v>
      </c>
      <c r="BG280" s="30">
        <v>659</v>
      </c>
      <c r="BH280" s="30">
        <v>713</v>
      </c>
      <c r="BI280" s="30">
        <v>0</v>
      </c>
      <c r="BJ280" s="30">
        <v>1898</v>
      </c>
      <c r="BK280" s="30">
        <v>1907</v>
      </c>
      <c r="BL280" s="30">
        <v>0</v>
      </c>
      <c r="BM280" s="30">
        <v>0</v>
      </c>
      <c r="BN280" s="30">
        <v>2</v>
      </c>
      <c r="BO280" s="30">
        <v>51</v>
      </c>
      <c r="BP280" s="30">
        <v>0</v>
      </c>
      <c r="BQ280" s="30">
        <v>53</v>
      </c>
      <c r="BR280" s="47">
        <v>21209</v>
      </c>
      <c r="BS280" s="47">
        <v>21694</v>
      </c>
      <c r="BT280" s="1">
        <f t="shared" si="123"/>
        <v>3.6387118416638713</v>
      </c>
      <c r="BU280" s="30">
        <v>16</v>
      </c>
      <c r="BV280" s="30">
        <v>0</v>
      </c>
      <c r="BW280" s="47">
        <v>1441</v>
      </c>
      <c r="BX280" s="52">
        <f t="shared" si="124"/>
        <v>0.24169741697416974</v>
      </c>
      <c r="BY280" s="47">
        <v>10018</v>
      </c>
      <c r="BZ280" s="47">
        <v>0</v>
      </c>
      <c r="CA280" s="47">
        <v>12103</v>
      </c>
      <c r="CB280" s="47">
        <v>0</v>
      </c>
      <c r="CC280" s="47">
        <v>22121</v>
      </c>
      <c r="CD280" s="55">
        <f t="shared" si="125"/>
        <v>3.7103321033210332</v>
      </c>
      <c r="CE280" s="3">
        <f t="shared" si="126"/>
        <v>7761.7543859649122</v>
      </c>
      <c r="CF280" s="55">
        <f t="shared" si="127"/>
        <v>13.705700123915737</v>
      </c>
      <c r="CG280" s="55">
        <f t="shared" si="128"/>
        <v>1.4939555615587223</v>
      </c>
      <c r="CH280" s="55">
        <f t="shared" si="129"/>
        <v>1.0196828616207245</v>
      </c>
      <c r="CI280" s="30">
        <v>44</v>
      </c>
      <c r="CJ280" s="30">
        <v>16</v>
      </c>
      <c r="CK280" s="30">
        <v>1</v>
      </c>
      <c r="CL280" s="30">
        <v>61</v>
      </c>
      <c r="CM280" s="30">
        <v>1313</v>
      </c>
      <c r="CN280" s="30">
        <v>134</v>
      </c>
      <c r="CO280" s="30">
        <v>2</v>
      </c>
      <c r="CP280" s="30">
        <v>1449</v>
      </c>
      <c r="CQ280" s="1">
        <f t="shared" si="137"/>
        <v>0.24303924857430392</v>
      </c>
      <c r="CR280" s="47">
        <v>14807</v>
      </c>
      <c r="CS280" s="55">
        <f t="shared" si="130"/>
        <v>2.4835625628983564</v>
      </c>
      <c r="CT280" s="59">
        <v>3100</v>
      </c>
      <c r="CU280" s="29" t="s">
        <v>25</v>
      </c>
      <c r="CV280" s="29" t="s">
        <v>25</v>
      </c>
      <c r="CW280" s="29" t="s">
        <v>25</v>
      </c>
      <c r="CX280" s="35">
        <v>1</v>
      </c>
      <c r="CY280" s="49">
        <f>C280/CX280</f>
        <v>5962</v>
      </c>
      <c r="CZ280" s="35">
        <v>0</v>
      </c>
      <c r="DA280" s="35">
        <v>1.85</v>
      </c>
      <c r="DB280" s="35">
        <v>2.85</v>
      </c>
      <c r="DC280" s="49">
        <f t="shared" si="131"/>
        <v>2091.9298245614036</v>
      </c>
      <c r="DD280" s="30">
        <v>915</v>
      </c>
      <c r="DE280" s="31">
        <v>36816</v>
      </c>
      <c r="DF280" s="35">
        <v>40</v>
      </c>
      <c r="DG280" s="29" t="s">
        <v>25</v>
      </c>
      <c r="DH280" s="29" t="s">
        <v>25</v>
      </c>
      <c r="DI280" s="29" t="s">
        <v>25</v>
      </c>
      <c r="DJ280" s="47">
        <v>55</v>
      </c>
      <c r="DK280" s="47">
        <v>82</v>
      </c>
      <c r="DL280" s="47">
        <v>9</v>
      </c>
      <c r="DM280" s="47">
        <v>3634</v>
      </c>
      <c r="DN280" s="47">
        <v>35</v>
      </c>
      <c r="DO280" s="47">
        <v>30</v>
      </c>
      <c r="DP280" s="29" t="s">
        <v>25</v>
      </c>
      <c r="DQ280" s="47">
        <v>6243</v>
      </c>
      <c r="DR280" s="47">
        <v>1614</v>
      </c>
      <c r="DS280" s="30">
        <v>49</v>
      </c>
      <c r="DT280" s="30">
        <v>33</v>
      </c>
      <c r="DU280" s="30">
        <v>33</v>
      </c>
      <c r="DV280" s="30">
        <v>33</v>
      </c>
      <c r="DX280" s="2">
        <f t="shared" si="132"/>
        <v>1614</v>
      </c>
      <c r="DY280" s="33" t="s">
        <v>2181</v>
      </c>
      <c r="DZ280" s="33" t="s">
        <v>1492</v>
      </c>
      <c r="EA280" s="33" t="s">
        <v>2030</v>
      </c>
      <c r="EB280" s="33" t="s">
        <v>2027</v>
      </c>
      <c r="EC280" s="36">
        <v>476</v>
      </c>
      <c r="ED280" s="29" t="s">
        <v>1491</v>
      </c>
      <c r="EE280" s="29" t="s">
        <v>424</v>
      </c>
      <c r="EF280" s="37">
        <v>41548</v>
      </c>
      <c r="EG280" s="37">
        <v>41912</v>
      </c>
      <c r="EH280" s="29" t="s">
        <v>1491</v>
      </c>
      <c r="EI280" s="55">
        <f t="shared" si="133"/>
        <v>1.6803086212680309</v>
      </c>
      <c r="EJ280" s="54">
        <f t="shared" si="134"/>
        <v>0</v>
      </c>
      <c r="EK280" s="55">
        <f t="shared" si="135"/>
        <v>2.0300234820530023</v>
      </c>
      <c r="EL280" s="54">
        <f t="shared" si="136"/>
        <v>0</v>
      </c>
    </row>
    <row r="281" spans="1:142" ht="28.8" x14ac:dyDescent="0.3">
      <c r="A281" s="29" t="s">
        <v>774</v>
      </c>
      <c r="B281" s="29"/>
      <c r="C281" s="30">
        <v>41016</v>
      </c>
      <c r="D281" s="30">
        <v>0</v>
      </c>
      <c r="E281" s="30">
        <v>0</v>
      </c>
      <c r="F281" s="30">
        <v>20000</v>
      </c>
      <c r="H281" s="2">
        <f t="shared" si="112"/>
        <v>20000</v>
      </c>
      <c r="I281" s="1">
        <f t="shared" si="111"/>
        <v>0.48761458942851571</v>
      </c>
      <c r="J281" s="31">
        <v>266820</v>
      </c>
      <c r="K281" s="31">
        <v>75750</v>
      </c>
      <c r="L281" s="31">
        <v>342570</v>
      </c>
      <c r="M281" s="45">
        <f t="shared" si="113"/>
        <v>8.352106495026332</v>
      </c>
      <c r="N281" s="31">
        <v>49030</v>
      </c>
      <c r="O281" s="31">
        <v>9250</v>
      </c>
      <c r="P281" s="31">
        <v>4850</v>
      </c>
      <c r="Q281" s="31">
        <v>63130</v>
      </c>
      <c r="R281" s="45">
        <f t="shared" si="114"/>
        <v>1.5391554515311099</v>
      </c>
      <c r="S281" s="31">
        <v>29252</v>
      </c>
      <c r="T281" s="31">
        <v>434952</v>
      </c>
      <c r="U281" s="31">
        <v>0</v>
      </c>
      <c r="V281" s="31">
        <v>434952</v>
      </c>
      <c r="W281" s="45">
        <f t="shared" si="115"/>
        <v>10.604447045055588</v>
      </c>
      <c r="X281" s="4">
        <f t="shared" si="116"/>
        <v>0.78760414942338464</v>
      </c>
      <c r="Y281" s="4">
        <f t="shared" si="117"/>
        <v>0.14514245250050581</v>
      </c>
      <c r="Z281" s="4">
        <f t="shared" si="118"/>
        <v>6.7253398076109541E-2</v>
      </c>
      <c r="AA281" s="4">
        <f t="shared" si="119"/>
        <v>0</v>
      </c>
      <c r="AB281" s="31">
        <v>0</v>
      </c>
      <c r="AC281" s="31">
        <v>63130</v>
      </c>
      <c r="AD281" s="31">
        <v>434952</v>
      </c>
      <c r="AE281" s="31">
        <v>398042</v>
      </c>
      <c r="AF281" s="31">
        <v>398042</v>
      </c>
      <c r="AG281" s="31">
        <v>30000</v>
      </c>
      <c r="AH281" s="31">
        <v>0</v>
      </c>
      <c r="AI281" s="31">
        <v>428042</v>
      </c>
      <c r="AJ281" s="45">
        <f t="shared" si="120"/>
        <v>10.435976204408036</v>
      </c>
      <c r="AK281" s="31">
        <v>0</v>
      </c>
      <c r="AL281" s="31">
        <v>0</v>
      </c>
      <c r="AM281" s="31">
        <v>0</v>
      </c>
      <c r="AN281" s="31">
        <v>0</v>
      </c>
      <c r="AO281" s="31">
        <v>34055</v>
      </c>
      <c r="AP281" s="31">
        <v>65517</v>
      </c>
      <c r="AQ281" s="31">
        <v>99572</v>
      </c>
      <c r="AR281" s="31">
        <v>527614</v>
      </c>
      <c r="AS281" s="46">
        <f t="shared" si="121"/>
        <v>12.863614199336844</v>
      </c>
      <c r="AT281" s="31">
        <v>0</v>
      </c>
      <c r="AU281" s="31">
        <v>0</v>
      </c>
      <c r="AV281" s="31">
        <v>0</v>
      </c>
      <c r="AW281" s="31">
        <v>0</v>
      </c>
      <c r="AX281" s="31">
        <v>0</v>
      </c>
      <c r="AY281" s="31">
        <v>0</v>
      </c>
      <c r="AZ281" s="31">
        <v>0</v>
      </c>
      <c r="BA281" s="31">
        <v>0</v>
      </c>
      <c r="BB281" s="31">
        <v>0</v>
      </c>
      <c r="BC281" s="33" t="s">
        <v>25</v>
      </c>
      <c r="BD281" s="47">
        <v>41230</v>
      </c>
      <c r="BE281" s="47">
        <v>46026</v>
      </c>
      <c r="BF281" s="45">
        <f t="shared" si="122"/>
        <v>1.1221474546518433</v>
      </c>
      <c r="BG281" s="30">
        <v>1025</v>
      </c>
      <c r="BH281" s="30">
        <v>1056</v>
      </c>
      <c r="BI281" s="30">
        <v>1304</v>
      </c>
      <c r="BJ281" s="30">
        <v>3943</v>
      </c>
      <c r="BK281" s="30">
        <v>4612</v>
      </c>
      <c r="BL281" s="30">
        <v>76</v>
      </c>
      <c r="BM281" s="30">
        <v>6928</v>
      </c>
      <c r="BN281" s="30">
        <v>3</v>
      </c>
      <c r="BO281" s="30">
        <v>51</v>
      </c>
      <c r="BP281" s="30">
        <v>0</v>
      </c>
      <c r="BQ281" s="30">
        <v>54</v>
      </c>
      <c r="BR281" s="47">
        <v>46198</v>
      </c>
      <c r="BS281" s="47">
        <v>60005</v>
      </c>
      <c r="BT281" s="1">
        <f t="shared" si="123"/>
        <v>1.4629656719329043</v>
      </c>
      <c r="BU281" s="30">
        <v>52</v>
      </c>
      <c r="BV281" s="30">
        <v>0</v>
      </c>
      <c r="BW281" s="47">
        <v>39946</v>
      </c>
      <c r="BX281" s="52">
        <f t="shared" si="124"/>
        <v>0.97391261946557439</v>
      </c>
      <c r="BY281" s="47">
        <v>70561</v>
      </c>
      <c r="BZ281" s="47">
        <v>433</v>
      </c>
      <c r="CA281" s="47">
        <v>77927</v>
      </c>
      <c r="CB281" s="47">
        <v>4791</v>
      </c>
      <c r="CC281" s="47">
        <v>153712</v>
      </c>
      <c r="CD281" s="55">
        <f t="shared" si="125"/>
        <v>3.7476106885118003</v>
      </c>
      <c r="CE281" s="3">
        <f t="shared" si="126"/>
        <v>21958.857142857141</v>
      </c>
      <c r="CF281" s="55">
        <f t="shared" si="127"/>
        <v>61.386581469648561</v>
      </c>
      <c r="CG281" s="55">
        <f t="shared" si="128"/>
        <v>1.1543926581251784</v>
      </c>
      <c r="CH281" s="55">
        <f t="shared" si="129"/>
        <v>2.4745937838513457</v>
      </c>
      <c r="CI281" s="30">
        <v>178</v>
      </c>
      <c r="CJ281" s="30">
        <v>33</v>
      </c>
      <c r="CK281" s="30">
        <v>137</v>
      </c>
      <c r="CL281" s="30">
        <v>348</v>
      </c>
      <c r="CM281" s="30">
        <v>14137</v>
      </c>
      <c r="CN281" s="30">
        <v>414</v>
      </c>
      <c r="CO281" s="30">
        <v>1278</v>
      </c>
      <c r="CP281" s="30">
        <v>15829</v>
      </c>
      <c r="CQ281" s="1">
        <f t="shared" si="137"/>
        <v>0.38592256680319875</v>
      </c>
      <c r="CR281" s="47">
        <v>133154</v>
      </c>
      <c r="CS281" s="55">
        <f t="shared" si="130"/>
        <v>3.2463916520382288</v>
      </c>
      <c r="CT281" s="59">
        <v>10804</v>
      </c>
      <c r="CU281" s="29" t="s">
        <v>25</v>
      </c>
      <c r="CV281" s="29" t="s">
        <v>25</v>
      </c>
      <c r="CW281" s="29" t="s">
        <v>25</v>
      </c>
      <c r="CX281" s="35">
        <v>2</v>
      </c>
      <c r="CY281" s="49">
        <f>C281/CX281</f>
        <v>20508</v>
      </c>
      <c r="CZ281" s="35">
        <v>0</v>
      </c>
      <c r="DA281" s="35">
        <v>5</v>
      </c>
      <c r="DB281" s="35">
        <v>7</v>
      </c>
      <c r="DC281" s="49">
        <f t="shared" si="131"/>
        <v>5859.4285714285716</v>
      </c>
      <c r="DD281" s="30">
        <v>2975</v>
      </c>
      <c r="DE281" s="31">
        <v>76765</v>
      </c>
      <c r="DF281" s="35">
        <v>40</v>
      </c>
      <c r="DG281" s="29" t="s">
        <v>25</v>
      </c>
      <c r="DH281" s="29" t="s">
        <v>25</v>
      </c>
      <c r="DI281" s="29" t="s">
        <v>25</v>
      </c>
      <c r="DJ281" s="47">
        <v>24</v>
      </c>
      <c r="DK281" s="47">
        <v>0</v>
      </c>
      <c r="DL281" s="47">
        <v>49</v>
      </c>
      <c r="DM281" s="47">
        <v>44883</v>
      </c>
      <c r="DN281" s="47">
        <v>2734</v>
      </c>
      <c r="DO281" s="47">
        <v>15300</v>
      </c>
      <c r="DP281" s="29" t="s">
        <v>2028</v>
      </c>
      <c r="DQ281" s="47">
        <v>0</v>
      </c>
      <c r="DR281" s="47">
        <v>2504</v>
      </c>
      <c r="DS281" s="30">
        <v>52</v>
      </c>
      <c r="DT281" s="30">
        <v>50</v>
      </c>
      <c r="DU281" s="30">
        <v>50</v>
      </c>
      <c r="DV281" s="30">
        <v>50</v>
      </c>
      <c r="DX281" s="2">
        <f t="shared" si="132"/>
        <v>2504</v>
      </c>
      <c r="DY281" s="33" t="s">
        <v>2186</v>
      </c>
      <c r="DZ281" s="33" t="s">
        <v>777</v>
      </c>
      <c r="EA281" s="33" t="s">
        <v>2030</v>
      </c>
      <c r="EB281" s="33" t="s">
        <v>2027</v>
      </c>
      <c r="EC281" s="36">
        <v>219</v>
      </c>
      <c r="ED281" s="29" t="s">
        <v>775</v>
      </c>
      <c r="EE281" s="29" t="s">
        <v>776</v>
      </c>
      <c r="EF281" s="37">
        <v>41548</v>
      </c>
      <c r="EG281" s="37">
        <v>41912</v>
      </c>
      <c r="EH281" s="29" t="s">
        <v>775</v>
      </c>
      <c r="EI281" s="55">
        <f t="shared" si="133"/>
        <v>1.7203286522332748</v>
      </c>
      <c r="EJ281" s="54">
        <f t="shared" si="134"/>
        <v>1.0556855861127364E-2</v>
      </c>
      <c r="EK281" s="55">
        <f t="shared" si="135"/>
        <v>1.8999171055197972</v>
      </c>
      <c r="EL281" s="54">
        <f t="shared" si="136"/>
        <v>0.11680807489760094</v>
      </c>
    </row>
    <row r="282" spans="1:142" ht="28.8" x14ac:dyDescent="0.3">
      <c r="A282" s="29" t="s">
        <v>779</v>
      </c>
      <c r="B282" s="29"/>
      <c r="C282" s="30">
        <v>10245</v>
      </c>
      <c r="D282" s="30">
        <v>0</v>
      </c>
      <c r="E282" s="30">
        <v>0</v>
      </c>
      <c r="F282" s="30">
        <v>10020</v>
      </c>
      <c r="H282" s="2">
        <f t="shared" si="112"/>
        <v>10020</v>
      </c>
      <c r="I282" s="1">
        <f t="shared" si="111"/>
        <v>0.97803806734992682</v>
      </c>
      <c r="J282" s="31">
        <v>59126</v>
      </c>
      <c r="K282" s="31">
        <v>17556</v>
      </c>
      <c r="L282" s="31">
        <v>76682</v>
      </c>
      <c r="M282" s="45">
        <f t="shared" si="113"/>
        <v>7.4848218643240605</v>
      </c>
      <c r="N282" s="31">
        <v>24500</v>
      </c>
      <c r="O282" s="31">
        <v>0</v>
      </c>
      <c r="P282" s="31">
        <v>3500</v>
      </c>
      <c r="Q282" s="31">
        <v>28000</v>
      </c>
      <c r="R282" s="45">
        <f t="shared" si="114"/>
        <v>2.7330405075646658</v>
      </c>
      <c r="S282" s="31">
        <v>107492</v>
      </c>
      <c r="T282" s="31">
        <v>212174</v>
      </c>
      <c r="U282" s="31">
        <v>0</v>
      </c>
      <c r="V282" s="31">
        <v>212174</v>
      </c>
      <c r="W282" s="45">
        <f t="shared" si="115"/>
        <v>20.710004880429477</v>
      </c>
      <c r="X282" s="4">
        <f t="shared" si="116"/>
        <v>0.36141091745454201</v>
      </c>
      <c r="Y282" s="4">
        <f t="shared" si="117"/>
        <v>0.13196715902985284</v>
      </c>
      <c r="Z282" s="4">
        <f t="shared" si="118"/>
        <v>0.50662192351560509</v>
      </c>
      <c r="AA282" s="4">
        <f t="shared" si="119"/>
        <v>0</v>
      </c>
      <c r="AB282" s="31">
        <v>119159</v>
      </c>
      <c r="AC282" s="31">
        <v>28000</v>
      </c>
      <c r="AD282" s="31">
        <v>212174</v>
      </c>
      <c r="AE282" s="31">
        <v>121550</v>
      </c>
      <c r="AF282" s="31">
        <v>96522</v>
      </c>
      <c r="AG282" s="31">
        <v>34100</v>
      </c>
      <c r="AH282" s="31">
        <v>0</v>
      </c>
      <c r="AI282" s="31">
        <v>130622</v>
      </c>
      <c r="AJ282" s="45">
        <f t="shared" si="120"/>
        <v>12.749829184968277</v>
      </c>
      <c r="AK282" s="31">
        <v>0</v>
      </c>
      <c r="AL282" s="31">
        <v>0</v>
      </c>
      <c r="AM282" s="31">
        <v>0</v>
      </c>
      <c r="AN282" s="31">
        <v>0</v>
      </c>
      <c r="AO282" s="31">
        <v>0</v>
      </c>
      <c r="AP282" s="31">
        <v>39550</v>
      </c>
      <c r="AQ282" s="31">
        <v>39550</v>
      </c>
      <c r="AR282" s="31">
        <v>170172</v>
      </c>
      <c r="AS282" s="46">
        <f t="shared" si="121"/>
        <v>16.610248901903368</v>
      </c>
      <c r="AT282" s="31">
        <v>0</v>
      </c>
      <c r="AU282" s="31">
        <v>0</v>
      </c>
      <c r="AV282" s="31">
        <v>0</v>
      </c>
      <c r="AW282" s="31">
        <v>0</v>
      </c>
      <c r="AX282" s="31">
        <v>0</v>
      </c>
      <c r="AY282" s="31">
        <v>0</v>
      </c>
      <c r="AZ282" s="31">
        <v>0</v>
      </c>
      <c r="BA282" s="31">
        <v>0</v>
      </c>
      <c r="BB282" s="31">
        <v>0</v>
      </c>
      <c r="BC282" s="33" t="s">
        <v>25</v>
      </c>
      <c r="BD282" s="47">
        <v>31000</v>
      </c>
      <c r="BE282" s="47">
        <v>32500</v>
      </c>
      <c r="BF282" s="45">
        <f t="shared" si="122"/>
        <v>3.1722791605661298</v>
      </c>
      <c r="BG282" s="30">
        <v>600</v>
      </c>
      <c r="BH282" s="30">
        <v>600</v>
      </c>
      <c r="BI282" s="30">
        <v>0</v>
      </c>
      <c r="BJ282" s="30">
        <v>1400</v>
      </c>
      <c r="BK282" s="30">
        <v>1400</v>
      </c>
      <c r="BL282" s="30">
        <v>0</v>
      </c>
      <c r="BM282" s="30">
        <v>0</v>
      </c>
      <c r="BN282" s="30">
        <v>0</v>
      </c>
      <c r="BO282" s="30">
        <v>51</v>
      </c>
      <c r="BP282" s="30">
        <v>0</v>
      </c>
      <c r="BQ282" s="30">
        <v>51</v>
      </c>
      <c r="BR282" s="47">
        <v>33000</v>
      </c>
      <c r="BS282" s="47">
        <v>34500</v>
      </c>
      <c r="BT282" s="1">
        <f t="shared" si="123"/>
        <v>3.3674963396778916</v>
      </c>
      <c r="BU282" s="30">
        <v>35</v>
      </c>
      <c r="BV282" s="30">
        <v>0</v>
      </c>
      <c r="BW282" s="47">
        <v>32013</v>
      </c>
      <c r="BX282" s="52">
        <f t="shared" si="124"/>
        <v>3.1247437774524158</v>
      </c>
      <c r="BY282" s="47">
        <v>11530</v>
      </c>
      <c r="BZ282" s="47">
        <v>0</v>
      </c>
      <c r="CA282" s="47">
        <v>23161</v>
      </c>
      <c r="CB282" s="47">
        <v>0</v>
      </c>
      <c r="CC282" s="47">
        <v>34691</v>
      </c>
      <c r="CD282" s="55">
        <f t="shared" si="125"/>
        <v>3.3861395802830647</v>
      </c>
      <c r="CE282" s="3">
        <f t="shared" si="126"/>
        <v>17345.5</v>
      </c>
      <c r="CF282" s="55">
        <f t="shared" si="127"/>
        <v>17.038801571709232</v>
      </c>
      <c r="CG282" s="55">
        <f t="shared" si="128"/>
        <v>1.0225189377192208</v>
      </c>
      <c r="CH282" s="55">
        <f t="shared" si="129"/>
        <v>1.0055362318840579</v>
      </c>
      <c r="CI282" s="30">
        <v>63</v>
      </c>
      <c r="CJ282" s="30">
        <v>24</v>
      </c>
      <c r="CK282" s="30">
        <v>24</v>
      </c>
      <c r="CL282" s="30">
        <v>111</v>
      </c>
      <c r="CM282" s="30">
        <v>3582</v>
      </c>
      <c r="CN282" s="30">
        <v>461</v>
      </c>
      <c r="CO282" s="30">
        <v>473</v>
      </c>
      <c r="CP282" s="30">
        <v>4516</v>
      </c>
      <c r="CQ282" s="1">
        <f t="shared" si="137"/>
        <v>0.4408003904343582</v>
      </c>
      <c r="CR282" s="47">
        <v>33927</v>
      </c>
      <c r="CS282" s="55">
        <f t="shared" si="130"/>
        <v>3.3115666178623719</v>
      </c>
      <c r="CT282" s="59">
        <v>3450</v>
      </c>
      <c r="CU282" s="29" t="s">
        <v>25</v>
      </c>
      <c r="CV282" s="29" t="s">
        <v>25</v>
      </c>
      <c r="CW282" s="29" t="s">
        <v>25</v>
      </c>
      <c r="CX282" s="35">
        <v>0</v>
      </c>
      <c r="CY282" s="49">
        <v>0</v>
      </c>
      <c r="CZ282" s="35">
        <v>1</v>
      </c>
      <c r="DA282" s="35">
        <v>1</v>
      </c>
      <c r="DB282" s="35">
        <v>2</v>
      </c>
      <c r="DC282" s="49">
        <f t="shared" si="131"/>
        <v>5122.5</v>
      </c>
      <c r="DD282" s="30">
        <v>540</v>
      </c>
      <c r="DE282" s="31">
        <v>33862</v>
      </c>
      <c r="DF282" s="35">
        <v>40</v>
      </c>
      <c r="DG282" s="29" t="s">
        <v>25</v>
      </c>
      <c r="DH282" s="29" t="s">
        <v>26</v>
      </c>
      <c r="DI282" s="29" t="s">
        <v>26</v>
      </c>
      <c r="DJ282" s="47">
        <v>114</v>
      </c>
      <c r="DK282" s="47">
        <v>83</v>
      </c>
      <c r="DL282" s="47">
        <v>29</v>
      </c>
      <c r="DM282" s="47">
        <v>19480</v>
      </c>
      <c r="DN282" s="47">
        <v>4</v>
      </c>
      <c r="DO282" s="47">
        <v>4</v>
      </c>
      <c r="DP282" s="29" t="s">
        <v>2028</v>
      </c>
      <c r="DQ282" s="47">
        <v>0</v>
      </c>
      <c r="DR282" s="47">
        <v>2036</v>
      </c>
      <c r="DS282" s="30">
        <v>52</v>
      </c>
      <c r="DT282" s="30">
        <v>40</v>
      </c>
      <c r="DU282" s="30">
        <v>40</v>
      </c>
      <c r="DV282" s="30">
        <v>40</v>
      </c>
      <c r="DX282" s="2">
        <f t="shared" si="132"/>
        <v>2036</v>
      </c>
      <c r="DY282" s="33" t="s">
        <v>2180</v>
      </c>
      <c r="DZ282" s="33" t="s">
        <v>780</v>
      </c>
      <c r="EA282" s="33" t="s">
        <v>2030</v>
      </c>
      <c r="EB282" s="33" t="s">
        <v>2027</v>
      </c>
      <c r="EC282" s="36">
        <v>220</v>
      </c>
      <c r="ED282" s="29" t="s">
        <v>778</v>
      </c>
      <c r="EE282" s="29" t="s">
        <v>214</v>
      </c>
      <c r="EF282" s="37">
        <v>41548</v>
      </c>
      <c r="EG282" s="37">
        <v>41912</v>
      </c>
      <c r="EH282" s="29" t="s">
        <v>778</v>
      </c>
      <c r="EI282" s="55">
        <f t="shared" si="133"/>
        <v>1.125427037579307</v>
      </c>
      <c r="EJ282" s="54">
        <f t="shared" si="134"/>
        <v>0</v>
      </c>
      <c r="EK282" s="55">
        <f t="shared" si="135"/>
        <v>2.2607125427037578</v>
      </c>
      <c r="EL282" s="54">
        <f t="shared" si="136"/>
        <v>0</v>
      </c>
    </row>
    <row r="283" spans="1:142" ht="28.8" x14ac:dyDescent="0.3">
      <c r="A283" s="29" t="s">
        <v>1509</v>
      </c>
      <c r="B283" s="29"/>
      <c r="C283" s="30">
        <v>6450</v>
      </c>
      <c r="D283" s="30">
        <v>0</v>
      </c>
      <c r="E283" s="30">
        <v>0</v>
      </c>
      <c r="F283" s="30">
        <v>5142</v>
      </c>
      <c r="H283" s="2">
        <f t="shared" si="112"/>
        <v>5142</v>
      </c>
      <c r="I283" s="1">
        <f t="shared" si="111"/>
        <v>0.7972093023255814</v>
      </c>
      <c r="J283" s="31">
        <v>83005</v>
      </c>
      <c r="K283" s="31">
        <v>26164</v>
      </c>
      <c r="L283" s="31">
        <v>109169</v>
      </c>
      <c r="M283" s="45">
        <f t="shared" si="113"/>
        <v>16.925426356589146</v>
      </c>
      <c r="N283" s="31">
        <v>7323</v>
      </c>
      <c r="O283" s="31">
        <v>3100</v>
      </c>
      <c r="P283" s="31">
        <v>2001</v>
      </c>
      <c r="Q283" s="31">
        <v>12424</v>
      </c>
      <c r="R283" s="45">
        <f t="shared" si="114"/>
        <v>1.9262015503875969</v>
      </c>
      <c r="S283" s="31">
        <v>24705</v>
      </c>
      <c r="T283" s="31">
        <v>146298</v>
      </c>
      <c r="U283" s="31">
        <v>0</v>
      </c>
      <c r="V283" s="31">
        <v>146298</v>
      </c>
      <c r="W283" s="45">
        <f t="shared" si="115"/>
        <v>22.68186046511628</v>
      </c>
      <c r="X283" s="4">
        <f t="shared" si="116"/>
        <v>0.74620979097458617</v>
      </c>
      <c r="Y283" s="4">
        <f t="shared" si="117"/>
        <v>8.4922555332267016E-2</v>
      </c>
      <c r="Z283" s="4">
        <f t="shared" si="118"/>
        <v>0.16886765369314685</v>
      </c>
      <c r="AA283" s="4">
        <f t="shared" si="119"/>
        <v>0</v>
      </c>
      <c r="AB283" s="31">
        <v>0</v>
      </c>
      <c r="AC283" s="31">
        <v>12424</v>
      </c>
      <c r="AD283" s="31">
        <v>145464</v>
      </c>
      <c r="AE283" s="31">
        <v>132933</v>
      </c>
      <c r="AF283" s="31">
        <v>145008</v>
      </c>
      <c r="AG283" s="31">
        <v>0</v>
      </c>
      <c r="AH283" s="31">
        <v>0</v>
      </c>
      <c r="AI283" s="31">
        <v>145008</v>
      </c>
      <c r="AJ283" s="45">
        <f t="shared" si="120"/>
        <v>22.481860465116281</v>
      </c>
      <c r="AK283" s="31">
        <v>0</v>
      </c>
      <c r="AL283" s="31">
        <v>0</v>
      </c>
      <c r="AM283" s="31">
        <v>0</v>
      </c>
      <c r="AN283" s="31">
        <v>0</v>
      </c>
      <c r="AO283" s="31">
        <v>1800</v>
      </c>
      <c r="AP283" s="31">
        <v>14793</v>
      </c>
      <c r="AQ283" s="31">
        <v>16593</v>
      </c>
      <c r="AR283" s="31">
        <v>161601</v>
      </c>
      <c r="AS283" s="46">
        <f t="shared" si="121"/>
        <v>25.054418604651161</v>
      </c>
      <c r="AT283" s="31">
        <v>0</v>
      </c>
      <c r="AU283" s="31">
        <v>0</v>
      </c>
      <c r="AV283" s="31">
        <v>0</v>
      </c>
      <c r="AW283" s="31">
        <v>0</v>
      </c>
      <c r="AX283" s="31">
        <v>0</v>
      </c>
      <c r="AY283" s="31">
        <v>0</v>
      </c>
      <c r="AZ283" s="31">
        <v>0</v>
      </c>
      <c r="BA283" s="31">
        <v>0</v>
      </c>
      <c r="BB283" s="31">
        <v>0</v>
      </c>
      <c r="BC283" s="33" t="s">
        <v>25</v>
      </c>
      <c r="BD283" s="47">
        <v>11986</v>
      </c>
      <c r="BE283" s="47">
        <v>12208</v>
      </c>
      <c r="BF283" s="45">
        <f t="shared" si="122"/>
        <v>1.8927131782945736</v>
      </c>
      <c r="BG283" s="30">
        <v>763</v>
      </c>
      <c r="BH283" s="30">
        <v>763</v>
      </c>
      <c r="BI283" s="30">
        <v>460</v>
      </c>
      <c r="BJ283" s="30">
        <v>979</v>
      </c>
      <c r="BK283" s="30">
        <v>979</v>
      </c>
      <c r="BL283" s="30">
        <v>28</v>
      </c>
      <c r="BM283" s="30">
        <v>1557</v>
      </c>
      <c r="BN283" s="30">
        <v>1</v>
      </c>
      <c r="BO283" s="30">
        <v>51</v>
      </c>
      <c r="BP283" s="30">
        <v>0</v>
      </c>
      <c r="BQ283" s="30">
        <v>52</v>
      </c>
      <c r="BR283" s="47">
        <v>13728</v>
      </c>
      <c r="BS283" s="47">
        <v>15996</v>
      </c>
      <c r="BT283" s="1">
        <f t="shared" si="123"/>
        <v>2.48</v>
      </c>
      <c r="BU283" s="30">
        <v>73</v>
      </c>
      <c r="BV283" s="30">
        <v>0</v>
      </c>
      <c r="BW283" s="47">
        <v>3714</v>
      </c>
      <c r="BX283" s="52">
        <f t="shared" si="124"/>
        <v>0.57581395348837205</v>
      </c>
      <c r="BY283" s="47">
        <v>7071</v>
      </c>
      <c r="BZ283" s="47">
        <v>83</v>
      </c>
      <c r="CA283" s="47">
        <v>30481</v>
      </c>
      <c r="CB283" s="47">
        <v>2541</v>
      </c>
      <c r="CC283" s="47">
        <v>40176</v>
      </c>
      <c r="CD283" s="55">
        <f t="shared" si="125"/>
        <v>6.2288372093023252</v>
      </c>
      <c r="CE283" s="3">
        <f t="shared" si="126"/>
        <v>15452.307692307691</v>
      </c>
      <c r="CF283" s="55">
        <f t="shared" si="127"/>
        <v>16.726061615320567</v>
      </c>
      <c r="CG283" s="55">
        <f t="shared" si="128"/>
        <v>1.7772272847916482</v>
      </c>
      <c r="CH283" s="55">
        <f t="shared" si="129"/>
        <v>2.3475868967241809</v>
      </c>
      <c r="CI283" s="30">
        <v>54</v>
      </c>
      <c r="CJ283" s="30">
        <v>3</v>
      </c>
      <c r="CK283" s="30">
        <v>138</v>
      </c>
      <c r="CL283" s="30">
        <v>195</v>
      </c>
      <c r="CM283" s="30">
        <v>1049</v>
      </c>
      <c r="CN283" s="30">
        <v>25</v>
      </c>
      <c r="CO283" s="30">
        <v>1138</v>
      </c>
      <c r="CP283" s="30">
        <v>2212</v>
      </c>
      <c r="CQ283" s="1">
        <f t="shared" si="137"/>
        <v>0.34294573643410853</v>
      </c>
      <c r="CR283" s="47">
        <v>22606</v>
      </c>
      <c r="CS283" s="55">
        <f t="shared" si="130"/>
        <v>3.5048062015503878</v>
      </c>
      <c r="CT283" s="59">
        <v>6469</v>
      </c>
      <c r="CU283" s="29" t="s">
        <v>25</v>
      </c>
      <c r="CV283" s="29" t="s">
        <v>25</v>
      </c>
      <c r="CW283" s="29" t="s">
        <v>25</v>
      </c>
      <c r="CX283" s="35">
        <v>2</v>
      </c>
      <c r="CY283" s="49">
        <f>C283/CX283</f>
        <v>3225</v>
      </c>
      <c r="CZ283" s="35">
        <v>0</v>
      </c>
      <c r="DA283" s="35">
        <v>0.6</v>
      </c>
      <c r="DB283" s="35">
        <v>2.6</v>
      </c>
      <c r="DC283" s="49">
        <f t="shared" si="131"/>
        <v>2480.7692307692305</v>
      </c>
      <c r="DD283" s="30">
        <v>3219</v>
      </c>
      <c r="DE283" s="31">
        <v>44125</v>
      </c>
      <c r="DF283" s="35">
        <v>40</v>
      </c>
      <c r="DG283" s="29" t="s">
        <v>25</v>
      </c>
      <c r="DH283" s="29" t="s">
        <v>25</v>
      </c>
      <c r="DI283" s="29" t="s">
        <v>25</v>
      </c>
      <c r="DJ283" s="47">
        <v>23</v>
      </c>
      <c r="DK283" s="47">
        <v>30</v>
      </c>
      <c r="DL283" s="47">
        <v>10</v>
      </c>
      <c r="DM283" s="47">
        <v>6911</v>
      </c>
      <c r="DN283" s="47">
        <v>1398</v>
      </c>
      <c r="DO283" s="47">
        <v>712</v>
      </c>
      <c r="DP283" s="29" t="s">
        <v>2028</v>
      </c>
      <c r="DQ283" s="47">
        <v>0</v>
      </c>
      <c r="DR283" s="47">
        <v>2402</v>
      </c>
      <c r="DS283" s="30">
        <v>52</v>
      </c>
      <c r="DT283" s="30">
        <v>48</v>
      </c>
      <c r="DU283" s="30">
        <v>48</v>
      </c>
      <c r="DV283" s="30">
        <v>48</v>
      </c>
      <c r="DX283" s="2">
        <f t="shared" si="132"/>
        <v>2402</v>
      </c>
      <c r="DY283" s="33" t="s">
        <v>2186</v>
      </c>
      <c r="DZ283" s="33" t="s">
        <v>1510</v>
      </c>
      <c r="EA283" s="33" t="s">
        <v>2030</v>
      </c>
      <c r="EB283" s="33" t="s">
        <v>2027</v>
      </c>
      <c r="EC283" s="36">
        <v>483</v>
      </c>
      <c r="ED283" s="29" t="s">
        <v>1508</v>
      </c>
      <c r="EE283" s="29" t="s">
        <v>110</v>
      </c>
      <c r="EF283" s="37">
        <v>41548</v>
      </c>
      <c r="EG283" s="37">
        <v>41912</v>
      </c>
      <c r="EH283" s="29" t="s">
        <v>1508</v>
      </c>
      <c r="EI283" s="55">
        <f t="shared" si="133"/>
        <v>1.0962790697674418</v>
      </c>
      <c r="EJ283" s="54">
        <f t="shared" si="134"/>
        <v>1.2868217054263565E-2</v>
      </c>
      <c r="EK283" s="55">
        <f t="shared" si="135"/>
        <v>4.7257364341085273</v>
      </c>
      <c r="EL283" s="54">
        <f t="shared" si="136"/>
        <v>0.39395348837209304</v>
      </c>
    </row>
    <row r="284" spans="1:142" ht="28.8" x14ac:dyDescent="0.3">
      <c r="A284" s="29" t="s">
        <v>783</v>
      </c>
      <c r="B284" s="29"/>
      <c r="C284" s="30">
        <v>4675</v>
      </c>
      <c r="D284" s="30">
        <v>0</v>
      </c>
      <c r="E284" s="30">
        <v>0</v>
      </c>
      <c r="F284" s="30">
        <v>7300</v>
      </c>
      <c r="H284" s="2">
        <f t="shared" si="112"/>
        <v>7300</v>
      </c>
      <c r="I284" s="1">
        <f t="shared" si="111"/>
        <v>1.5614973262032086</v>
      </c>
      <c r="J284" s="31">
        <v>77731</v>
      </c>
      <c r="K284" s="31">
        <v>25376</v>
      </c>
      <c r="L284" s="31">
        <v>103107</v>
      </c>
      <c r="M284" s="45">
        <f t="shared" si="113"/>
        <v>22.054973262032085</v>
      </c>
      <c r="N284" s="31">
        <v>17639</v>
      </c>
      <c r="O284" s="31">
        <v>2620</v>
      </c>
      <c r="P284" s="31">
        <v>5766</v>
      </c>
      <c r="Q284" s="31">
        <v>26025</v>
      </c>
      <c r="R284" s="45">
        <f t="shared" si="114"/>
        <v>5.5668449197860959</v>
      </c>
      <c r="S284" s="31">
        <v>34251</v>
      </c>
      <c r="T284" s="31">
        <v>163383</v>
      </c>
      <c r="U284" s="31">
        <v>0</v>
      </c>
      <c r="V284" s="31">
        <v>163383</v>
      </c>
      <c r="W284" s="45">
        <f t="shared" si="115"/>
        <v>34.948235294117644</v>
      </c>
      <c r="X284" s="4">
        <f t="shared" si="116"/>
        <v>0.63107544848607255</v>
      </c>
      <c r="Y284" s="4">
        <f t="shared" si="117"/>
        <v>0.15928829804814454</v>
      </c>
      <c r="Z284" s="4">
        <f t="shared" si="118"/>
        <v>0.20963625346578285</v>
      </c>
      <c r="AA284" s="4">
        <f t="shared" si="119"/>
        <v>0</v>
      </c>
      <c r="AB284" s="31">
        <v>0</v>
      </c>
      <c r="AC284" s="31">
        <v>26025</v>
      </c>
      <c r="AD284" s="31">
        <v>163383</v>
      </c>
      <c r="AE284" s="31">
        <v>160382</v>
      </c>
      <c r="AF284" s="31">
        <v>160382</v>
      </c>
      <c r="AG284" s="31">
        <v>0</v>
      </c>
      <c r="AH284" s="31">
        <v>0</v>
      </c>
      <c r="AI284" s="31">
        <v>160382</v>
      </c>
      <c r="AJ284" s="45">
        <f t="shared" si="120"/>
        <v>34.306310160427806</v>
      </c>
      <c r="AK284" s="31">
        <v>0</v>
      </c>
      <c r="AL284" s="31">
        <v>0</v>
      </c>
      <c r="AM284" s="31">
        <v>0</v>
      </c>
      <c r="AN284" s="31">
        <v>0</v>
      </c>
      <c r="AO284" s="31">
        <v>0</v>
      </c>
      <c r="AP284" s="31">
        <v>6126</v>
      </c>
      <c r="AQ284" s="31">
        <v>6126</v>
      </c>
      <c r="AR284" s="31">
        <v>166508</v>
      </c>
      <c r="AS284" s="46">
        <f t="shared" si="121"/>
        <v>35.61668449197861</v>
      </c>
      <c r="AT284" s="31">
        <v>0</v>
      </c>
      <c r="AU284" s="31">
        <v>0</v>
      </c>
      <c r="AV284" s="31">
        <v>0</v>
      </c>
      <c r="AW284" s="31">
        <v>0</v>
      </c>
      <c r="AX284" s="31">
        <v>0</v>
      </c>
      <c r="AY284" s="31">
        <v>0</v>
      </c>
      <c r="AZ284" s="31">
        <v>0</v>
      </c>
      <c r="BA284" s="31">
        <v>0</v>
      </c>
      <c r="BB284" s="31">
        <v>0</v>
      </c>
      <c r="BC284" s="33" t="s">
        <v>25</v>
      </c>
      <c r="BD284" s="47">
        <v>13992</v>
      </c>
      <c r="BE284" s="47">
        <v>14126</v>
      </c>
      <c r="BF284" s="45">
        <f t="shared" si="122"/>
        <v>3.0216042780748662</v>
      </c>
      <c r="BG284" s="30">
        <v>461</v>
      </c>
      <c r="BH284" s="30">
        <v>474</v>
      </c>
      <c r="BI284" s="30">
        <v>971</v>
      </c>
      <c r="BJ284" s="30">
        <v>4235</v>
      </c>
      <c r="BK284" s="30">
        <v>4281</v>
      </c>
      <c r="BL284" s="30">
        <v>76</v>
      </c>
      <c r="BM284" s="30">
        <v>21450</v>
      </c>
      <c r="BN284" s="30">
        <v>1</v>
      </c>
      <c r="BO284" s="30">
        <v>51</v>
      </c>
      <c r="BP284" s="30">
        <v>0</v>
      </c>
      <c r="BQ284" s="30">
        <v>52</v>
      </c>
      <c r="BR284" s="47">
        <v>18688</v>
      </c>
      <c r="BS284" s="47">
        <v>41379</v>
      </c>
      <c r="BT284" s="1">
        <f t="shared" si="123"/>
        <v>8.8511229946524068</v>
      </c>
      <c r="BU284" s="30">
        <v>68</v>
      </c>
      <c r="BV284" s="30">
        <v>0</v>
      </c>
      <c r="BW284" s="47">
        <v>7952</v>
      </c>
      <c r="BX284" s="52">
        <f t="shared" si="124"/>
        <v>1.7009625668449198</v>
      </c>
      <c r="BY284" s="47">
        <v>23022</v>
      </c>
      <c r="BZ284" s="47">
        <v>0</v>
      </c>
      <c r="CA284" s="47">
        <v>52997</v>
      </c>
      <c r="CB284" s="47">
        <v>2702</v>
      </c>
      <c r="CC284" s="47">
        <v>78721</v>
      </c>
      <c r="CD284" s="55">
        <f t="shared" si="125"/>
        <v>16.838716577540108</v>
      </c>
      <c r="CE284" s="3">
        <f t="shared" si="126"/>
        <v>20447.012987012986</v>
      </c>
      <c r="CF284" s="55">
        <f t="shared" si="127"/>
        <v>41.629296668429404</v>
      </c>
      <c r="CG284" s="55">
        <f t="shared" si="128"/>
        <v>0.90015208168959326</v>
      </c>
      <c r="CH284" s="55">
        <f t="shared" si="129"/>
        <v>1.8371396118804224</v>
      </c>
      <c r="CI284" s="30">
        <v>48</v>
      </c>
      <c r="CJ284" s="30">
        <v>0</v>
      </c>
      <c r="CK284" s="30">
        <v>0</v>
      </c>
      <c r="CL284" s="30">
        <v>48</v>
      </c>
      <c r="CM284" s="30">
        <v>1398</v>
      </c>
      <c r="CN284" s="30">
        <v>0</v>
      </c>
      <c r="CO284" s="30">
        <v>0</v>
      </c>
      <c r="CP284" s="30">
        <v>1398</v>
      </c>
      <c r="CQ284" s="1">
        <f t="shared" si="137"/>
        <v>0.29903743315508019</v>
      </c>
      <c r="CR284" s="47">
        <v>87453</v>
      </c>
      <c r="CS284" s="55">
        <f t="shared" si="130"/>
        <v>18.706524064171123</v>
      </c>
      <c r="CT284" s="59">
        <v>5725</v>
      </c>
      <c r="CU284" s="29" t="s">
        <v>25</v>
      </c>
      <c r="CV284" s="29" t="s">
        <v>25</v>
      </c>
      <c r="CW284" s="29" t="s">
        <v>25</v>
      </c>
      <c r="CX284" s="35">
        <v>0</v>
      </c>
      <c r="CY284" s="49">
        <v>0</v>
      </c>
      <c r="CZ284" s="35">
        <v>1</v>
      </c>
      <c r="DA284" s="35">
        <v>2.85</v>
      </c>
      <c r="DB284" s="35">
        <v>3.85</v>
      </c>
      <c r="DC284" s="49">
        <f t="shared" si="131"/>
        <v>1214.2857142857142</v>
      </c>
      <c r="DD284" s="30">
        <v>25</v>
      </c>
      <c r="DE284" s="31">
        <v>39020</v>
      </c>
      <c r="DF284" s="35">
        <v>40</v>
      </c>
      <c r="DG284" s="29" t="s">
        <v>25</v>
      </c>
      <c r="DH284" s="29" t="s">
        <v>25</v>
      </c>
      <c r="DI284" s="29" t="s">
        <v>25</v>
      </c>
      <c r="DJ284" s="47">
        <v>58</v>
      </c>
      <c r="DK284" s="47">
        <v>31</v>
      </c>
      <c r="DL284" s="47">
        <v>19</v>
      </c>
      <c r="DM284" s="47">
        <v>8052</v>
      </c>
      <c r="DN284" s="47">
        <v>125</v>
      </c>
      <c r="DO284" s="47">
        <v>1261</v>
      </c>
      <c r="DP284" s="29" t="s">
        <v>2028</v>
      </c>
      <c r="DQ284" s="47">
        <v>0</v>
      </c>
      <c r="DR284" s="47">
        <v>1891</v>
      </c>
      <c r="DS284" s="30">
        <v>52</v>
      </c>
      <c r="DT284" s="30">
        <v>38</v>
      </c>
      <c r="DU284" s="30">
        <v>38</v>
      </c>
      <c r="DV284" s="30">
        <v>38</v>
      </c>
      <c r="DX284" s="2">
        <f t="shared" si="132"/>
        <v>1891</v>
      </c>
      <c r="DY284" s="33" t="s">
        <v>2186</v>
      </c>
      <c r="DZ284" s="33" t="s">
        <v>784</v>
      </c>
      <c r="EA284" s="33" t="s">
        <v>2030</v>
      </c>
      <c r="EB284" s="33" t="s">
        <v>2027</v>
      </c>
      <c r="EC284" s="36">
        <v>221</v>
      </c>
      <c r="ED284" s="29" t="s">
        <v>781</v>
      </c>
      <c r="EE284" s="29" t="s">
        <v>782</v>
      </c>
      <c r="EF284" s="37">
        <v>41548</v>
      </c>
      <c r="EG284" s="37">
        <v>41912</v>
      </c>
      <c r="EH284" s="29" t="s">
        <v>781</v>
      </c>
      <c r="EI284" s="55">
        <f t="shared" si="133"/>
        <v>4.924491978609626</v>
      </c>
      <c r="EJ284" s="54">
        <f t="shared" si="134"/>
        <v>0</v>
      </c>
      <c r="EK284" s="55">
        <f t="shared" si="135"/>
        <v>11.336256684491978</v>
      </c>
      <c r="EL284" s="54">
        <f t="shared" si="136"/>
        <v>0.57796791443850271</v>
      </c>
    </row>
    <row r="285" spans="1:142" ht="28.8" x14ac:dyDescent="0.3">
      <c r="A285" s="29" t="s">
        <v>789</v>
      </c>
      <c r="B285" s="29"/>
      <c r="C285" s="30">
        <v>4533</v>
      </c>
      <c r="D285" s="30">
        <v>0</v>
      </c>
      <c r="E285" s="30">
        <v>0</v>
      </c>
      <c r="F285" s="30">
        <v>3600</v>
      </c>
      <c r="H285" s="2">
        <f t="shared" si="112"/>
        <v>3600</v>
      </c>
      <c r="I285" s="1">
        <f t="shared" si="111"/>
        <v>0.79417604235605554</v>
      </c>
      <c r="J285" s="31">
        <v>41885</v>
      </c>
      <c r="K285" s="31">
        <v>12200</v>
      </c>
      <c r="L285" s="31">
        <v>54085</v>
      </c>
      <c r="M285" s="45">
        <f t="shared" si="113"/>
        <v>11.931392014118686</v>
      </c>
      <c r="N285" s="31">
        <v>5000</v>
      </c>
      <c r="O285" s="31">
        <v>0</v>
      </c>
      <c r="P285" s="31">
        <v>0</v>
      </c>
      <c r="Q285" s="31">
        <v>5000</v>
      </c>
      <c r="R285" s="45">
        <f t="shared" si="114"/>
        <v>1.1030222810500772</v>
      </c>
      <c r="S285" s="31">
        <v>42900</v>
      </c>
      <c r="T285" s="31">
        <v>101985</v>
      </c>
      <c r="U285" s="31">
        <v>0</v>
      </c>
      <c r="V285" s="31">
        <v>101985</v>
      </c>
      <c r="W285" s="45">
        <f t="shared" si="115"/>
        <v>22.498345466578424</v>
      </c>
      <c r="X285" s="4">
        <f t="shared" si="116"/>
        <v>0.53032308672844042</v>
      </c>
      <c r="Y285" s="4">
        <f t="shared" si="117"/>
        <v>4.9026817669265088E-2</v>
      </c>
      <c r="Z285" s="4">
        <f t="shared" si="118"/>
        <v>0.42065009560229444</v>
      </c>
      <c r="AA285" s="4">
        <f t="shared" si="119"/>
        <v>0</v>
      </c>
      <c r="AB285" s="31">
        <v>0</v>
      </c>
      <c r="AC285" s="31">
        <v>5000</v>
      </c>
      <c r="AD285" s="31">
        <v>101985</v>
      </c>
      <c r="AE285" s="31">
        <v>101985</v>
      </c>
      <c r="AF285" s="31">
        <v>101985</v>
      </c>
      <c r="AG285" s="31">
        <v>13920</v>
      </c>
      <c r="AH285" s="31">
        <v>0</v>
      </c>
      <c r="AI285" s="31">
        <v>115905</v>
      </c>
      <c r="AJ285" s="45">
        <f t="shared" si="120"/>
        <v>25.56915949702184</v>
      </c>
      <c r="AK285" s="31">
        <v>0</v>
      </c>
      <c r="AL285" s="31">
        <v>0</v>
      </c>
      <c r="AM285" s="31">
        <v>0</v>
      </c>
      <c r="AN285" s="31">
        <v>0</v>
      </c>
      <c r="AO285" s="31">
        <v>0</v>
      </c>
      <c r="AP285" s="31">
        <v>0</v>
      </c>
      <c r="AQ285" s="31">
        <v>0</v>
      </c>
      <c r="AR285" s="31">
        <v>115905</v>
      </c>
      <c r="AS285" s="46">
        <f t="shared" si="121"/>
        <v>25.56915949702184</v>
      </c>
      <c r="AT285" s="31">
        <v>0</v>
      </c>
      <c r="AU285" s="31">
        <v>0</v>
      </c>
      <c r="AV285" s="31">
        <v>0</v>
      </c>
      <c r="AW285" s="31">
        <v>0</v>
      </c>
      <c r="AX285" s="31">
        <v>0</v>
      </c>
      <c r="AY285" s="31">
        <v>0</v>
      </c>
      <c r="AZ285" s="31">
        <v>0</v>
      </c>
      <c r="BA285" s="31">
        <v>0</v>
      </c>
      <c r="BB285" s="31">
        <v>0</v>
      </c>
      <c r="BC285" s="33" t="s">
        <v>25</v>
      </c>
      <c r="BD285" s="47">
        <v>15296</v>
      </c>
      <c r="BE285" s="47">
        <v>15296</v>
      </c>
      <c r="BF285" s="45">
        <f t="shared" si="122"/>
        <v>3.374365762188396</v>
      </c>
      <c r="BG285" s="30">
        <v>704</v>
      </c>
      <c r="BH285" s="30">
        <v>704</v>
      </c>
      <c r="BI285" s="30">
        <v>0</v>
      </c>
      <c r="BJ285" s="30">
        <v>2311</v>
      </c>
      <c r="BK285" s="30">
        <v>2311</v>
      </c>
      <c r="BL285" s="30">
        <v>0</v>
      </c>
      <c r="BM285" s="30">
        <v>22095</v>
      </c>
      <c r="BN285" s="30">
        <v>0</v>
      </c>
      <c r="BO285" s="30">
        <v>51</v>
      </c>
      <c r="BP285" s="30">
        <v>0</v>
      </c>
      <c r="BQ285" s="30">
        <v>51</v>
      </c>
      <c r="BR285" s="47">
        <v>18311</v>
      </c>
      <c r="BS285" s="47">
        <v>40406</v>
      </c>
      <c r="BT285" s="1">
        <f t="shared" si="123"/>
        <v>8.9137436576218843</v>
      </c>
      <c r="BU285" s="30">
        <v>25</v>
      </c>
      <c r="BV285" s="30">
        <v>0</v>
      </c>
      <c r="BW285" s="47">
        <v>632</v>
      </c>
      <c r="BX285" s="52">
        <f t="shared" si="124"/>
        <v>0.13942201632472975</v>
      </c>
      <c r="BY285" s="47">
        <v>2302</v>
      </c>
      <c r="BZ285" s="47">
        <v>675</v>
      </c>
      <c r="CA285" s="47">
        <v>16791</v>
      </c>
      <c r="CB285" s="47">
        <v>12148</v>
      </c>
      <c r="CC285" s="47">
        <v>31916</v>
      </c>
      <c r="CD285" s="55">
        <f t="shared" si="125"/>
        <v>7.0408118243988529</v>
      </c>
      <c r="CE285" s="3">
        <f t="shared" si="126"/>
        <v>15958</v>
      </c>
      <c r="CF285" s="55">
        <f t="shared" si="127"/>
        <v>14.072310405643739</v>
      </c>
      <c r="CG285" s="55">
        <f t="shared" si="128"/>
        <v>2.441180969863852</v>
      </c>
      <c r="CH285" s="55">
        <f t="shared" si="129"/>
        <v>0.47252883235163096</v>
      </c>
      <c r="CI285" s="30">
        <v>40</v>
      </c>
      <c r="CJ285" s="30">
        <v>0</v>
      </c>
      <c r="CK285" s="30">
        <v>0</v>
      </c>
      <c r="CL285" s="30">
        <v>40</v>
      </c>
      <c r="CM285" s="30">
        <v>370</v>
      </c>
      <c r="CN285" s="30">
        <v>0</v>
      </c>
      <c r="CO285" s="30">
        <v>0</v>
      </c>
      <c r="CP285" s="30">
        <v>370</v>
      </c>
      <c r="CQ285" s="1">
        <f t="shared" si="137"/>
        <v>8.1623648797705714E-2</v>
      </c>
      <c r="CR285" s="47">
        <v>13074</v>
      </c>
      <c r="CS285" s="55">
        <f t="shared" si="130"/>
        <v>2.884182660489742</v>
      </c>
      <c r="CT285" s="59">
        <v>2473</v>
      </c>
      <c r="CU285" s="29" t="s">
        <v>25</v>
      </c>
      <c r="CV285" s="29" t="s">
        <v>25</v>
      </c>
      <c r="CW285" s="29" t="s">
        <v>25</v>
      </c>
      <c r="CX285" s="35">
        <v>0</v>
      </c>
      <c r="CY285" s="49">
        <v>0</v>
      </c>
      <c r="CZ285" s="35">
        <v>1</v>
      </c>
      <c r="DA285" s="35">
        <v>1</v>
      </c>
      <c r="DB285" s="35">
        <v>2</v>
      </c>
      <c r="DC285" s="49">
        <f t="shared" si="131"/>
        <v>2266.5</v>
      </c>
      <c r="DD285" s="30">
        <v>396</v>
      </c>
      <c r="DE285" s="31">
        <v>24273</v>
      </c>
      <c r="DF285" s="35">
        <v>40</v>
      </c>
      <c r="DG285" s="29" t="s">
        <v>25</v>
      </c>
      <c r="DH285" s="29" t="s">
        <v>25</v>
      </c>
      <c r="DI285" s="29" t="s">
        <v>25</v>
      </c>
      <c r="DJ285" s="47">
        <v>28</v>
      </c>
      <c r="DK285" s="47">
        <v>58</v>
      </c>
      <c r="DL285" s="47">
        <v>18</v>
      </c>
      <c r="DM285" s="47">
        <v>3148</v>
      </c>
      <c r="DN285" s="47">
        <v>0</v>
      </c>
      <c r="DO285" s="47">
        <v>750</v>
      </c>
      <c r="DP285" s="29" t="s">
        <v>2028</v>
      </c>
      <c r="DQ285" s="47">
        <v>0</v>
      </c>
      <c r="DR285" s="47">
        <v>2268</v>
      </c>
      <c r="DS285" s="30">
        <v>52</v>
      </c>
      <c r="DT285" s="30">
        <v>45</v>
      </c>
      <c r="DU285" s="30">
        <v>45</v>
      </c>
      <c r="DV285" s="30">
        <v>45</v>
      </c>
      <c r="DX285" s="2">
        <f t="shared" si="132"/>
        <v>2268</v>
      </c>
      <c r="DY285" s="33" t="s">
        <v>2180</v>
      </c>
      <c r="DZ285" s="33" t="s">
        <v>790</v>
      </c>
      <c r="EA285" s="33" t="s">
        <v>2030</v>
      </c>
      <c r="EB285" s="33" t="s">
        <v>2027</v>
      </c>
      <c r="EC285" s="36">
        <v>223</v>
      </c>
      <c r="ED285" s="29" t="s">
        <v>788</v>
      </c>
      <c r="EE285" s="29" t="s">
        <v>214</v>
      </c>
      <c r="EF285" s="37">
        <v>41548</v>
      </c>
      <c r="EG285" s="37">
        <v>41912</v>
      </c>
      <c r="EH285" s="29" t="s">
        <v>788</v>
      </c>
      <c r="EI285" s="55">
        <f t="shared" si="133"/>
        <v>0.5078314581954555</v>
      </c>
      <c r="EJ285" s="54">
        <f t="shared" si="134"/>
        <v>0.14890800794176043</v>
      </c>
      <c r="EK285" s="55">
        <f t="shared" si="135"/>
        <v>3.7041694242223695</v>
      </c>
      <c r="EL285" s="54">
        <f t="shared" si="136"/>
        <v>2.6799029340392675</v>
      </c>
    </row>
    <row r="286" spans="1:142" ht="28.8" x14ac:dyDescent="0.3">
      <c r="A286" s="29" t="s">
        <v>1641</v>
      </c>
      <c r="B286" s="29"/>
      <c r="C286" s="30">
        <v>6476</v>
      </c>
      <c r="D286" s="30">
        <v>0</v>
      </c>
      <c r="E286" s="30">
        <v>0</v>
      </c>
      <c r="F286" s="30">
        <v>4400</v>
      </c>
      <c r="H286" s="2">
        <f t="shared" si="112"/>
        <v>4400</v>
      </c>
      <c r="I286" s="1">
        <f t="shared" si="111"/>
        <v>0.67943174799258799</v>
      </c>
      <c r="J286" s="31">
        <v>63030</v>
      </c>
      <c r="K286" s="31">
        <v>18007</v>
      </c>
      <c r="L286" s="31">
        <v>81037</v>
      </c>
      <c r="M286" s="45">
        <f t="shared" si="113"/>
        <v>12.51343421865349</v>
      </c>
      <c r="N286" s="31">
        <v>27735</v>
      </c>
      <c r="O286" s="31">
        <v>0</v>
      </c>
      <c r="P286" s="31">
        <v>198</v>
      </c>
      <c r="Q286" s="31">
        <v>27933</v>
      </c>
      <c r="R286" s="45">
        <f t="shared" si="114"/>
        <v>4.3133106856083998</v>
      </c>
      <c r="S286" s="31">
        <v>42396</v>
      </c>
      <c r="T286" s="31">
        <v>151366</v>
      </c>
      <c r="U286" s="31">
        <v>0</v>
      </c>
      <c r="V286" s="31">
        <v>151366</v>
      </c>
      <c r="W286" s="45">
        <f t="shared" si="115"/>
        <v>23.3733786287832</v>
      </c>
      <c r="X286" s="4">
        <f t="shared" si="116"/>
        <v>0.53537121942840538</v>
      </c>
      <c r="Y286" s="4">
        <f t="shared" si="117"/>
        <v>0.18453946064505899</v>
      </c>
      <c r="Z286" s="4">
        <f t="shared" si="118"/>
        <v>0.28008931992653568</v>
      </c>
      <c r="AA286" s="4">
        <f t="shared" si="119"/>
        <v>0</v>
      </c>
      <c r="AB286" s="31">
        <v>433282</v>
      </c>
      <c r="AC286" s="31">
        <v>2933</v>
      </c>
      <c r="AD286" s="31">
        <v>126366</v>
      </c>
      <c r="AE286" s="31">
        <v>126366</v>
      </c>
      <c r="AF286" s="31">
        <v>111885</v>
      </c>
      <c r="AG286" s="31">
        <v>14481</v>
      </c>
      <c r="AH286" s="31">
        <v>0</v>
      </c>
      <c r="AI286" s="31">
        <v>126366</v>
      </c>
      <c r="AJ286" s="45">
        <f t="shared" si="120"/>
        <v>19.512970969734404</v>
      </c>
      <c r="AK286" s="31">
        <v>0</v>
      </c>
      <c r="AL286" s="31">
        <v>0</v>
      </c>
      <c r="AM286" s="31">
        <v>0</v>
      </c>
      <c r="AN286" s="31">
        <v>0</v>
      </c>
      <c r="AO286" s="31">
        <v>25000</v>
      </c>
      <c r="AP286" s="31">
        <v>0</v>
      </c>
      <c r="AQ286" s="31">
        <v>25000</v>
      </c>
      <c r="AR286" s="31">
        <v>151366</v>
      </c>
      <c r="AS286" s="46">
        <f t="shared" si="121"/>
        <v>23.3733786287832</v>
      </c>
      <c r="AT286" s="31">
        <v>433282</v>
      </c>
      <c r="AU286" s="31">
        <v>0</v>
      </c>
      <c r="AV286" s="31">
        <v>0</v>
      </c>
      <c r="AW286" s="31">
        <v>0</v>
      </c>
      <c r="AX286" s="31">
        <v>0</v>
      </c>
      <c r="AY286" s="31">
        <v>0</v>
      </c>
      <c r="AZ286" s="31">
        <v>0</v>
      </c>
      <c r="BA286" s="31">
        <v>0</v>
      </c>
      <c r="BB286" s="31">
        <v>433282</v>
      </c>
      <c r="BC286" s="33" t="s">
        <v>25</v>
      </c>
      <c r="BD286" s="47">
        <v>25500</v>
      </c>
      <c r="BE286" s="47">
        <v>26500</v>
      </c>
      <c r="BF286" s="45">
        <f t="shared" si="122"/>
        <v>4.0920321185917237</v>
      </c>
      <c r="BG286" s="30">
        <v>500</v>
      </c>
      <c r="BH286" s="30">
        <v>525</v>
      </c>
      <c r="BI286" s="30">
        <v>0</v>
      </c>
      <c r="BJ286" s="30">
        <v>750</v>
      </c>
      <c r="BK286" s="30">
        <v>800</v>
      </c>
      <c r="BL286" s="30">
        <v>0</v>
      </c>
      <c r="BM286" s="30">
        <v>0</v>
      </c>
      <c r="BN286" s="30">
        <v>0</v>
      </c>
      <c r="BO286" s="30">
        <v>51</v>
      </c>
      <c r="BP286" s="30">
        <v>1</v>
      </c>
      <c r="BQ286" s="30">
        <v>52</v>
      </c>
      <c r="BR286" s="47">
        <v>26750</v>
      </c>
      <c r="BS286" s="47">
        <v>27825</v>
      </c>
      <c r="BT286" s="1">
        <f t="shared" si="123"/>
        <v>4.2966337245213095</v>
      </c>
      <c r="BU286" s="30">
        <v>11</v>
      </c>
      <c r="BV286" s="30">
        <v>0</v>
      </c>
      <c r="BW286" s="47">
        <v>30500</v>
      </c>
      <c r="BX286" s="52">
        <f t="shared" si="124"/>
        <v>4.7096973440395304</v>
      </c>
      <c r="BY286" s="47">
        <v>4250</v>
      </c>
      <c r="BZ286" s="47">
        <v>0</v>
      </c>
      <c r="CA286" s="47">
        <v>6545</v>
      </c>
      <c r="CB286" s="47">
        <v>0</v>
      </c>
      <c r="CC286" s="47">
        <v>10795</v>
      </c>
      <c r="CD286" s="55">
        <f t="shared" si="125"/>
        <v>1.6669240271772698</v>
      </c>
      <c r="CE286" s="3">
        <f t="shared" si="126"/>
        <v>5397.5</v>
      </c>
      <c r="CF286" s="55">
        <f t="shared" si="127"/>
        <v>5.4164576016056198</v>
      </c>
      <c r="CG286" s="55">
        <f t="shared" si="128"/>
        <v>0.58351351351351355</v>
      </c>
      <c r="CH286" s="55">
        <f t="shared" si="129"/>
        <v>0.38796046720575023</v>
      </c>
      <c r="CI286" s="30">
        <v>1005</v>
      </c>
      <c r="CJ286" s="30">
        <v>14</v>
      </c>
      <c r="CK286" s="30">
        <v>25</v>
      </c>
      <c r="CL286" s="30">
        <v>1044</v>
      </c>
      <c r="CM286" s="30">
        <v>7566</v>
      </c>
      <c r="CN286" s="30">
        <v>283</v>
      </c>
      <c r="CO286" s="30">
        <v>212</v>
      </c>
      <c r="CP286" s="30">
        <v>8061</v>
      </c>
      <c r="CQ286" s="1">
        <f t="shared" si="137"/>
        <v>1.2447498455836936</v>
      </c>
      <c r="CR286" s="47">
        <v>18500</v>
      </c>
      <c r="CS286" s="55">
        <f t="shared" si="130"/>
        <v>2.8567016676961088</v>
      </c>
      <c r="CT286" s="59">
        <v>217</v>
      </c>
      <c r="CU286" s="29" t="s">
        <v>25</v>
      </c>
      <c r="CV286" s="29" t="s">
        <v>25</v>
      </c>
      <c r="CW286" s="29" t="s">
        <v>25</v>
      </c>
      <c r="CX286" s="35">
        <v>0</v>
      </c>
      <c r="CY286" s="49">
        <v>0</v>
      </c>
      <c r="CZ286" s="35">
        <v>1</v>
      </c>
      <c r="DA286" s="35">
        <v>1</v>
      </c>
      <c r="DB286" s="35">
        <v>2</v>
      </c>
      <c r="DC286" s="49">
        <f t="shared" si="131"/>
        <v>3238</v>
      </c>
      <c r="DD286" s="30">
        <v>8585</v>
      </c>
      <c r="DE286" s="31">
        <v>27000</v>
      </c>
      <c r="DF286" s="35">
        <v>40</v>
      </c>
      <c r="DG286" s="29" t="s">
        <v>25</v>
      </c>
      <c r="DH286" s="29" t="s">
        <v>26</v>
      </c>
      <c r="DI286" s="29" t="s">
        <v>26</v>
      </c>
      <c r="DJ286" s="47">
        <v>4</v>
      </c>
      <c r="DK286" s="47">
        <v>3</v>
      </c>
      <c r="DL286" s="47">
        <v>26</v>
      </c>
      <c r="DM286" s="47">
        <v>8802</v>
      </c>
      <c r="DN286" s="47">
        <v>15331</v>
      </c>
      <c r="DO286" s="47">
        <v>2400</v>
      </c>
      <c r="DP286" s="29" t="s">
        <v>2028</v>
      </c>
      <c r="DQ286" s="47">
        <v>0</v>
      </c>
      <c r="DR286" s="47">
        <v>1993</v>
      </c>
      <c r="DS286" s="30">
        <v>44</v>
      </c>
      <c r="DT286" s="30">
        <v>48</v>
      </c>
      <c r="DU286" s="30">
        <v>48</v>
      </c>
      <c r="DV286" s="30">
        <v>48</v>
      </c>
      <c r="DX286" s="2">
        <f t="shared" si="132"/>
        <v>1993</v>
      </c>
      <c r="DY286" s="33" t="s">
        <v>2180</v>
      </c>
      <c r="DZ286" s="33" t="s">
        <v>1642</v>
      </c>
      <c r="EA286" s="33" t="s">
        <v>2030</v>
      </c>
      <c r="EB286" s="33" t="s">
        <v>2027</v>
      </c>
      <c r="EC286" s="36">
        <v>556</v>
      </c>
      <c r="ED286" s="29" t="s">
        <v>1640</v>
      </c>
      <c r="EE286" s="29" t="s">
        <v>35</v>
      </c>
      <c r="EF286" s="37">
        <v>41548</v>
      </c>
      <c r="EG286" s="37">
        <v>41912</v>
      </c>
      <c r="EH286" s="29" t="s">
        <v>1640</v>
      </c>
      <c r="EI286" s="55">
        <f t="shared" si="133"/>
        <v>0.65626930203829525</v>
      </c>
      <c r="EJ286" s="54">
        <f t="shared" si="134"/>
        <v>0</v>
      </c>
      <c r="EK286" s="55">
        <f t="shared" si="135"/>
        <v>1.0106547251389746</v>
      </c>
      <c r="EL286" s="54">
        <f t="shared" si="136"/>
        <v>0</v>
      </c>
    </row>
    <row r="287" spans="1:142" x14ac:dyDescent="0.3">
      <c r="A287" s="29" t="s">
        <v>792</v>
      </c>
      <c r="B287" s="29"/>
      <c r="C287" s="30">
        <v>14065</v>
      </c>
      <c r="D287" s="30">
        <v>0</v>
      </c>
      <c r="E287" s="30">
        <v>0</v>
      </c>
      <c r="F287" s="30">
        <v>5000</v>
      </c>
      <c r="H287" s="2">
        <f t="shared" si="112"/>
        <v>5000</v>
      </c>
      <c r="I287" s="1">
        <f t="shared" si="111"/>
        <v>0.35549235691432635</v>
      </c>
      <c r="J287" s="31">
        <v>105000</v>
      </c>
      <c r="K287" s="31">
        <v>12500</v>
      </c>
      <c r="L287" s="31">
        <v>117500</v>
      </c>
      <c r="M287" s="45">
        <f t="shared" si="113"/>
        <v>8.3540703874866686</v>
      </c>
      <c r="N287" s="31">
        <v>15380</v>
      </c>
      <c r="O287" s="31">
        <v>3050</v>
      </c>
      <c r="P287" s="31">
        <v>8000</v>
      </c>
      <c r="Q287" s="31">
        <v>26430</v>
      </c>
      <c r="R287" s="45">
        <f t="shared" si="114"/>
        <v>1.879132598649129</v>
      </c>
      <c r="S287" s="31">
        <v>111995</v>
      </c>
      <c r="T287" s="31">
        <v>255925</v>
      </c>
      <c r="U287" s="31">
        <v>0</v>
      </c>
      <c r="V287" s="31">
        <v>255925</v>
      </c>
      <c r="W287" s="45">
        <f t="shared" si="115"/>
        <v>18.195876288659793</v>
      </c>
      <c r="X287" s="4">
        <f t="shared" si="116"/>
        <v>0.45911888248510307</v>
      </c>
      <c r="Y287" s="4">
        <f t="shared" si="117"/>
        <v>0.10327244309856404</v>
      </c>
      <c r="Z287" s="4">
        <f t="shared" si="118"/>
        <v>0.43760867441633289</v>
      </c>
      <c r="AA287" s="4">
        <f t="shared" si="119"/>
        <v>0</v>
      </c>
      <c r="AB287" s="31">
        <v>0</v>
      </c>
      <c r="AC287" s="31">
        <v>23580</v>
      </c>
      <c r="AD287" s="31">
        <v>253075</v>
      </c>
      <c r="AE287" s="31">
        <v>221995</v>
      </c>
      <c r="AF287" s="31">
        <v>206000</v>
      </c>
      <c r="AG287" s="31">
        <v>33930</v>
      </c>
      <c r="AH287" s="31">
        <v>0</v>
      </c>
      <c r="AI287" s="31">
        <v>239930</v>
      </c>
      <c r="AJ287" s="45">
        <f t="shared" si="120"/>
        <v>17.058656238890865</v>
      </c>
      <c r="AK287" s="31">
        <v>0</v>
      </c>
      <c r="AL287" s="31">
        <v>0</v>
      </c>
      <c r="AM287" s="31">
        <v>0</v>
      </c>
      <c r="AN287" s="31">
        <v>0</v>
      </c>
      <c r="AO287" s="31">
        <v>8000</v>
      </c>
      <c r="AP287" s="31">
        <v>7995</v>
      </c>
      <c r="AQ287" s="31">
        <v>15995</v>
      </c>
      <c r="AR287" s="31">
        <v>255925</v>
      </c>
      <c r="AS287" s="46">
        <f t="shared" si="121"/>
        <v>18.195876288659793</v>
      </c>
      <c r="AT287" s="31">
        <v>0</v>
      </c>
      <c r="AU287" s="31">
        <v>0</v>
      </c>
      <c r="AV287" s="31">
        <v>0</v>
      </c>
      <c r="AW287" s="31">
        <v>0</v>
      </c>
      <c r="AX287" s="31">
        <v>0</v>
      </c>
      <c r="AY287" s="31">
        <v>0</v>
      </c>
      <c r="AZ287" s="31">
        <v>0</v>
      </c>
      <c r="BA287" s="31">
        <v>0</v>
      </c>
      <c r="BB287" s="31">
        <v>0</v>
      </c>
      <c r="BC287" s="33" t="s">
        <v>25</v>
      </c>
      <c r="BD287" s="47">
        <v>42227</v>
      </c>
      <c r="BE287" s="47">
        <v>48229</v>
      </c>
      <c r="BF287" s="45">
        <f t="shared" si="122"/>
        <v>3.4290081763242091</v>
      </c>
      <c r="BG287" s="30">
        <v>2869</v>
      </c>
      <c r="BH287" s="30">
        <v>2932</v>
      </c>
      <c r="BI287" s="30">
        <v>0</v>
      </c>
      <c r="BJ287" s="30">
        <v>3708</v>
      </c>
      <c r="BK287" s="30">
        <v>4167</v>
      </c>
      <c r="BL287" s="30">
        <v>0</v>
      </c>
      <c r="BM287" s="30">
        <v>0</v>
      </c>
      <c r="BN287" s="30">
        <v>4</v>
      </c>
      <c r="BO287" s="30">
        <v>51</v>
      </c>
      <c r="BP287" s="30">
        <v>0</v>
      </c>
      <c r="BQ287" s="30">
        <v>55</v>
      </c>
      <c r="BR287" s="47">
        <v>48804</v>
      </c>
      <c r="BS287" s="47">
        <v>55332</v>
      </c>
      <c r="BT287" s="1">
        <f t="shared" si="123"/>
        <v>3.9340206185567008</v>
      </c>
      <c r="BU287" s="30">
        <v>51</v>
      </c>
      <c r="BV287" s="30">
        <v>0</v>
      </c>
      <c r="BW287" s="47">
        <v>10899</v>
      </c>
      <c r="BX287" s="52">
        <f t="shared" si="124"/>
        <v>0.77490223960184856</v>
      </c>
      <c r="BY287" s="47">
        <v>27776</v>
      </c>
      <c r="BZ287" s="47">
        <v>0</v>
      </c>
      <c r="CA287" s="47">
        <v>52469</v>
      </c>
      <c r="CB287" s="47">
        <v>0</v>
      </c>
      <c r="CC287" s="47">
        <v>80245</v>
      </c>
      <c r="CD287" s="55">
        <f t="shared" si="125"/>
        <v>5.7052968361180234</v>
      </c>
      <c r="CE287" s="3">
        <f t="shared" si="126"/>
        <v>21398.666666666668</v>
      </c>
      <c r="CF287" s="55">
        <f t="shared" si="127"/>
        <v>33.80160067396799</v>
      </c>
      <c r="CG287" s="55">
        <f t="shared" si="128"/>
        <v>0.90002131024349752</v>
      </c>
      <c r="CH287" s="55">
        <f t="shared" si="129"/>
        <v>1.4502457890551579</v>
      </c>
      <c r="CI287" s="30">
        <v>73</v>
      </c>
      <c r="CJ287" s="30">
        <v>117</v>
      </c>
      <c r="CK287" s="30">
        <v>138</v>
      </c>
      <c r="CL287" s="30">
        <v>328</v>
      </c>
      <c r="CM287" s="30">
        <v>2569</v>
      </c>
      <c r="CN287" s="30">
        <v>453</v>
      </c>
      <c r="CO287" s="30">
        <v>558</v>
      </c>
      <c r="CP287" s="30">
        <v>3580</v>
      </c>
      <c r="CQ287" s="1">
        <f t="shared" si="137"/>
        <v>0.25453252755065764</v>
      </c>
      <c r="CR287" s="47">
        <v>89159</v>
      </c>
      <c r="CS287" s="55">
        <f t="shared" si="130"/>
        <v>6.3390686100248841</v>
      </c>
      <c r="CT287" s="59">
        <v>13905</v>
      </c>
      <c r="CU287" s="29" t="s">
        <v>25</v>
      </c>
      <c r="CV287" s="29" t="s">
        <v>25</v>
      </c>
      <c r="CW287" s="29" t="s">
        <v>25</v>
      </c>
      <c r="CX287" s="35">
        <v>2</v>
      </c>
      <c r="CY287" s="49">
        <f>C287/CX287</f>
        <v>7032.5</v>
      </c>
      <c r="CZ287" s="35">
        <v>0.75</v>
      </c>
      <c r="DA287" s="35">
        <v>1</v>
      </c>
      <c r="DB287" s="35">
        <v>3.75</v>
      </c>
      <c r="DC287" s="49">
        <f t="shared" si="131"/>
        <v>3750.6666666666665</v>
      </c>
      <c r="DD287" s="30">
        <v>1479</v>
      </c>
      <c r="DE287" s="31">
        <v>50000</v>
      </c>
      <c r="DF287" s="35">
        <v>40</v>
      </c>
      <c r="DG287" s="29" t="s">
        <v>25</v>
      </c>
      <c r="DH287" s="29" t="s">
        <v>25</v>
      </c>
      <c r="DI287" s="29" t="s">
        <v>25</v>
      </c>
      <c r="DJ287" s="47">
        <v>3771</v>
      </c>
      <c r="DK287" s="47">
        <v>3770</v>
      </c>
      <c r="DL287" s="47">
        <v>16</v>
      </c>
      <c r="DM287" s="47">
        <v>17221</v>
      </c>
      <c r="DN287" s="47">
        <v>549</v>
      </c>
      <c r="DO287" s="47">
        <v>850</v>
      </c>
      <c r="DP287" s="29" t="s">
        <v>25</v>
      </c>
      <c r="DQ287" s="47">
        <v>44479</v>
      </c>
      <c r="DR287" s="47">
        <v>2374</v>
      </c>
      <c r="DS287" s="30">
        <v>52</v>
      </c>
      <c r="DT287" s="30">
        <v>51</v>
      </c>
      <c r="DU287" s="30">
        <v>51</v>
      </c>
      <c r="DV287" s="30">
        <v>51</v>
      </c>
      <c r="DX287" s="2">
        <f t="shared" si="132"/>
        <v>2374</v>
      </c>
      <c r="DY287" s="33" t="s">
        <v>2181</v>
      </c>
      <c r="DZ287" s="33" t="s">
        <v>794</v>
      </c>
      <c r="EA287" s="33" t="s">
        <v>2030</v>
      </c>
      <c r="EB287" s="33" t="s">
        <v>2027</v>
      </c>
      <c r="EC287" s="36">
        <v>224</v>
      </c>
      <c r="ED287" s="29" t="s">
        <v>791</v>
      </c>
      <c r="EE287" s="29" t="s">
        <v>424</v>
      </c>
      <c r="EF287" s="37">
        <v>41548</v>
      </c>
      <c r="EG287" s="37">
        <v>41912</v>
      </c>
      <c r="EH287" s="29" t="s">
        <v>791</v>
      </c>
      <c r="EI287" s="55">
        <f t="shared" si="133"/>
        <v>1.9748311411304658</v>
      </c>
      <c r="EJ287" s="54">
        <f t="shared" si="134"/>
        <v>0</v>
      </c>
      <c r="EK287" s="55">
        <f t="shared" si="135"/>
        <v>3.7304656949875579</v>
      </c>
      <c r="EL287" s="54">
        <f t="shared" si="136"/>
        <v>0</v>
      </c>
    </row>
    <row r="288" spans="1:142" ht="28.8" x14ac:dyDescent="0.3">
      <c r="A288" s="29" t="s">
        <v>1706</v>
      </c>
      <c r="B288" s="29"/>
      <c r="C288" s="30">
        <v>6620</v>
      </c>
      <c r="D288" s="30">
        <v>0</v>
      </c>
      <c r="E288" s="30">
        <v>0</v>
      </c>
      <c r="F288" s="30">
        <v>6000</v>
      </c>
      <c r="H288" s="2">
        <f t="shared" si="112"/>
        <v>6000</v>
      </c>
      <c r="I288" s="1">
        <f t="shared" si="111"/>
        <v>0.90634441087613293</v>
      </c>
      <c r="J288" s="31">
        <v>50584</v>
      </c>
      <c r="K288" s="31">
        <v>5283</v>
      </c>
      <c r="L288" s="31">
        <v>55867</v>
      </c>
      <c r="M288" s="45">
        <f t="shared" si="113"/>
        <v>8.4391238670694868</v>
      </c>
      <c r="N288" s="31">
        <v>5949</v>
      </c>
      <c r="O288" s="31">
        <v>1500</v>
      </c>
      <c r="P288" s="31">
        <v>0</v>
      </c>
      <c r="Q288" s="31">
        <v>7449</v>
      </c>
      <c r="R288" s="45">
        <f t="shared" si="114"/>
        <v>1.1252265861027191</v>
      </c>
      <c r="S288" s="31">
        <v>33783</v>
      </c>
      <c r="T288" s="31">
        <v>97099</v>
      </c>
      <c r="U288" s="31">
        <v>0</v>
      </c>
      <c r="V288" s="31">
        <v>97099</v>
      </c>
      <c r="W288" s="45">
        <f t="shared" si="115"/>
        <v>14.667522658610272</v>
      </c>
      <c r="X288" s="4">
        <f t="shared" si="116"/>
        <v>0.57536122926085742</v>
      </c>
      <c r="Y288" s="4">
        <f t="shared" si="117"/>
        <v>7.6715517152596835E-2</v>
      </c>
      <c r="Z288" s="4">
        <f t="shared" si="118"/>
        <v>0.34792325358654569</v>
      </c>
      <c r="AA288" s="4">
        <f t="shared" si="119"/>
        <v>0</v>
      </c>
      <c r="AB288" s="31">
        <v>0</v>
      </c>
      <c r="AC288" s="31">
        <v>4396</v>
      </c>
      <c r="AD288" s="31">
        <v>94046</v>
      </c>
      <c r="AE288" s="31">
        <v>81929</v>
      </c>
      <c r="AF288" s="31">
        <v>0</v>
      </c>
      <c r="AG288" s="31">
        <v>81929</v>
      </c>
      <c r="AH288" s="31">
        <v>0</v>
      </c>
      <c r="AI288" s="31">
        <v>81929</v>
      </c>
      <c r="AJ288" s="45">
        <f t="shared" si="120"/>
        <v>12.375981873111783</v>
      </c>
      <c r="AK288" s="31">
        <v>0</v>
      </c>
      <c r="AL288" s="31">
        <v>0</v>
      </c>
      <c r="AM288" s="31">
        <v>0</v>
      </c>
      <c r="AN288" s="31">
        <v>0</v>
      </c>
      <c r="AO288" s="31">
        <v>0</v>
      </c>
      <c r="AP288" s="31">
        <v>12117</v>
      </c>
      <c r="AQ288" s="31">
        <v>12117</v>
      </c>
      <c r="AR288" s="31">
        <v>94046</v>
      </c>
      <c r="AS288" s="46">
        <f t="shared" si="121"/>
        <v>14.206344410876133</v>
      </c>
      <c r="AT288" s="31">
        <v>0</v>
      </c>
      <c r="AU288" s="31">
        <v>0</v>
      </c>
      <c r="AV288" s="31">
        <v>0</v>
      </c>
      <c r="AW288" s="31">
        <v>0</v>
      </c>
      <c r="AX288" s="31">
        <v>0</v>
      </c>
      <c r="AY288" s="31">
        <v>0</v>
      </c>
      <c r="AZ288" s="31">
        <v>0</v>
      </c>
      <c r="BA288" s="31">
        <v>0</v>
      </c>
      <c r="BB288" s="31">
        <v>0</v>
      </c>
      <c r="BC288" s="33" t="s">
        <v>25</v>
      </c>
      <c r="BD288" s="47">
        <v>15797</v>
      </c>
      <c r="BE288" s="47">
        <v>15955</v>
      </c>
      <c r="BF288" s="45">
        <f t="shared" si="122"/>
        <v>2.4101208459214503</v>
      </c>
      <c r="BG288" s="30">
        <v>537</v>
      </c>
      <c r="BH288" s="30">
        <v>538</v>
      </c>
      <c r="BI288" s="30">
        <v>1130</v>
      </c>
      <c r="BJ288" s="30">
        <v>1658</v>
      </c>
      <c r="BK288" s="30">
        <v>1665</v>
      </c>
      <c r="BL288" s="30">
        <v>209</v>
      </c>
      <c r="BM288" s="30">
        <v>15723</v>
      </c>
      <c r="BN288" s="30">
        <v>1</v>
      </c>
      <c r="BO288" s="30">
        <v>51</v>
      </c>
      <c r="BP288" s="30">
        <v>0</v>
      </c>
      <c r="BQ288" s="30">
        <v>52</v>
      </c>
      <c r="BR288" s="47">
        <v>17992</v>
      </c>
      <c r="BS288" s="47">
        <v>35221</v>
      </c>
      <c r="BT288" s="1">
        <f t="shared" si="123"/>
        <v>5.3203927492447134</v>
      </c>
      <c r="BU288" s="30">
        <v>5</v>
      </c>
      <c r="BV288" s="30">
        <v>0</v>
      </c>
      <c r="BW288" s="47">
        <v>1480</v>
      </c>
      <c r="BX288" s="52">
        <f t="shared" si="124"/>
        <v>0.22356495468277945</v>
      </c>
      <c r="BY288" s="47">
        <v>7630</v>
      </c>
      <c r="BZ288" s="47">
        <v>260</v>
      </c>
      <c r="CA288" s="47">
        <v>14036</v>
      </c>
      <c r="CB288" s="47">
        <v>1167</v>
      </c>
      <c r="CC288" s="47">
        <v>23093</v>
      </c>
      <c r="CD288" s="55">
        <f t="shared" si="125"/>
        <v>3.4883685800604232</v>
      </c>
      <c r="CE288" s="3">
        <f t="shared" si="126"/>
        <v>10996.666666666666</v>
      </c>
      <c r="CF288" s="55">
        <f t="shared" si="127"/>
        <v>10.49204906860518</v>
      </c>
      <c r="CG288" s="55">
        <f t="shared" si="128"/>
        <v>0.69970306629499457</v>
      </c>
      <c r="CH288" s="55">
        <f t="shared" si="129"/>
        <v>0.61514437409500011</v>
      </c>
      <c r="CI288" s="30">
        <v>66</v>
      </c>
      <c r="CJ288" s="30">
        <v>11</v>
      </c>
      <c r="CK288" s="30">
        <v>49</v>
      </c>
      <c r="CL288" s="30">
        <v>126</v>
      </c>
      <c r="CM288" s="30">
        <v>1827</v>
      </c>
      <c r="CN288" s="30">
        <v>363</v>
      </c>
      <c r="CO288" s="30">
        <v>583</v>
      </c>
      <c r="CP288" s="30">
        <v>2773</v>
      </c>
      <c r="CQ288" s="1">
        <f t="shared" si="137"/>
        <v>0.41888217522658611</v>
      </c>
      <c r="CR288" s="47">
        <v>33004</v>
      </c>
      <c r="CS288" s="55">
        <f t="shared" si="130"/>
        <v>4.9854984894259822</v>
      </c>
      <c r="CT288" s="59">
        <v>5402</v>
      </c>
      <c r="CU288" s="29" t="s">
        <v>25</v>
      </c>
      <c r="CV288" s="29" t="s">
        <v>25</v>
      </c>
      <c r="CW288" s="29" t="s">
        <v>25</v>
      </c>
      <c r="CX288" s="35">
        <v>0</v>
      </c>
      <c r="CY288" s="49">
        <v>0</v>
      </c>
      <c r="CZ288" s="35">
        <v>2.1</v>
      </c>
      <c r="DA288" s="35">
        <v>0</v>
      </c>
      <c r="DB288" s="35">
        <v>2.1</v>
      </c>
      <c r="DC288" s="49">
        <f t="shared" si="131"/>
        <v>3152.3809523809523</v>
      </c>
      <c r="DD288" s="30">
        <v>2627</v>
      </c>
      <c r="DE288" s="31">
        <v>29120</v>
      </c>
      <c r="DF288" s="35">
        <v>40</v>
      </c>
      <c r="DG288" s="29" t="s">
        <v>25</v>
      </c>
      <c r="DH288" s="29" t="s">
        <v>25</v>
      </c>
      <c r="DI288" s="29" t="s">
        <v>25</v>
      </c>
      <c r="DJ288" s="47">
        <v>6</v>
      </c>
      <c r="DK288" s="47">
        <v>21</v>
      </c>
      <c r="DL288" s="47">
        <v>20</v>
      </c>
      <c r="DM288" s="47">
        <v>6946</v>
      </c>
      <c r="DN288" s="47">
        <v>3641</v>
      </c>
      <c r="DO288" s="47">
        <v>1560</v>
      </c>
      <c r="DP288" s="29" t="s">
        <v>2028</v>
      </c>
      <c r="DQ288" s="47">
        <v>0</v>
      </c>
      <c r="DR288" s="47">
        <v>2201</v>
      </c>
      <c r="DS288" s="30">
        <v>52</v>
      </c>
      <c r="DT288" s="30">
        <v>43</v>
      </c>
      <c r="DU288" s="30">
        <v>43</v>
      </c>
      <c r="DV288" s="30">
        <v>43</v>
      </c>
      <c r="DX288" s="2">
        <f t="shared" si="132"/>
        <v>2201</v>
      </c>
      <c r="DY288" s="33" t="s">
        <v>2187</v>
      </c>
      <c r="DZ288" s="33" t="s">
        <v>1708</v>
      </c>
      <c r="EA288" s="33" t="s">
        <v>2032</v>
      </c>
      <c r="EB288" s="33" t="s">
        <v>2027</v>
      </c>
      <c r="EC288" s="36">
        <v>584</v>
      </c>
      <c r="ED288" s="29" t="s">
        <v>1707</v>
      </c>
      <c r="EE288" s="29" t="s">
        <v>125</v>
      </c>
      <c r="EF288" s="37">
        <v>41640</v>
      </c>
      <c r="EG288" s="37">
        <v>42004</v>
      </c>
      <c r="EH288" s="29" t="s">
        <v>1707</v>
      </c>
      <c r="EI288" s="55">
        <f t="shared" si="133"/>
        <v>1.1525679758308156</v>
      </c>
      <c r="EJ288" s="54">
        <f t="shared" si="134"/>
        <v>3.9274924471299093E-2</v>
      </c>
      <c r="EK288" s="55">
        <f t="shared" si="135"/>
        <v>2.1202416918429003</v>
      </c>
      <c r="EL288" s="54">
        <f t="shared" si="136"/>
        <v>0.17628398791540786</v>
      </c>
    </row>
    <row r="289" spans="1:142" ht="28.8" x14ac:dyDescent="0.3">
      <c r="A289" s="29" t="s">
        <v>796</v>
      </c>
      <c r="B289" s="29"/>
      <c r="C289" s="30">
        <v>4700</v>
      </c>
      <c r="D289" s="30">
        <v>0</v>
      </c>
      <c r="E289" s="30">
        <v>0</v>
      </c>
      <c r="F289" s="30">
        <v>6000</v>
      </c>
      <c r="H289" s="2">
        <f t="shared" si="112"/>
        <v>6000</v>
      </c>
      <c r="I289" s="1">
        <f t="shared" si="111"/>
        <v>1.2765957446808511</v>
      </c>
      <c r="J289" s="31">
        <v>136175</v>
      </c>
      <c r="K289" s="31">
        <v>39842</v>
      </c>
      <c r="L289" s="31">
        <v>176017</v>
      </c>
      <c r="M289" s="45">
        <f t="shared" si="113"/>
        <v>37.450425531914895</v>
      </c>
      <c r="N289" s="31">
        <v>14257</v>
      </c>
      <c r="O289" s="31">
        <v>3000</v>
      </c>
      <c r="P289" s="31">
        <v>4016</v>
      </c>
      <c r="Q289" s="31">
        <v>21273</v>
      </c>
      <c r="R289" s="45">
        <f t="shared" si="114"/>
        <v>4.5261702127659573</v>
      </c>
      <c r="S289" s="31">
        <v>8459</v>
      </c>
      <c r="T289" s="31">
        <v>205749</v>
      </c>
      <c r="U289" s="31">
        <v>0</v>
      </c>
      <c r="V289" s="31">
        <v>205749</v>
      </c>
      <c r="W289" s="45">
        <f t="shared" si="115"/>
        <v>43.776382978723404</v>
      </c>
      <c r="X289" s="4">
        <f t="shared" si="116"/>
        <v>0.85549382986065547</v>
      </c>
      <c r="Y289" s="4">
        <f t="shared" si="117"/>
        <v>0.10339296910313052</v>
      </c>
      <c r="Z289" s="4">
        <f t="shared" si="118"/>
        <v>4.1113201036214027E-2</v>
      </c>
      <c r="AA289" s="4">
        <f t="shared" si="119"/>
        <v>0</v>
      </c>
      <c r="AB289" s="31">
        <v>0</v>
      </c>
      <c r="AC289" s="31">
        <v>21273</v>
      </c>
      <c r="AD289" s="31">
        <v>205749</v>
      </c>
      <c r="AE289" s="31">
        <v>205749</v>
      </c>
      <c r="AF289" s="31">
        <v>207303</v>
      </c>
      <c r="AG289" s="31">
        <v>0</v>
      </c>
      <c r="AH289" s="31">
        <v>0</v>
      </c>
      <c r="AI289" s="31">
        <v>207303</v>
      </c>
      <c r="AJ289" s="45">
        <f t="shared" si="120"/>
        <v>44.107021276595745</v>
      </c>
      <c r="AK289" s="31">
        <v>0</v>
      </c>
      <c r="AL289" s="31">
        <v>0</v>
      </c>
      <c r="AM289" s="31">
        <v>0</v>
      </c>
      <c r="AN289" s="31">
        <v>0</v>
      </c>
      <c r="AO289" s="31">
        <v>0</v>
      </c>
      <c r="AP289" s="31">
        <v>0</v>
      </c>
      <c r="AQ289" s="31">
        <v>0</v>
      </c>
      <c r="AR289" s="31">
        <v>207303</v>
      </c>
      <c r="AS289" s="46">
        <f t="shared" si="121"/>
        <v>44.107021276595745</v>
      </c>
      <c r="AT289" s="31">
        <v>0</v>
      </c>
      <c r="AU289" s="31">
        <v>0</v>
      </c>
      <c r="AV289" s="31">
        <v>0</v>
      </c>
      <c r="AW289" s="31">
        <v>0</v>
      </c>
      <c r="AX289" s="31">
        <v>0</v>
      </c>
      <c r="AY289" s="31">
        <v>0</v>
      </c>
      <c r="AZ289" s="31">
        <v>0</v>
      </c>
      <c r="BA289" s="31">
        <v>0</v>
      </c>
      <c r="BB289" s="31">
        <v>0</v>
      </c>
      <c r="BC289" s="33" t="s">
        <v>25</v>
      </c>
      <c r="BD289" s="47">
        <v>25962</v>
      </c>
      <c r="BE289" s="47">
        <v>26343</v>
      </c>
      <c r="BF289" s="45">
        <f t="shared" si="122"/>
        <v>5.6048936170212764</v>
      </c>
      <c r="BG289" s="30">
        <v>680</v>
      </c>
      <c r="BH289" s="30">
        <v>685</v>
      </c>
      <c r="BI289" s="30">
        <v>4984</v>
      </c>
      <c r="BJ289" s="30">
        <v>1302</v>
      </c>
      <c r="BK289" s="30">
        <v>1308</v>
      </c>
      <c r="BL289" s="30">
        <v>0</v>
      </c>
      <c r="BM289" s="30">
        <v>9629</v>
      </c>
      <c r="BN289" s="30">
        <v>0</v>
      </c>
      <c r="BO289" s="30">
        <v>51</v>
      </c>
      <c r="BP289" s="30">
        <v>0</v>
      </c>
      <c r="BQ289" s="30">
        <v>51</v>
      </c>
      <c r="BR289" s="47">
        <v>27944</v>
      </c>
      <c r="BS289" s="47">
        <v>42949</v>
      </c>
      <c r="BT289" s="1">
        <f t="shared" si="123"/>
        <v>9.1380851063829791</v>
      </c>
      <c r="BU289" s="30">
        <v>32</v>
      </c>
      <c r="BV289" s="30">
        <v>0</v>
      </c>
      <c r="BW289" s="47">
        <v>610</v>
      </c>
      <c r="BX289" s="52">
        <f t="shared" si="124"/>
        <v>0.12978723404255318</v>
      </c>
      <c r="BY289" s="47">
        <v>8928</v>
      </c>
      <c r="BZ289" s="47">
        <v>1827</v>
      </c>
      <c r="CA289" s="47">
        <v>30532</v>
      </c>
      <c r="CB289" s="47">
        <v>6829</v>
      </c>
      <c r="CC289" s="47">
        <v>48116</v>
      </c>
      <c r="CD289" s="55">
        <f t="shared" si="125"/>
        <v>10.237446808510638</v>
      </c>
      <c r="CE289" s="3">
        <f t="shared" si="126"/>
        <v>12029</v>
      </c>
      <c r="CF289" s="55">
        <f t="shared" si="127"/>
        <v>24.058</v>
      </c>
      <c r="CG289" s="55">
        <f t="shared" si="128"/>
        <v>1.2151425613051494</v>
      </c>
      <c r="CH289" s="55">
        <f t="shared" si="129"/>
        <v>0.91876411557894244</v>
      </c>
      <c r="CI289" s="30">
        <v>60</v>
      </c>
      <c r="CJ289" s="30">
        <v>7</v>
      </c>
      <c r="CK289" s="30">
        <v>14</v>
      </c>
      <c r="CL289" s="30">
        <v>81</v>
      </c>
      <c r="CM289" s="30">
        <v>1833</v>
      </c>
      <c r="CN289" s="30">
        <v>49</v>
      </c>
      <c r="CO289" s="30">
        <v>126</v>
      </c>
      <c r="CP289" s="30">
        <v>2008</v>
      </c>
      <c r="CQ289" s="1">
        <f t="shared" si="137"/>
        <v>0.42723404255319147</v>
      </c>
      <c r="CR289" s="47">
        <v>39597</v>
      </c>
      <c r="CS289" s="55">
        <f t="shared" si="130"/>
        <v>8.4248936170212758</v>
      </c>
      <c r="CT289" s="59">
        <v>14569</v>
      </c>
      <c r="CU289" s="29" t="s">
        <v>25</v>
      </c>
      <c r="CV289" s="29" t="s">
        <v>25</v>
      </c>
      <c r="CW289" s="29" t="s">
        <v>25</v>
      </c>
      <c r="CX289" s="35">
        <v>1</v>
      </c>
      <c r="CY289" s="49">
        <f>C289/CX289</f>
        <v>4700</v>
      </c>
      <c r="CZ289" s="35">
        <v>0</v>
      </c>
      <c r="DA289" s="35">
        <v>3</v>
      </c>
      <c r="DB289" s="35">
        <v>4</v>
      </c>
      <c r="DC289" s="49">
        <f t="shared" si="131"/>
        <v>1175</v>
      </c>
      <c r="DD289" s="30">
        <v>176</v>
      </c>
      <c r="DE289" s="31">
        <v>72519</v>
      </c>
      <c r="DF289" s="35">
        <v>40</v>
      </c>
      <c r="DG289" s="29" t="s">
        <v>25</v>
      </c>
      <c r="DH289" s="29" t="s">
        <v>25</v>
      </c>
      <c r="DI289" s="29" t="s">
        <v>25</v>
      </c>
      <c r="DJ289" s="47">
        <v>17</v>
      </c>
      <c r="DK289" s="47">
        <v>0</v>
      </c>
      <c r="DL289" s="47">
        <v>10</v>
      </c>
      <c r="DM289" s="47">
        <v>5880</v>
      </c>
      <c r="DN289" s="47">
        <v>285</v>
      </c>
      <c r="DO289" s="47">
        <v>750</v>
      </c>
      <c r="DP289" s="29" t="s">
        <v>2028</v>
      </c>
      <c r="DQ289" s="47">
        <v>0</v>
      </c>
      <c r="DR289" s="47">
        <v>2000</v>
      </c>
      <c r="DS289" s="30">
        <v>52</v>
      </c>
      <c r="DT289" s="30">
        <v>40</v>
      </c>
      <c r="DU289" s="30">
        <v>40</v>
      </c>
      <c r="DV289" s="30">
        <v>40</v>
      </c>
      <c r="DX289" s="2">
        <f t="shared" si="132"/>
        <v>2000</v>
      </c>
      <c r="DY289" s="33" t="s">
        <v>2181</v>
      </c>
      <c r="DZ289" s="33" t="s">
        <v>797</v>
      </c>
      <c r="EA289" s="33" t="s">
        <v>2030</v>
      </c>
      <c r="EB289" s="33" t="s">
        <v>2027</v>
      </c>
      <c r="EC289" s="36">
        <v>225</v>
      </c>
      <c r="ED289" s="29" t="s">
        <v>795</v>
      </c>
      <c r="EE289" s="29" t="s">
        <v>91</v>
      </c>
      <c r="EF289" s="37">
        <v>41548</v>
      </c>
      <c r="EG289" s="37">
        <v>41912</v>
      </c>
      <c r="EH289" s="29" t="s">
        <v>795</v>
      </c>
      <c r="EI289" s="55">
        <f t="shared" si="133"/>
        <v>1.8995744680851063</v>
      </c>
      <c r="EJ289" s="54">
        <f t="shared" si="134"/>
        <v>0.38872340425531915</v>
      </c>
      <c r="EK289" s="55">
        <f t="shared" si="135"/>
        <v>6.4961702127659571</v>
      </c>
      <c r="EL289" s="54">
        <f t="shared" si="136"/>
        <v>1.4529787234042553</v>
      </c>
    </row>
    <row r="290" spans="1:142" ht="28.8" x14ac:dyDescent="0.3">
      <c r="A290" s="29" t="s">
        <v>786</v>
      </c>
      <c r="B290" s="29"/>
      <c r="C290" s="30">
        <v>17534</v>
      </c>
      <c r="D290" s="30">
        <v>0</v>
      </c>
      <c r="E290" s="30">
        <v>0</v>
      </c>
      <c r="F290" s="30">
        <v>6000</v>
      </c>
      <c r="H290" s="2">
        <f t="shared" si="112"/>
        <v>6000</v>
      </c>
      <c r="I290" s="1">
        <f t="shared" si="111"/>
        <v>0.34219231207938861</v>
      </c>
      <c r="J290" s="31">
        <v>144146</v>
      </c>
      <c r="K290" s="31">
        <v>39199</v>
      </c>
      <c r="L290" s="31">
        <v>183345</v>
      </c>
      <c r="M290" s="45">
        <f t="shared" si="113"/>
        <v>10.456541576365918</v>
      </c>
      <c r="N290" s="31">
        <v>11775</v>
      </c>
      <c r="O290" s="31">
        <v>7932</v>
      </c>
      <c r="P290" s="31">
        <v>781</v>
      </c>
      <c r="Q290" s="31">
        <v>20488</v>
      </c>
      <c r="R290" s="45">
        <f t="shared" si="114"/>
        <v>1.1684726816470856</v>
      </c>
      <c r="S290" s="31">
        <v>45017</v>
      </c>
      <c r="T290" s="31">
        <v>248850</v>
      </c>
      <c r="U290" s="31">
        <v>24940</v>
      </c>
      <c r="V290" s="31">
        <v>273790</v>
      </c>
      <c r="W290" s="45">
        <f t="shared" si="115"/>
        <v>15.614805520702635</v>
      </c>
      <c r="X290" s="4">
        <f t="shared" si="116"/>
        <v>0.66965557544103149</v>
      </c>
      <c r="Y290" s="4">
        <f t="shared" si="117"/>
        <v>7.4831074911428472E-2</v>
      </c>
      <c r="Z290" s="4">
        <f t="shared" si="118"/>
        <v>0.16442163702107454</v>
      </c>
      <c r="AA290" s="4">
        <f t="shared" si="119"/>
        <v>9.1091712626465537E-2</v>
      </c>
      <c r="AB290" s="31">
        <v>0</v>
      </c>
      <c r="AC290" s="31">
        <v>20488</v>
      </c>
      <c r="AD290" s="31">
        <v>273790</v>
      </c>
      <c r="AE290" s="31">
        <v>265705</v>
      </c>
      <c r="AF290" s="31">
        <v>241982</v>
      </c>
      <c r="AG290" s="31">
        <v>23723</v>
      </c>
      <c r="AH290" s="31">
        <v>0</v>
      </c>
      <c r="AI290" s="31">
        <v>265705</v>
      </c>
      <c r="AJ290" s="45">
        <f t="shared" si="120"/>
        <v>15.153701380175658</v>
      </c>
      <c r="AK290" s="31">
        <v>0</v>
      </c>
      <c r="AL290" s="31">
        <v>0</v>
      </c>
      <c r="AM290" s="31">
        <v>0</v>
      </c>
      <c r="AN290" s="31">
        <v>0</v>
      </c>
      <c r="AO290" s="31">
        <v>5000</v>
      </c>
      <c r="AP290" s="31">
        <v>8085</v>
      </c>
      <c r="AQ290" s="31">
        <v>13085</v>
      </c>
      <c r="AR290" s="31">
        <v>278790</v>
      </c>
      <c r="AS290" s="46">
        <f t="shared" si="121"/>
        <v>15.899965780768792</v>
      </c>
      <c r="AT290" s="31">
        <v>0</v>
      </c>
      <c r="AU290" s="31">
        <v>0</v>
      </c>
      <c r="AV290" s="31">
        <v>0</v>
      </c>
      <c r="AW290" s="31">
        <v>0</v>
      </c>
      <c r="AX290" s="31">
        <v>0</v>
      </c>
      <c r="AY290" s="31">
        <v>0</v>
      </c>
      <c r="AZ290" s="31">
        <v>0</v>
      </c>
      <c r="BA290" s="31">
        <v>0</v>
      </c>
      <c r="BB290" s="31">
        <v>0</v>
      </c>
      <c r="BC290" s="33" t="s">
        <v>25</v>
      </c>
      <c r="BD290" s="47">
        <v>28578</v>
      </c>
      <c r="BE290" s="47">
        <v>29159</v>
      </c>
      <c r="BF290" s="45">
        <f t="shared" si="122"/>
        <v>1.6629976046538155</v>
      </c>
      <c r="BG290" s="30">
        <v>366</v>
      </c>
      <c r="BH290" s="30">
        <v>371</v>
      </c>
      <c r="BI290" s="30">
        <v>466</v>
      </c>
      <c r="BJ290" s="30">
        <v>2012</v>
      </c>
      <c r="BK290" s="30">
        <v>2073</v>
      </c>
      <c r="BL290" s="30">
        <v>57</v>
      </c>
      <c r="BM290" s="30">
        <v>3612</v>
      </c>
      <c r="BN290" s="30">
        <v>2</v>
      </c>
      <c r="BO290" s="30">
        <v>51</v>
      </c>
      <c r="BP290" s="30">
        <v>0</v>
      </c>
      <c r="BQ290" s="30">
        <v>53</v>
      </c>
      <c r="BR290" s="47">
        <v>30956</v>
      </c>
      <c r="BS290" s="47">
        <v>35740</v>
      </c>
      <c r="BT290" s="1">
        <f t="shared" si="123"/>
        <v>2.0383255389528916</v>
      </c>
      <c r="BU290" s="30">
        <v>30</v>
      </c>
      <c r="BV290" s="30">
        <v>0</v>
      </c>
      <c r="BW290" s="47">
        <v>3215</v>
      </c>
      <c r="BX290" s="52">
        <f t="shared" si="124"/>
        <v>0.18335804722253907</v>
      </c>
      <c r="BY290" s="47">
        <v>11368</v>
      </c>
      <c r="BZ290" s="47">
        <v>11</v>
      </c>
      <c r="CA290" s="47">
        <v>14123</v>
      </c>
      <c r="CB290" s="47">
        <v>402</v>
      </c>
      <c r="CC290" s="47">
        <v>25904</v>
      </c>
      <c r="CD290" s="55">
        <f t="shared" si="125"/>
        <v>1.477358275350747</v>
      </c>
      <c r="CE290" s="3">
        <f t="shared" si="126"/>
        <v>7401.1428571428569</v>
      </c>
      <c r="CF290" s="55">
        <f t="shared" si="127"/>
        <v>13.297741273100616</v>
      </c>
      <c r="CG290" s="55">
        <f t="shared" si="128"/>
        <v>0.88757923590885734</v>
      </c>
      <c r="CH290" s="55">
        <f t="shared" si="129"/>
        <v>0.7132344711807499</v>
      </c>
      <c r="CI290" s="30">
        <v>45</v>
      </c>
      <c r="CJ290" s="30">
        <v>1</v>
      </c>
      <c r="CK290" s="30">
        <v>69</v>
      </c>
      <c r="CL290" s="30">
        <v>115</v>
      </c>
      <c r="CM290" s="30">
        <v>1827</v>
      </c>
      <c r="CN290" s="30">
        <v>24</v>
      </c>
      <c r="CO290" s="30">
        <v>260</v>
      </c>
      <c r="CP290" s="30">
        <v>2111</v>
      </c>
      <c r="CQ290" s="1">
        <f t="shared" si="137"/>
        <v>0.12039466179993157</v>
      </c>
      <c r="CR290" s="47">
        <v>29185</v>
      </c>
      <c r="CS290" s="55">
        <f t="shared" si="130"/>
        <v>1.6644804380061595</v>
      </c>
      <c r="CT290" s="59">
        <v>8018</v>
      </c>
      <c r="CU290" s="29" t="s">
        <v>25</v>
      </c>
      <c r="CV290" s="29" t="s">
        <v>25</v>
      </c>
      <c r="CW290" s="29" t="s">
        <v>25</v>
      </c>
      <c r="CX290" s="35">
        <v>1</v>
      </c>
      <c r="CY290" s="49">
        <f>C290/CX290</f>
        <v>17534</v>
      </c>
      <c r="CZ290" s="35">
        <v>2</v>
      </c>
      <c r="DA290" s="35">
        <v>0.5</v>
      </c>
      <c r="DB290" s="35">
        <v>3.5</v>
      </c>
      <c r="DC290" s="49">
        <f t="shared" si="131"/>
        <v>5009.7142857142853</v>
      </c>
      <c r="DD290" s="30">
        <v>533</v>
      </c>
      <c r="DE290" s="31">
        <v>52000</v>
      </c>
      <c r="DF290" s="35">
        <v>40</v>
      </c>
      <c r="DG290" s="29" t="s">
        <v>25</v>
      </c>
      <c r="DH290" s="29" t="s">
        <v>25</v>
      </c>
      <c r="DI290" s="29" t="s">
        <v>25</v>
      </c>
      <c r="DJ290" s="47">
        <v>88</v>
      </c>
      <c r="DK290" s="47">
        <v>166</v>
      </c>
      <c r="DL290" s="47">
        <v>20</v>
      </c>
      <c r="DM290" s="47">
        <v>11189</v>
      </c>
      <c r="DN290" s="47">
        <v>780</v>
      </c>
      <c r="DO290" s="47">
        <v>1825</v>
      </c>
      <c r="DP290" s="29" t="s">
        <v>25</v>
      </c>
      <c r="DQ290" s="47">
        <v>16510</v>
      </c>
      <c r="DR290" s="47">
        <v>1948</v>
      </c>
      <c r="DS290" s="30">
        <v>52</v>
      </c>
      <c r="DT290" s="30">
        <v>39</v>
      </c>
      <c r="DU290" s="30">
        <v>39</v>
      </c>
      <c r="DV290" s="30">
        <v>39</v>
      </c>
      <c r="DX290" s="2">
        <f t="shared" si="132"/>
        <v>1948</v>
      </c>
      <c r="DY290" s="33" t="s">
        <v>2185</v>
      </c>
      <c r="DZ290" s="33" t="s">
        <v>787</v>
      </c>
      <c r="EA290" s="33" t="s">
        <v>2030</v>
      </c>
      <c r="EB290" s="33" t="s">
        <v>2027</v>
      </c>
      <c r="EC290" s="36">
        <v>222</v>
      </c>
      <c r="ED290" s="29" t="s">
        <v>785</v>
      </c>
      <c r="EE290" s="29" t="s">
        <v>440</v>
      </c>
      <c r="EF290" s="37">
        <v>41548</v>
      </c>
      <c r="EG290" s="37">
        <v>41912</v>
      </c>
      <c r="EH290" s="29" t="s">
        <v>785</v>
      </c>
      <c r="EI290" s="55">
        <f t="shared" si="133"/>
        <v>0.64834036728641498</v>
      </c>
      <c r="EJ290" s="54">
        <f t="shared" si="134"/>
        <v>6.2735257214554575E-4</v>
      </c>
      <c r="EK290" s="55">
        <f t="shared" si="135"/>
        <v>0.80546367058286761</v>
      </c>
      <c r="EL290" s="54">
        <f t="shared" si="136"/>
        <v>2.2926884909319038E-2</v>
      </c>
    </row>
    <row r="291" spans="1:142" ht="28.8" x14ac:dyDescent="0.3">
      <c r="A291" s="29" t="s">
        <v>798</v>
      </c>
      <c r="B291" s="29"/>
      <c r="C291" s="30">
        <v>13810</v>
      </c>
      <c r="D291" s="30">
        <v>0</v>
      </c>
      <c r="E291" s="30">
        <v>0</v>
      </c>
      <c r="F291" s="30">
        <v>8040</v>
      </c>
      <c r="H291" s="2">
        <f t="shared" si="112"/>
        <v>8040</v>
      </c>
      <c r="I291" s="1">
        <f t="shared" si="111"/>
        <v>0.58218682114409848</v>
      </c>
      <c r="J291" s="31">
        <v>133744</v>
      </c>
      <c r="K291" s="31">
        <v>80828</v>
      </c>
      <c r="L291" s="31">
        <v>214572</v>
      </c>
      <c r="M291" s="45">
        <f t="shared" si="113"/>
        <v>15.537436640115859</v>
      </c>
      <c r="N291" s="31">
        <v>16743</v>
      </c>
      <c r="O291" s="31">
        <v>5100</v>
      </c>
      <c r="P291" s="31">
        <v>5510</v>
      </c>
      <c r="Q291" s="31">
        <v>27353</v>
      </c>
      <c r="R291" s="45">
        <f t="shared" si="114"/>
        <v>1.9806661839246922</v>
      </c>
      <c r="S291" s="31">
        <v>23109</v>
      </c>
      <c r="T291" s="31">
        <v>265034</v>
      </c>
      <c r="U291" s="31">
        <v>0</v>
      </c>
      <c r="V291" s="31">
        <v>265034</v>
      </c>
      <c r="W291" s="45">
        <f t="shared" si="115"/>
        <v>19.191455467052862</v>
      </c>
      <c r="X291" s="4">
        <f t="shared" si="116"/>
        <v>0.80960178694054352</v>
      </c>
      <c r="Y291" s="4">
        <f t="shared" si="117"/>
        <v>0.10320562644792744</v>
      </c>
      <c r="Z291" s="4">
        <f t="shared" si="118"/>
        <v>8.7192586611529094E-2</v>
      </c>
      <c r="AA291" s="4">
        <f t="shared" si="119"/>
        <v>0</v>
      </c>
      <c r="AB291" s="31">
        <v>0</v>
      </c>
      <c r="AC291" s="31">
        <v>27353</v>
      </c>
      <c r="AD291" s="31">
        <v>265034</v>
      </c>
      <c r="AE291" s="31">
        <v>265034</v>
      </c>
      <c r="AF291" s="31">
        <v>7560</v>
      </c>
      <c r="AG291" s="31">
        <v>265034</v>
      </c>
      <c r="AH291" s="31">
        <v>0</v>
      </c>
      <c r="AI291" s="31">
        <v>272594</v>
      </c>
      <c r="AJ291" s="45">
        <f t="shared" si="120"/>
        <v>19.738884866039101</v>
      </c>
      <c r="AK291" s="31">
        <v>0</v>
      </c>
      <c r="AL291" s="31">
        <v>0</v>
      </c>
      <c r="AM291" s="31">
        <v>0</v>
      </c>
      <c r="AN291" s="31">
        <v>0</v>
      </c>
      <c r="AO291" s="31">
        <v>0</v>
      </c>
      <c r="AP291" s="31">
        <v>0</v>
      </c>
      <c r="AQ291" s="31">
        <v>0</v>
      </c>
      <c r="AR291" s="31">
        <v>272594</v>
      </c>
      <c r="AS291" s="46">
        <f t="shared" si="121"/>
        <v>19.738884866039101</v>
      </c>
      <c r="AT291" s="31">
        <v>0</v>
      </c>
      <c r="AU291" s="31">
        <v>0</v>
      </c>
      <c r="AV291" s="31">
        <v>0</v>
      </c>
      <c r="AW291" s="31">
        <v>0</v>
      </c>
      <c r="AX291" s="31">
        <v>0</v>
      </c>
      <c r="AY291" s="31">
        <v>0</v>
      </c>
      <c r="AZ291" s="31">
        <v>0</v>
      </c>
      <c r="BA291" s="31">
        <v>0</v>
      </c>
      <c r="BB291" s="31">
        <v>0</v>
      </c>
      <c r="BC291" s="33" t="s">
        <v>25</v>
      </c>
      <c r="BD291" s="47">
        <v>30827</v>
      </c>
      <c r="BE291" s="47">
        <v>31277</v>
      </c>
      <c r="BF291" s="45">
        <f t="shared" si="122"/>
        <v>2.2648081100651702</v>
      </c>
      <c r="BG291" s="30">
        <v>2603</v>
      </c>
      <c r="BH291" s="30">
        <v>2638</v>
      </c>
      <c r="BI291" s="30">
        <v>297</v>
      </c>
      <c r="BJ291" s="30">
        <v>1282</v>
      </c>
      <c r="BK291" s="30">
        <v>1294</v>
      </c>
      <c r="BL291" s="30">
        <v>0</v>
      </c>
      <c r="BM291" s="30">
        <v>6640</v>
      </c>
      <c r="BN291" s="30">
        <v>1</v>
      </c>
      <c r="BO291" s="30">
        <v>51</v>
      </c>
      <c r="BP291" s="30">
        <v>0</v>
      </c>
      <c r="BQ291" s="30">
        <v>52</v>
      </c>
      <c r="BR291" s="47">
        <v>34712</v>
      </c>
      <c r="BS291" s="47">
        <v>42147</v>
      </c>
      <c r="BT291" s="1">
        <f t="shared" si="123"/>
        <v>3.0519188993482982</v>
      </c>
      <c r="BU291" s="30">
        <v>44</v>
      </c>
      <c r="BV291" s="30">
        <v>0</v>
      </c>
      <c r="BW291" s="47">
        <v>75095</v>
      </c>
      <c r="BX291" s="52">
        <f t="shared" si="124"/>
        <v>5.4377262853005073</v>
      </c>
      <c r="BY291" s="47">
        <v>18898</v>
      </c>
      <c r="BZ291" s="47">
        <v>238</v>
      </c>
      <c r="CA291" s="47">
        <v>44248</v>
      </c>
      <c r="CB291" s="47">
        <v>1783</v>
      </c>
      <c r="CC291" s="47">
        <v>65167</v>
      </c>
      <c r="CD291" s="55">
        <f t="shared" si="125"/>
        <v>4.7188269370021727</v>
      </c>
      <c r="CE291" s="3">
        <f t="shared" si="126"/>
        <v>10906.610878661089</v>
      </c>
      <c r="CF291" s="55">
        <f t="shared" si="127"/>
        <v>28.860496014171833</v>
      </c>
      <c r="CG291" s="55">
        <f t="shared" si="128"/>
        <v>0.70101440388980329</v>
      </c>
      <c r="CH291" s="55">
        <f t="shared" si="129"/>
        <v>1.4982323771561439</v>
      </c>
      <c r="CI291" s="30">
        <v>143</v>
      </c>
      <c r="CJ291" s="30">
        <v>23</v>
      </c>
      <c r="CK291" s="30">
        <v>25</v>
      </c>
      <c r="CL291" s="30">
        <v>191</v>
      </c>
      <c r="CM291" s="30">
        <v>4606</v>
      </c>
      <c r="CN291" s="30">
        <v>804</v>
      </c>
      <c r="CO291" s="30">
        <v>597</v>
      </c>
      <c r="CP291" s="30">
        <v>6007</v>
      </c>
      <c r="CQ291" s="1">
        <f t="shared" si="137"/>
        <v>0.43497465604634322</v>
      </c>
      <c r="CR291" s="47">
        <v>92961</v>
      </c>
      <c r="CS291" s="55">
        <f t="shared" si="130"/>
        <v>6.7314265025343953</v>
      </c>
      <c r="CT291" s="59">
        <v>6500</v>
      </c>
      <c r="CU291" s="29" t="s">
        <v>25</v>
      </c>
      <c r="CV291" s="29" t="s">
        <v>25</v>
      </c>
      <c r="CW291" s="29" t="s">
        <v>25</v>
      </c>
      <c r="CX291" s="35">
        <v>0</v>
      </c>
      <c r="CY291" s="49">
        <v>0</v>
      </c>
      <c r="CZ291" s="35">
        <v>1.125</v>
      </c>
      <c r="DA291" s="35">
        <v>4.8499999999999996</v>
      </c>
      <c r="DB291" s="35">
        <v>5.9749999999999996</v>
      </c>
      <c r="DC291" s="49">
        <f t="shared" si="131"/>
        <v>2311.2970711297071</v>
      </c>
      <c r="DD291" s="30">
        <v>352</v>
      </c>
      <c r="DE291" s="31">
        <v>43903</v>
      </c>
      <c r="DF291" s="35">
        <v>45</v>
      </c>
      <c r="DG291" s="29" t="s">
        <v>25</v>
      </c>
      <c r="DH291" s="29" t="s">
        <v>25</v>
      </c>
      <c r="DI291" s="29" t="s">
        <v>25</v>
      </c>
      <c r="DJ291" s="47">
        <v>2</v>
      </c>
      <c r="DK291" s="47">
        <v>0</v>
      </c>
      <c r="DL291" s="47">
        <v>8</v>
      </c>
      <c r="DM291" s="47">
        <v>5350</v>
      </c>
      <c r="DN291" s="47">
        <v>2500</v>
      </c>
      <c r="DO291" s="47">
        <v>0</v>
      </c>
      <c r="DP291" s="29" t="s">
        <v>2028</v>
      </c>
      <c r="DQ291" s="47">
        <v>0</v>
      </c>
      <c r="DR291" s="47">
        <v>2258</v>
      </c>
      <c r="DS291" s="30">
        <v>52</v>
      </c>
      <c r="DT291" s="30">
        <v>46</v>
      </c>
      <c r="DU291" s="30">
        <v>46</v>
      </c>
      <c r="DV291" s="30">
        <v>46</v>
      </c>
      <c r="DX291" s="2">
        <f t="shared" si="132"/>
        <v>2258</v>
      </c>
      <c r="DY291" s="33" t="s">
        <v>2178</v>
      </c>
      <c r="DZ291" s="33" t="s">
        <v>802</v>
      </c>
      <c r="EA291" s="33" t="s">
        <v>2031</v>
      </c>
      <c r="EB291" s="33" t="s">
        <v>2027</v>
      </c>
      <c r="EC291" s="36">
        <v>226</v>
      </c>
      <c r="ED291" s="29" t="s">
        <v>799</v>
      </c>
      <c r="EE291" s="29" t="s">
        <v>800</v>
      </c>
      <c r="EF291" s="37">
        <v>41548</v>
      </c>
      <c r="EG291" s="37">
        <v>41912</v>
      </c>
      <c r="EH291" s="29" t="s">
        <v>799</v>
      </c>
      <c r="EI291" s="55">
        <f t="shared" si="133"/>
        <v>1.3684286748732801</v>
      </c>
      <c r="EJ291" s="54">
        <f t="shared" si="134"/>
        <v>1.7233888486603909E-2</v>
      </c>
      <c r="EK291" s="55">
        <f t="shared" si="135"/>
        <v>3.2040550325850834</v>
      </c>
      <c r="EL291" s="54">
        <f t="shared" si="136"/>
        <v>0.12910934105720492</v>
      </c>
    </row>
    <row r="292" spans="1:142" ht="28.8" x14ac:dyDescent="0.3">
      <c r="A292" s="29" t="s">
        <v>803</v>
      </c>
      <c r="B292" s="29"/>
      <c r="C292" s="30">
        <v>6911</v>
      </c>
      <c r="D292" s="30">
        <v>0</v>
      </c>
      <c r="E292" s="30">
        <v>0</v>
      </c>
      <c r="F292" s="30">
        <v>8600</v>
      </c>
      <c r="H292" s="2">
        <f t="shared" si="112"/>
        <v>8600</v>
      </c>
      <c r="I292" s="1">
        <f t="shared" si="111"/>
        <v>1.2443929966719722</v>
      </c>
      <c r="J292" s="31">
        <v>109215</v>
      </c>
      <c r="K292" s="31">
        <v>38037</v>
      </c>
      <c r="L292" s="31">
        <v>147252</v>
      </c>
      <c r="M292" s="45">
        <f t="shared" si="113"/>
        <v>21.306902040225726</v>
      </c>
      <c r="N292" s="31">
        <v>25071</v>
      </c>
      <c r="O292" s="31">
        <v>1549</v>
      </c>
      <c r="P292" s="31">
        <v>3199</v>
      </c>
      <c r="Q292" s="31">
        <v>29819</v>
      </c>
      <c r="R292" s="45">
        <f t="shared" si="114"/>
        <v>4.3147156706699468</v>
      </c>
      <c r="S292" s="31">
        <v>33948</v>
      </c>
      <c r="T292" s="31">
        <v>211019</v>
      </c>
      <c r="U292" s="31">
        <v>0</v>
      </c>
      <c r="V292" s="31">
        <v>211019</v>
      </c>
      <c r="W292" s="45">
        <f t="shared" si="115"/>
        <v>30.533786716828246</v>
      </c>
      <c r="X292" s="4">
        <f t="shared" si="116"/>
        <v>0.6978139409247508</v>
      </c>
      <c r="Y292" s="4">
        <f t="shared" si="117"/>
        <v>0.14130955032485226</v>
      </c>
      <c r="Z292" s="4">
        <f t="shared" si="118"/>
        <v>0.16087650875039688</v>
      </c>
      <c r="AA292" s="4">
        <f t="shared" si="119"/>
        <v>0</v>
      </c>
      <c r="AB292" s="31">
        <v>380891</v>
      </c>
      <c r="AC292" s="31">
        <v>29819</v>
      </c>
      <c r="AD292" s="31">
        <v>216734</v>
      </c>
      <c r="AE292" s="31">
        <v>207083</v>
      </c>
      <c r="AF292" s="31">
        <v>207083</v>
      </c>
      <c r="AG292" s="31">
        <v>0</v>
      </c>
      <c r="AH292" s="31">
        <v>0</v>
      </c>
      <c r="AI292" s="31">
        <v>207083</v>
      </c>
      <c r="AJ292" s="45">
        <f t="shared" si="120"/>
        <v>29.9642598755607</v>
      </c>
      <c r="AK292" s="31">
        <v>0</v>
      </c>
      <c r="AL292" s="31">
        <v>0</v>
      </c>
      <c r="AM292" s="31">
        <v>0</v>
      </c>
      <c r="AN292" s="31">
        <v>0</v>
      </c>
      <c r="AO292" s="31">
        <v>0</v>
      </c>
      <c r="AP292" s="31">
        <v>5273</v>
      </c>
      <c r="AQ292" s="31">
        <v>5273</v>
      </c>
      <c r="AR292" s="31">
        <v>212356</v>
      </c>
      <c r="AS292" s="46">
        <f t="shared" si="121"/>
        <v>30.727246418752713</v>
      </c>
      <c r="AT292" s="31">
        <v>178597</v>
      </c>
      <c r="AU292" s="31">
        <v>0</v>
      </c>
      <c r="AV292" s="31">
        <v>0</v>
      </c>
      <c r="AW292" s="31">
        <v>0</v>
      </c>
      <c r="AX292" s="31">
        <v>0</v>
      </c>
      <c r="AY292" s="31">
        <v>0</v>
      </c>
      <c r="AZ292" s="31">
        <v>50000</v>
      </c>
      <c r="BA292" s="31">
        <v>53233</v>
      </c>
      <c r="BB292" s="31">
        <v>281830</v>
      </c>
      <c r="BC292" s="33" t="s">
        <v>25</v>
      </c>
      <c r="BD292" s="47">
        <v>22285</v>
      </c>
      <c r="BE292" s="47">
        <v>22504</v>
      </c>
      <c r="BF292" s="45">
        <f t="shared" si="122"/>
        <v>3.2562581391983794</v>
      </c>
      <c r="BG292" s="30">
        <v>780</v>
      </c>
      <c r="BH292" s="30">
        <v>782</v>
      </c>
      <c r="BI292" s="30">
        <v>1671</v>
      </c>
      <c r="BJ292" s="30">
        <v>1074</v>
      </c>
      <c r="BK292" s="30">
        <v>1101</v>
      </c>
      <c r="BL292" s="30">
        <v>126</v>
      </c>
      <c r="BM292" s="30">
        <v>9335</v>
      </c>
      <c r="BN292" s="30">
        <v>0</v>
      </c>
      <c r="BO292" s="30">
        <v>51</v>
      </c>
      <c r="BP292" s="30">
        <v>0</v>
      </c>
      <c r="BQ292" s="30">
        <v>51</v>
      </c>
      <c r="BR292" s="47">
        <v>24139</v>
      </c>
      <c r="BS292" s="47">
        <v>35519</v>
      </c>
      <c r="BT292" s="1">
        <f t="shared" si="123"/>
        <v>5.1394877731153237</v>
      </c>
      <c r="BU292" s="30">
        <v>31</v>
      </c>
      <c r="BV292" s="30">
        <v>0</v>
      </c>
      <c r="BW292" s="47">
        <v>717</v>
      </c>
      <c r="BX292" s="52">
        <f t="shared" si="124"/>
        <v>0.10374764867602373</v>
      </c>
      <c r="BY292" s="47">
        <v>20618</v>
      </c>
      <c r="BZ292" s="47">
        <v>99</v>
      </c>
      <c r="CA292" s="47">
        <v>39854</v>
      </c>
      <c r="CB292" s="47">
        <v>1526</v>
      </c>
      <c r="CC292" s="47">
        <v>62097</v>
      </c>
      <c r="CD292" s="55">
        <f t="shared" si="125"/>
        <v>8.9852409202720303</v>
      </c>
      <c r="CE292" s="3">
        <f t="shared" si="126"/>
        <v>16670.335570469797</v>
      </c>
      <c r="CF292" s="55">
        <f t="shared" si="127"/>
        <v>27.996844003606853</v>
      </c>
      <c r="CG292" s="55">
        <f t="shared" si="128"/>
        <v>1.1431911485852095</v>
      </c>
      <c r="CH292" s="55">
        <f t="shared" si="129"/>
        <v>1.7025254089360624</v>
      </c>
      <c r="CI292" s="30">
        <v>34</v>
      </c>
      <c r="CJ292" s="30">
        <v>13</v>
      </c>
      <c r="CK292" s="30">
        <v>5</v>
      </c>
      <c r="CL292" s="30">
        <v>52</v>
      </c>
      <c r="CM292" s="30">
        <v>433</v>
      </c>
      <c r="CN292" s="30">
        <v>75</v>
      </c>
      <c r="CO292" s="30">
        <v>327</v>
      </c>
      <c r="CP292" s="30">
        <v>835</v>
      </c>
      <c r="CQ292" s="1">
        <f t="shared" si="137"/>
        <v>0.12082187816524381</v>
      </c>
      <c r="CR292" s="47">
        <v>54319</v>
      </c>
      <c r="CS292" s="55">
        <f t="shared" si="130"/>
        <v>7.8597887425842856</v>
      </c>
      <c r="CT292" s="59">
        <v>7058</v>
      </c>
      <c r="CU292" s="29" t="s">
        <v>25</v>
      </c>
      <c r="CV292" s="29" t="s">
        <v>25</v>
      </c>
      <c r="CW292" s="29" t="s">
        <v>25</v>
      </c>
      <c r="CX292" s="35">
        <v>1</v>
      </c>
      <c r="CY292" s="49">
        <f>C292/CX292</f>
        <v>6911</v>
      </c>
      <c r="CZ292" s="35">
        <v>0</v>
      </c>
      <c r="DA292" s="35">
        <v>2.7250000000000001</v>
      </c>
      <c r="DB292" s="35">
        <v>3.7250000000000001</v>
      </c>
      <c r="DC292" s="49">
        <f t="shared" si="131"/>
        <v>1855.3020134228188</v>
      </c>
      <c r="DD292" s="30">
        <v>1641</v>
      </c>
      <c r="DE292" s="31">
        <v>51782</v>
      </c>
      <c r="DF292" s="35">
        <v>40</v>
      </c>
      <c r="DG292" s="29" t="s">
        <v>25</v>
      </c>
      <c r="DH292" s="29" t="s">
        <v>25</v>
      </c>
      <c r="DI292" s="29" t="s">
        <v>25</v>
      </c>
      <c r="DJ292" s="47">
        <v>86</v>
      </c>
      <c r="DK292" s="47">
        <v>118</v>
      </c>
      <c r="DL292" s="47">
        <v>10</v>
      </c>
      <c r="DM292" s="47">
        <v>10235</v>
      </c>
      <c r="DN292" s="47">
        <v>147</v>
      </c>
      <c r="DO292" s="47">
        <v>0</v>
      </c>
      <c r="DP292" s="29" t="s">
        <v>25</v>
      </c>
      <c r="DQ292" s="47">
        <v>1828</v>
      </c>
      <c r="DR292" s="47">
        <v>2218</v>
      </c>
      <c r="DS292" s="30">
        <v>51</v>
      </c>
      <c r="DT292" s="30">
        <v>46</v>
      </c>
      <c r="DU292" s="30">
        <v>46</v>
      </c>
      <c r="DV292" s="30">
        <v>46</v>
      </c>
      <c r="DX292" s="2">
        <f t="shared" si="132"/>
        <v>2218</v>
      </c>
      <c r="DY292" s="33" t="s">
        <v>2186</v>
      </c>
      <c r="DZ292" s="33" t="s">
        <v>805</v>
      </c>
      <c r="EA292" s="33" t="s">
        <v>2030</v>
      </c>
      <c r="EB292" s="33" t="s">
        <v>2027</v>
      </c>
      <c r="EC292" s="36">
        <v>227</v>
      </c>
      <c r="ED292" s="29" t="s">
        <v>804</v>
      </c>
      <c r="EE292" s="29" t="s">
        <v>803</v>
      </c>
      <c r="EF292" s="37">
        <v>41548</v>
      </c>
      <c r="EG292" s="37">
        <v>41912</v>
      </c>
      <c r="EH292" s="29" t="s">
        <v>804</v>
      </c>
      <c r="EI292" s="55">
        <f t="shared" si="133"/>
        <v>2.9833598610910141</v>
      </c>
      <c r="EJ292" s="54">
        <f t="shared" si="134"/>
        <v>1.4324989147735494E-2</v>
      </c>
      <c r="EK292" s="55">
        <f t="shared" si="135"/>
        <v>5.7667486615540442</v>
      </c>
      <c r="EL292" s="54">
        <f t="shared" si="136"/>
        <v>0.22080740847923599</v>
      </c>
    </row>
    <row r="293" spans="1:142" ht="43.2" x14ac:dyDescent="0.3">
      <c r="A293" s="29" t="s">
        <v>1411</v>
      </c>
      <c r="B293" s="29"/>
      <c r="C293" s="30">
        <v>38071</v>
      </c>
      <c r="D293" s="30">
        <v>0</v>
      </c>
      <c r="E293" s="30">
        <v>0</v>
      </c>
      <c r="F293" s="30">
        <v>23000</v>
      </c>
      <c r="H293" s="2">
        <f t="shared" si="112"/>
        <v>23000</v>
      </c>
      <c r="I293" s="1">
        <f t="shared" si="111"/>
        <v>0.60413438049959289</v>
      </c>
      <c r="J293" s="31">
        <v>216187</v>
      </c>
      <c r="K293" s="31">
        <v>52193</v>
      </c>
      <c r="L293" s="31">
        <v>268380</v>
      </c>
      <c r="M293" s="45">
        <f t="shared" si="113"/>
        <v>7.0494602190643798</v>
      </c>
      <c r="N293" s="31">
        <v>39137</v>
      </c>
      <c r="O293" s="31">
        <v>19154</v>
      </c>
      <c r="P293" s="31">
        <v>7057</v>
      </c>
      <c r="Q293" s="31">
        <v>65348</v>
      </c>
      <c r="R293" s="45">
        <f t="shared" si="114"/>
        <v>1.7164771085603214</v>
      </c>
      <c r="S293" s="31">
        <v>89971</v>
      </c>
      <c r="T293" s="31">
        <v>423699</v>
      </c>
      <c r="U293" s="31">
        <v>61658</v>
      </c>
      <c r="V293" s="31">
        <v>485357</v>
      </c>
      <c r="W293" s="45">
        <f t="shared" si="115"/>
        <v>12.74873263113656</v>
      </c>
      <c r="X293" s="4">
        <f t="shared" si="116"/>
        <v>0.55295380513724945</v>
      </c>
      <c r="Y293" s="4">
        <f t="shared" si="117"/>
        <v>0.13463903889302101</v>
      </c>
      <c r="Z293" s="4">
        <f t="shared" si="118"/>
        <v>0.18537076832105029</v>
      </c>
      <c r="AA293" s="4">
        <f t="shared" si="119"/>
        <v>0.12703638764867922</v>
      </c>
      <c r="AB293" s="31">
        <v>0</v>
      </c>
      <c r="AC293" s="31">
        <v>65348</v>
      </c>
      <c r="AD293" s="31">
        <v>485357</v>
      </c>
      <c r="AE293" s="31">
        <v>485357</v>
      </c>
      <c r="AF293" s="31">
        <v>541427</v>
      </c>
      <c r="AG293" s="31">
        <v>0</v>
      </c>
      <c r="AH293" s="31">
        <v>0</v>
      </c>
      <c r="AI293" s="31">
        <v>541427</v>
      </c>
      <c r="AJ293" s="45">
        <f t="shared" si="120"/>
        <v>14.221507183945786</v>
      </c>
      <c r="AK293" s="31">
        <v>0</v>
      </c>
      <c r="AL293" s="31">
        <v>0</v>
      </c>
      <c r="AM293" s="31">
        <v>0</v>
      </c>
      <c r="AN293" s="31">
        <v>0</v>
      </c>
      <c r="AO293" s="31">
        <v>0</v>
      </c>
      <c r="AP293" s="31">
        <v>32969</v>
      </c>
      <c r="AQ293" s="31">
        <v>32969</v>
      </c>
      <c r="AR293" s="31">
        <v>574396</v>
      </c>
      <c r="AS293" s="46">
        <f t="shared" si="121"/>
        <v>15.087494418323658</v>
      </c>
      <c r="AT293" s="31">
        <v>0</v>
      </c>
      <c r="AU293" s="31">
        <v>0</v>
      </c>
      <c r="AV293" s="31">
        <v>0</v>
      </c>
      <c r="AW293" s="31">
        <v>0</v>
      </c>
      <c r="AX293" s="31">
        <v>0</v>
      </c>
      <c r="AY293" s="31">
        <v>0</v>
      </c>
      <c r="AZ293" s="31">
        <v>0</v>
      </c>
      <c r="BA293" s="31">
        <v>0</v>
      </c>
      <c r="BB293" s="31">
        <v>0</v>
      </c>
      <c r="BC293" s="33" t="s">
        <v>25</v>
      </c>
      <c r="BD293" s="47">
        <v>69918</v>
      </c>
      <c r="BE293" s="47">
        <v>83875</v>
      </c>
      <c r="BF293" s="45">
        <f t="shared" si="122"/>
        <v>2.2031204854088413</v>
      </c>
      <c r="BG293" s="30">
        <v>1375</v>
      </c>
      <c r="BH293" s="30">
        <v>1782</v>
      </c>
      <c r="BI293" s="30">
        <v>42</v>
      </c>
      <c r="BJ293" s="30">
        <v>3575</v>
      </c>
      <c r="BK293" s="30">
        <v>4362</v>
      </c>
      <c r="BL293" s="30">
        <v>0</v>
      </c>
      <c r="BM293" s="30">
        <v>404</v>
      </c>
      <c r="BN293" s="30">
        <v>12</v>
      </c>
      <c r="BO293" s="30">
        <v>51</v>
      </c>
      <c r="BP293" s="30">
        <v>1</v>
      </c>
      <c r="BQ293" s="30">
        <v>64</v>
      </c>
      <c r="BR293" s="47">
        <v>74868</v>
      </c>
      <c r="BS293" s="47">
        <v>90477</v>
      </c>
      <c r="BT293" s="1">
        <f t="shared" si="123"/>
        <v>2.37653331932442</v>
      </c>
      <c r="BU293" s="30">
        <v>69</v>
      </c>
      <c r="BV293" s="30">
        <v>0</v>
      </c>
      <c r="BW293" s="47">
        <v>5142</v>
      </c>
      <c r="BX293" s="52">
        <f t="shared" si="124"/>
        <v>0.13506343410995245</v>
      </c>
      <c r="BY293" s="47">
        <v>22311</v>
      </c>
      <c r="BZ293" s="47">
        <v>231</v>
      </c>
      <c r="CA293" s="47">
        <v>30929</v>
      </c>
      <c r="CB293" s="47">
        <v>323</v>
      </c>
      <c r="CC293" s="47">
        <v>53794</v>
      </c>
      <c r="CD293" s="55">
        <f t="shared" si="125"/>
        <v>1.4129915158519608</v>
      </c>
      <c r="CE293" s="3">
        <f t="shared" si="126"/>
        <v>6941.1612903225805</v>
      </c>
      <c r="CF293" s="55">
        <f t="shared" si="127"/>
        <v>19.143772241992881</v>
      </c>
      <c r="CG293" s="55">
        <f t="shared" si="128"/>
        <v>0.55192013707203469</v>
      </c>
      <c r="CH293" s="55">
        <f t="shared" si="129"/>
        <v>0.5884368403019552</v>
      </c>
      <c r="CI293" s="30">
        <v>161</v>
      </c>
      <c r="CJ293" s="30">
        <v>30</v>
      </c>
      <c r="CK293" s="30">
        <v>386</v>
      </c>
      <c r="CL293" s="30">
        <v>577</v>
      </c>
      <c r="CM293" s="30">
        <v>2657</v>
      </c>
      <c r="CN293" s="30">
        <v>324</v>
      </c>
      <c r="CO293" s="30">
        <v>2091</v>
      </c>
      <c r="CP293" s="30">
        <v>5072</v>
      </c>
      <c r="CQ293" s="1">
        <f t="shared" si="137"/>
        <v>0.13322476425625804</v>
      </c>
      <c r="CR293" s="47">
        <v>97467</v>
      </c>
      <c r="CS293" s="55">
        <f t="shared" si="130"/>
        <v>2.5601376375719052</v>
      </c>
      <c r="CT293" s="59">
        <v>33065</v>
      </c>
      <c r="CU293" s="29" t="s">
        <v>25</v>
      </c>
      <c r="CV293" s="29" t="s">
        <v>25</v>
      </c>
      <c r="CW293" s="29" t="s">
        <v>25</v>
      </c>
      <c r="CX293" s="35">
        <v>2</v>
      </c>
      <c r="CY293" s="49">
        <f>C293/CX293</f>
        <v>19035.5</v>
      </c>
      <c r="CZ293" s="35">
        <v>0</v>
      </c>
      <c r="DA293" s="35">
        <v>5.75</v>
      </c>
      <c r="DB293" s="35">
        <v>7.75</v>
      </c>
      <c r="DC293" s="49">
        <f t="shared" si="131"/>
        <v>4912.3870967741932</v>
      </c>
      <c r="DD293" s="30">
        <v>714</v>
      </c>
      <c r="DE293" s="31">
        <v>67292.42</v>
      </c>
      <c r="DF293" s="35">
        <v>40</v>
      </c>
      <c r="DG293" s="29" t="s">
        <v>25</v>
      </c>
      <c r="DH293" s="29" t="s">
        <v>25</v>
      </c>
      <c r="DI293" s="29" t="s">
        <v>25</v>
      </c>
      <c r="DJ293" s="47">
        <v>31</v>
      </c>
      <c r="DK293" s="47">
        <v>0</v>
      </c>
      <c r="DL293" s="47">
        <v>49</v>
      </c>
      <c r="DM293" s="47">
        <v>37216</v>
      </c>
      <c r="DN293" s="47">
        <v>1897</v>
      </c>
      <c r="DO293" s="47">
        <v>0</v>
      </c>
      <c r="DP293" s="29" t="s">
        <v>25</v>
      </c>
      <c r="DQ293" s="47">
        <v>12757</v>
      </c>
      <c r="DR293" s="47">
        <v>2810</v>
      </c>
      <c r="DS293" s="30">
        <v>52</v>
      </c>
      <c r="DT293" s="30">
        <v>57</v>
      </c>
      <c r="DU293" s="30">
        <v>57</v>
      </c>
      <c r="DV293" s="30">
        <v>57</v>
      </c>
      <c r="DX293" s="2">
        <f t="shared" si="132"/>
        <v>2810</v>
      </c>
      <c r="DY293" s="33" t="s">
        <v>2182</v>
      </c>
      <c r="DZ293" s="33" t="s">
        <v>1413</v>
      </c>
      <c r="EA293" s="33" t="s">
        <v>2030</v>
      </c>
      <c r="EB293" s="33" t="s">
        <v>2027</v>
      </c>
      <c r="EC293" s="36">
        <v>441</v>
      </c>
      <c r="ED293" s="29" t="s">
        <v>1412</v>
      </c>
      <c r="EE293" s="29" t="s">
        <v>269</v>
      </c>
      <c r="EF293" s="37">
        <v>41548</v>
      </c>
      <c r="EG293" s="37">
        <v>41912</v>
      </c>
      <c r="EH293" s="29" t="s">
        <v>1412</v>
      </c>
      <c r="EI293" s="55">
        <f t="shared" si="133"/>
        <v>0.58603661579680066</v>
      </c>
      <c r="EJ293" s="54">
        <f t="shared" si="134"/>
        <v>6.0676105171915632E-3</v>
      </c>
      <c r="EK293" s="55">
        <f t="shared" si="135"/>
        <v>0.81240314149877857</v>
      </c>
      <c r="EL293" s="54">
        <f t="shared" si="136"/>
        <v>8.4841480391899347E-3</v>
      </c>
    </row>
    <row r="294" spans="1:142" ht="28.8" x14ac:dyDescent="0.3">
      <c r="A294" s="29" t="s">
        <v>806</v>
      </c>
      <c r="B294" s="29"/>
      <c r="C294" s="30">
        <v>248142</v>
      </c>
      <c r="D294" s="30">
        <v>4</v>
      </c>
      <c r="E294" s="30">
        <v>1</v>
      </c>
      <c r="F294" s="30">
        <v>60000</v>
      </c>
      <c r="G294">
        <v>29549</v>
      </c>
      <c r="H294" s="2">
        <f t="shared" si="112"/>
        <v>89549</v>
      </c>
      <c r="I294" s="1">
        <f t="shared" si="111"/>
        <v>0.36087804563516052</v>
      </c>
      <c r="J294" s="31">
        <v>1576905</v>
      </c>
      <c r="K294" s="31">
        <v>816907</v>
      </c>
      <c r="L294" s="31">
        <v>2393812</v>
      </c>
      <c r="M294" s="45">
        <f t="shared" si="113"/>
        <v>9.6469440884654762</v>
      </c>
      <c r="N294" s="31">
        <v>726862</v>
      </c>
      <c r="O294" s="31">
        <v>70793</v>
      </c>
      <c r="P294" s="31">
        <v>46344</v>
      </c>
      <c r="Q294" s="31">
        <v>843999</v>
      </c>
      <c r="R294" s="45">
        <f t="shared" si="114"/>
        <v>3.4012742703774452</v>
      </c>
      <c r="S294" s="31">
        <v>749473</v>
      </c>
      <c r="T294" s="31">
        <v>3987284</v>
      </c>
      <c r="U294" s="31">
        <v>0</v>
      </c>
      <c r="V294" s="31">
        <v>3987284</v>
      </c>
      <c r="W294" s="45">
        <f t="shared" si="115"/>
        <v>16.068557519484813</v>
      </c>
      <c r="X294" s="4">
        <f t="shared" si="116"/>
        <v>0.60036154936543273</v>
      </c>
      <c r="Y294" s="4">
        <f t="shared" si="117"/>
        <v>0.21167265737780405</v>
      </c>
      <c r="Z294" s="4">
        <f t="shared" si="118"/>
        <v>0.18796579325676324</v>
      </c>
      <c r="AA294" s="4">
        <f t="shared" si="119"/>
        <v>0</v>
      </c>
      <c r="AB294" s="31">
        <v>20649</v>
      </c>
      <c r="AC294" s="31">
        <v>843999</v>
      </c>
      <c r="AD294" s="31">
        <v>3987284</v>
      </c>
      <c r="AE294" s="31">
        <v>3987284</v>
      </c>
      <c r="AF294" s="31">
        <v>3987285</v>
      </c>
      <c r="AG294" s="31">
        <v>0</v>
      </c>
      <c r="AH294" s="31">
        <v>0</v>
      </c>
      <c r="AI294" s="31">
        <v>3987285</v>
      </c>
      <c r="AJ294" s="45">
        <f t="shared" si="120"/>
        <v>16.068561549435405</v>
      </c>
      <c r="AK294" s="31">
        <v>0</v>
      </c>
      <c r="AL294" s="31">
        <v>0</v>
      </c>
      <c r="AM294" s="31">
        <v>0</v>
      </c>
      <c r="AN294" s="31">
        <v>0</v>
      </c>
      <c r="AO294" s="31">
        <v>0</v>
      </c>
      <c r="AP294" s="31">
        <v>0</v>
      </c>
      <c r="AQ294" s="31">
        <v>0</v>
      </c>
      <c r="AR294" s="31">
        <v>3987285</v>
      </c>
      <c r="AS294" s="46">
        <f t="shared" si="121"/>
        <v>16.068561549435405</v>
      </c>
      <c r="AT294" s="31">
        <v>20649</v>
      </c>
      <c r="AU294" s="31">
        <v>0</v>
      </c>
      <c r="AV294" s="31">
        <v>0</v>
      </c>
      <c r="AW294" s="31">
        <v>0</v>
      </c>
      <c r="AX294" s="31">
        <v>0</v>
      </c>
      <c r="AY294" s="31">
        <v>0</v>
      </c>
      <c r="AZ294" s="31">
        <v>0</v>
      </c>
      <c r="BA294" s="31">
        <v>0</v>
      </c>
      <c r="BB294" s="31">
        <v>20649</v>
      </c>
      <c r="BC294" s="33" t="s">
        <v>25</v>
      </c>
      <c r="BD294" s="47">
        <v>212984</v>
      </c>
      <c r="BE294" s="47">
        <v>317440</v>
      </c>
      <c r="BF294" s="45">
        <f t="shared" si="122"/>
        <v>1.2792675161802516</v>
      </c>
      <c r="BG294" s="30">
        <v>8041</v>
      </c>
      <c r="BH294" s="30">
        <v>9461</v>
      </c>
      <c r="BI294" s="30">
        <v>4462</v>
      </c>
      <c r="BJ294" s="30">
        <v>9784</v>
      </c>
      <c r="BK294" s="30">
        <v>13350</v>
      </c>
      <c r="BL294" s="30">
        <v>14141</v>
      </c>
      <c r="BM294" s="30">
        <v>9611</v>
      </c>
      <c r="BN294" s="30">
        <v>10</v>
      </c>
      <c r="BO294" s="30">
        <v>51</v>
      </c>
      <c r="BP294" s="30">
        <v>0</v>
      </c>
      <c r="BQ294" s="30">
        <v>61</v>
      </c>
      <c r="BR294" s="47">
        <v>230809</v>
      </c>
      <c r="BS294" s="47">
        <v>368475</v>
      </c>
      <c r="BT294" s="1">
        <f t="shared" si="123"/>
        <v>1.4849360446840922</v>
      </c>
      <c r="BU294" s="30">
        <v>362</v>
      </c>
      <c r="BV294" s="30">
        <v>141</v>
      </c>
      <c r="BW294" s="47">
        <v>104790</v>
      </c>
      <c r="BX294" s="52">
        <f t="shared" si="124"/>
        <v>0.42229852262011269</v>
      </c>
      <c r="BY294" s="47">
        <v>118693</v>
      </c>
      <c r="BZ294" s="47">
        <v>0</v>
      </c>
      <c r="CA294" s="47">
        <v>68938</v>
      </c>
      <c r="CB294" s="47">
        <v>3013</v>
      </c>
      <c r="CC294" s="47">
        <v>190644</v>
      </c>
      <c r="CD294" s="55">
        <f t="shared" si="125"/>
        <v>0.76828590081485604</v>
      </c>
      <c r="CE294" s="3">
        <f t="shared" si="126"/>
        <v>3971.75</v>
      </c>
      <c r="CF294" s="55">
        <f t="shared" si="127"/>
        <v>19.274491962390051</v>
      </c>
      <c r="CG294" s="55">
        <f t="shared" si="128"/>
        <v>0.50942866838931034</v>
      </c>
      <c r="CH294" s="55">
        <f t="shared" si="129"/>
        <v>0.50920958002578198</v>
      </c>
      <c r="CI294" s="30">
        <v>774</v>
      </c>
      <c r="CJ294" s="30">
        <v>164</v>
      </c>
      <c r="CK294" s="30">
        <v>419</v>
      </c>
      <c r="CL294" s="30">
        <v>1357</v>
      </c>
      <c r="CM294" s="30">
        <v>38862</v>
      </c>
      <c r="CN294" s="30">
        <v>1984</v>
      </c>
      <c r="CO294" s="30">
        <v>6814</v>
      </c>
      <c r="CP294" s="30">
        <v>47660</v>
      </c>
      <c r="CQ294" s="1">
        <f t="shared" si="137"/>
        <v>0.19206744525312119</v>
      </c>
      <c r="CR294" s="47">
        <v>374231</v>
      </c>
      <c r="CS294" s="55">
        <f t="shared" si="130"/>
        <v>1.5081324402962819</v>
      </c>
      <c r="CT294" s="59">
        <v>178967</v>
      </c>
      <c r="CU294" s="29" t="s">
        <v>25</v>
      </c>
      <c r="CV294" s="29" t="s">
        <v>25</v>
      </c>
      <c r="CW294" s="29" t="s">
        <v>25</v>
      </c>
      <c r="CX294" s="35">
        <v>13</v>
      </c>
      <c r="CY294" s="49">
        <f>C294/CX294</f>
        <v>19087.846153846152</v>
      </c>
      <c r="CZ294" s="35">
        <v>0</v>
      </c>
      <c r="DA294" s="35">
        <v>35</v>
      </c>
      <c r="DB294" s="35">
        <v>48</v>
      </c>
      <c r="DC294" s="49">
        <f t="shared" si="131"/>
        <v>5169.625</v>
      </c>
      <c r="DD294" s="30">
        <v>10779</v>
      </c>
      <c r="DE294" s="31">
        <v>105914</v>
      </c>
      <c r="DF294" s="35">
        <v>40</v>
      </c>
      <c r="DG294" s="29" t="s">
        <v>25</v>
      </c>
      <c r="DH294" s="29" t="s">
        <v>25</v>
      </c>
      <c r="DI294" s="29" t="s">
        <v>25</v>
      </c>
      <c r="DJ294" s="47">
        <v>596</v>
      </c>
      <c r="DK294" s="47">
        <v>1120</v>
      </c>
      <c r="DL294" s="47">
        <v>174</v>
      </c>
      <c r="DM294" s="47">
        <v>75156</v>
      </c>
      <c r="DN294" s="47">
        <v>13619</v>
      </c>
      <c r="DO294" s="47">
        <v>-1</v>
      </c>
      <c r="DP294" s="29" t="s">
        <v>25</v>
      </c>
      <c r="DQ294" s="47">
        <v>63381</v>
      </c>
      <c r="DR294" s="47">
        <v>3075</v>
      </c>
      <c r="DS294" s="30">
        <v>51</v>
      </c>
      <c r="DT294" s="30">
        <v>67</v>
      </c>
      <c r="DU294" s="30">
        <v>64</v>
      </c>
      <c r="DV294" s="30">
        <v>64</v>
      </c>
      <c r="DW294">
        <f>VLOOKUP(EC294,branch!$I$4:$K$77,3,0)</f>
        <v>6816</v>
      </c>
      <c r="DX294" s="2">
        <f t="shared" si="132"/>
        <v>9891</v>
      </c>
      <c r="DY294" s="33" t="s">
        <v>2180</v>
      </c>
      <c r="DZ294" s="33" t="s">
        <v>809</v>
      </c>
      <c r="EA294" s="33" t="s">
        <v>2030</v>
      </c>
      <c r="EB294" s="33" t="s">
        <v>2027</v>
      </c>
      <c r="EC294" s="36">
        <v>228</v>
      </c>
      <c r="ED294" s="29" t="s">
        <v>807</v>
      </c>
      <c r="EE294" s="29" t="s">
        <v>808</v>
      </c>
      <c r="EF294" s="37">
        <v>41548</v>
      </c>
      <c r="EG294" s="37">
        <v>41912</v>
      </c>
      <c r="EH294" s="29" t="s">
        <v>807</v>
      </c>
      <c r="EI294" s="55">
        <f t="shared" si="133"/>
        <v>0.47832692571189078</v>
      </c>
      <c r="EJ294" s="54">
        <f t="shared" si="134"/>
        <v>0</v>
      </c>
      <c r="EK294" s="55">
        <f t="shared" si="135"/>
        <v>0.27781673396684159</v>
      </c>
      <c r="EL294" s="54">
        <f t="shared" si="136"/>
        <v>1.2142241136123671E-2</v>
      </c>
    </row>
    <row r="295" spans="1:142" x14ac:dyDescent="0.3">
      <c r="A295" s="29" t="s">
        <v>811</v>
      </c>
      <c r="B295" s="29"/>
      <c r="C295" s="30">
        <v>105003</v>
      </c>
      <c r="D295" s="30">
        <v>0</v>
      </c>
      <c r="E295" s="30">
        <v>0</v>
      </c>
      <c r="F295" s="30">
        <v>29285</v>
      </c>
      <c r="H295" s="2">
        <f t="shared" si="112"/>
        <v>29285</v>
      </c>
      <c r="I295" s="1">
        <f t="shared" si="111"/>
        <v>0.27889679342494977</v>
      </c>
      <c r="J295" s="31">
        <v>1057212</v>
      </c>
      <c r="K295" s="31">
        <v>470725</v>
      </c>
      <c r="L295" s="31">
        <v>1527937</v>
      </c>
      <c r="M295" s="45">
        <f t="shared" si="113"/>
        <v>14.551365199089549</v>
      </c>
      <c r="N295" s="31">
        <v>190425</v>
      </c>
      <c r="O295" s="31">
        <v>41272</v>
      </c>
      <c r="P295" s="31">
        <v>63167</v>
      </c>
      <c r="Q295" s="31">
        <v>294864</v>
      </c>
      <c r="R295" s="45">
        <f t="shared" si="114"/>
        <v>2.8081483386188966</v>
      </c>
      <c r="S295" s="31">
        <v>123440</v>
      </c>
      <c r="T295" s="31">
        <v>1946241</v>
      </c>
      <c r="U295" s="31">
        <v>0</v>
      </c>
      <c r="V295" s="31">
        <v>1946241</v>
      </c>
      <c r="W295" s="45">
        <f t="shared" si="115"/>
        <v>18.535098997171509</v>
      </c>
      <c r="X295" s="4">
        <f t="shared" si="116"/>
        <v>0.78507081086052555</v>
      </c>
      <c r="Y295" s="4">
        <f t="shared" si="117"/>
        <v>0.15150436148452323</v>
      </c>
      <c r="Z295" s="4">
        <f t="shared" si="118"/>
        <v>6.3424827654951263E-2</v>
      </c>
      <c r="AA295" s="4">
        <f t="shared" si="119"/>
        <v>0</v>
      </c>
      <c r="AB295" s="31">
        <v>344099</v>
      </c>
      <c r="AC295" s="31">
        <v>293114</v>
      </c>
      <c r="AD295" s="31">
        <v>1944491</v>
      </c>
      <c r="AE295" s="31">
        <v>1944491</v>
      </c>
      <c r="AF295" s="31">
        <v>1823073</v>
      </c>
      <c r="AG295" s="31">
        <v>121854</v>
      </c>
      <c r="AH295" s="31">
        <v>0</v>
      </c>
      <c r="AI295" s="31">
        <v>1944927</v>
      </c>
      <c r="AJ295" s="45">
        <f t="shared" si="120"/>
        <v>18.52258506899803</v>
      </c>
      <c r="AK295" s="31">
        <v>0</v>
      </c>
      <c r="AL295" s="31">
        <v>0</v>
      </c>
      <c r="AM295" s="31">
        <v>0</v>
      </c>
      <c r="AN295" s="31">
        <v>0</v>
      </c>
      <c r="AO295" s="31">
        <v>0</v>
      </c>
      <c r="AP295" s="31">
        <v>91186</v>
      </c>
      <c r="AQ295" s="31">
        <v>91186</v>
      </c>
      <c r="AR295" s="31">
        <v>2036113</v>
      </c>
      <c r="AS295" s="46">
        <f t="shared" si="121"/>
        <v>19.390998352428024</v>
      </c>
      <c r="AT295" s="31">
        <v>0</v>
      </c>
      <c r="AU295" s="31">
        <v>0</v>
      </c>
      <c r="AV295" s="31">
        <v>0</v>
      </c>
      <c r="AW295" s="31">
        <v>0</v>
      </c>
      <c r="AX295" s="31">
        <v>0</v>
      </c>
      <c r="AY295" s="31">
        <v>0</v>
      </c>
      <c r="AZ295" s="31">
        <v>0</v>
      </c>
      <c r="BA295" s="31">
        <v>0</v>
      </c>
      <c r="BB295" s="31">
        <v>0</v>
      </c>
      <c r="BC295" s="33" t="s">
        <v>25</v>
      </c>
      <c r="BD295" s="47">
        <v>116843</v>
      </c>
      <c r="BE295" s="47">
        <v>136166</v>
      </c>
      <c r="BF295" s="45">
        <f t="shared" si="122"/>
        <v>1.2967819967048559</v>
      </c>
      <c r="BG295" s="30">
        <v>12696</v>
      </c>
      <c r="BH295" s="30">
        <v>13833</v>
      </c>
      <c r="BI295" s="30">
        <v>8356</v>
      </c>
      <c r="BJ295" s="30">
        <v>10385</v>
      </c>
      <c r="BK295" s="30">
        <v>18480</v>
      </c>
      <c r="BL295" s="30">
        <v>322</v>
      </c>
      <c r="BM295" s="30">
        <v>25412</v>
      </c>
      <c r="BN295" s="30">
        <v>4</v>
      </c>
      <c r="BO295" s="30">
        <v>51</v>
      </c>
      <c r="BP295" s="30">
        <v>5</v>
      </c>
      <c r="BQ295" s="30">
        <v>60</v>
      </c>
      <c r="BR295" s="47">
        <v>139924</v>
      </c>
      <c r="BS295" s="47">
        <v>202573</v>
      </c>
      <c r="BT295" s="1">
        <f t="shared" si="123"/>
        <v>1.9292115463367714</v>
      </c>
      <c r="BU295" s="30">
        <v>242</v>
      </c>
      <c r="BV295" s="30">
        <v>22</v>
      </c>
      <c r="BW295" s="47">
        <v>38529</v>
      </c>
      <c r="BX295" s="52">
        <f t="shared" si="124"/>
        <v>0.36693237336076112</v>
      </c>
      <c r="BY295" s="47">
        <v>319257</v>
      </c>
      <c r="BZ295" s="47">
        <v>3585</v>
      </c>
      <c r="CA295" s="47">
        <v>404295</v>
      </c>
      <c r="CB295" s="47">
        <v>49621</v>
      </c>
      <c r="CC295" s="47">
        <v>776758</v>
      </c>
      <c r="CD295" s="55">
        <f t="shared" si="125"/>
        <v>7.3974838814129118</v>
      </c>
      <c r="CE295" s="3">
        <f t="shared" si="126"/>
        <v>26877.439446366781</v>
      </c>
      <c r="CF295" s="55">
        <f t="shared" si="127"/>
        <v>228.45823529411766</v>
      </c>
      <c r="CG295" s="55">
        <f t="shared" si="128"/>
        <v>2.8890046007877501</v>
      </c>
      <c r="CH295" s="55">
        <f t="shared" si="129"/>
        <v>3.5718086813148839</v>
      </c>
      <c r="CI295" s="30">
        <v>340</v>
      </c>
      <c r="CJ295" s="30">
        <v>51</v>
      </c>
      <c r="CK295" s="30">
        <v>79</v>
      </c>
      <c r="CL295" s="30">
        <v>470</v>
      </c>
      <c r="CM295" s="30">
        <v>15872</v>
      </c>
      <c r="CN295" s="30">
        <v>635</v>
      </c>
      <c r="CO295" s="30">
        <v>1230</v>
      </c>
      <c r="CP295" s="30">
        <v>17737</v>
      </c>
      <c r="CQ295" s="1">
        <f t="shared" si="137"/>
        <v>0.16891898326714475</v>
      </c>
      <c r="CR295" s="47">
        <v>268867</v>
      </c>
      <c r="CS295" s="55">
        <f t="shared" si="130"/>
        <v>2.560564936239917</v>
      </c>
      <c r="CT295" s="59">
        <v>33441</v>
      </c>
      <c r="CU295" s="29" t="s">
        <v>25</v>
      </c>
      <c r="CV295" s="29" t="s">
        <v>25</v>
      </c>
      <c r="CW295" s="29" t="s">
        <v>25</v>
      </c>
      <c r="CX295" s="35">
        <v>8.85</v>
      </c>
      <c r="CY295" s="49">
        <f>C295/CX295</f>
        <v>11864.745762711866</v>
      </c>
      <c r="CZ295" s="35">
        <v>3.7</v>
      </c>
      <c r="DA295" s="35">
        <v>16.350000000000001</v>
      </c>
      <c r="DB295" s="35">
        <v>28.900000000000002</v>
      </c>
      <c r="DC295" s="49">
        <f t="shared" si="131"/>
        <v>3633.3217993079584</v>
      </c>
      <c r="DD295" s="30">
        <v>1804</v>
      </c>
      <c r="DE295" s="31">
        <v>70601</v>
      </c>
      <c r="DF295" s="35">
        <v>40</v>
      </c>
      <c r="DG295" s="29" t="s">
        <v>25</v>
      </c>
      <c r="DH295" s="29" t="s">
        <v>25</v>
      </c>
      <c r="DI295" s="29" t="s">
        <v>25</v>
      </c>
      <c r="DJ295" s="47">
        <v>641</v>
      </c>
      <c r="DK295" s="47">
        <v>2058</v>
      </c>
      <c r="DL295" s="47">
        <v>47</v>
      </c>
      <c r="DM295" s="47">
        <v>71880</v>
      </c>
      <c r="DN295" s="47">
        <v>6917</v>
      </c>
      <c r="DO295" s="47">
        <v>0</v>
      </c>
      <c r="DP295" s="29" t="s">
        <v>25</v>
      </c>
      <c r="DQ295" s="47">
        <v>129955</v>
      </c>
      <c r="DR295" s="47">
        <v>3400</v>
      </c>
      <c r="DS295" s="30">
        <v>52</v>
      </c>
      <c r="DT295" s="30">
        <v>64</v>
      </c>
      <c r="DU295" s="30">
        <v>64</v>
      </c>
      <c r="DV295" s="30">
        <v>64</v>
      </c>
      <c r="DX295" s="2">
        <f t="shared" si="132"/>
        <v>3400</v>
      </c>
      <c r="DY295" s="33" t="s">
        <v>2185</v>
      </c>
      <c r="DZ295" s="33" t="s">
        <v>812</v>
      </c>
      <c r="EA295" s="33" t="s">
        <v>2030</v>
      </c>
      <c r="EB295" s="33" t="s">
        <v>2027</v>
      </c>
      <c r="EC295" s="36">
        <v>229</v>
      </c>
      <c r="ED295" s="29" t="s">
        <v>810</v>
      </c>
      <c r="EE295" s="29" t="s">
        <v>440</v>
      </c>
      <c r="EF295" s="37">
        <v>41548</v>
      </c>
      <c r="EG295" s="37">
        <v>41912</v>
      </c>
      <c r="EH295" s="29" t="s">
        <v>810</v>
      </c>
      <c r="EI295" s="55">
        <f t="shared" si="133"/>
        <v>3.0404559869718009</v>
      </c>
      <c r="EJ295" s="54">
        <f t="shared" si="134"/>
        <v>3.4141881660523982E-2</v>
      </c>
      <c r="EK295" s="55">
        <f t="shared" si="135"/>
        <v>3.8503185623267906</v>
      </c>
      <c r="EL295" s="54">
        <f t="shared" si="136"/>
        <v>0.47256745045379656</v>
      </c>
    </row>
    <row r="296" spans="1:142" ht="28.8" x14ac:dyDescent="0.3">
      <c r="A296" s="29" t="s">
        <v>1615</v>
      </c>
      <c r="B296" s="29"/>
      <c r="C296" s="30">
        <v>1801</v>
      </c>
      <c r="D296" s="30">
        <v>0</v>
      </c>
      <c r="E296" s="30">
        <v>0</v>
      </c>
      <c r="F296" s="30">
        <v>3695</v>
      </c>
      <c r="H296" s="2">
        <f t="shared" si="112"/>
        <v>3695</v>
      </c>
      <c r="I296" s="1">
        <f t="shared" si="111"/>
        <v>2.0516379789006107</v>
      </c>
      <c r="J296" s="31">
        <v>27588</v>
      </c>
      <c r="K296" s="31">
        <v>2779</v>
      </c>
      <c r="L296" s="31">
        <v>30367</v>
      </c>
      <c r="M296" s="45">
        <f t="shared" si="113"/>
        <v>16.861188228761797</v>
      </c>
      <c r="N296" s="31">
        <v>1786</v>
      </c>
      <c r="O296" s="31">
        <v>992</v>
      </c>
      <c r="P296" s="31">
        <v>65</v>
      </c>
      <c r="Q296" s="31">
        <v>2843</v>
      </c>
      <c r="R296" s="45">
        <f t="shared" si="114"/>
        <v>1.5785674625208217</v>
      </c>
      <c r="S296" s="31">
        <v>22135</v>
      </c>
      <c r="T296" s="31">
        <v>55345</v>
      </c>
      <c r="U296" s="31">
        <v>0</v>
      </c>
      <c r="V296" s="31">
        <v>55345</v>
      </c>
      <c r="W296" s="45">
        <f t="shared" si="115"/>
        <v>30.730149916712936</v>
      </c>
      <c r="X296" s="4">
        <f t="shared" si="116"/>
        <v>0.54868551811365074</v>
      </c>
      <c r="Y296" s="4">
        <f t="shared" si="117"/>
        <v>5.1368687324961602E-2</v>
      </c>
      <c r="Z296" s="4">
        <f t="shared" si="118"/>
        <v>0.39994579456138768</v>
      </c>
      <c r="AA296" s="4">
        <f t="shared" si="119"/>
        <v>0</v>
      </c>
      <c r="AB296" s="31">
        <v>0</v>
      </c>
      <c r="AC296" s="31">
        <v>2843</v>
      </c>
      <c r="AD296" s="31">
        <v>51373</v>
      </c>
      <c r="AE296" s="31">
        <v>5325</v>
      </c>
      <c r="AF296" s="31">
        <v>0</v>
      </c>
      <c r="AG296" s="31">
        <v>5325</v>
      </c>
      <c r="AH296" s="31">
        <v>0</v>
      </c>
      <c r="AI296" s="31">
        <v>5325</v>
      </c>
      <c r="AJ296" s="45">
        <f t="shared" si="120"/>
        <v>2.9566907273736813</v>
      </c>
      <c r="AK296" s="31">
        <v>0</v>
      </c>
      <c r="AL296" s="31">
        <v>0</v>
      </c>
      <c r="AM296" s="31">
        <v>0</v>
      </c>
      <c r="AN296" s="31">
        <v>0</v>
      </c>
      <c r="AO296" s="31">
        <v>1000</v>
      </c>
      <c r="AP296" s="31">
        <v>49509</v>
      </c>
      <c r="AQ296" s="31">
        <v>50509</v>
      </c>
      <c r="AR296" s="31">
        <v>55834</v>
      </c>
      <c r="AS296" s="46">
        <f t="shared" si="121"/>
        <v>31.001665741254858</v>
      </c>
      <c r="AT296" s="31">
        <v>0</v>
      </c>
      <c r="AU296" s="31">
        <v>0</v>
      </c>
      <c r="AV296" s="31">
        <v>0</v>
      </c>
      <c r="AW296" s="31">
        <v>0</v>
      </c>
      <c r="AX296" s="31">
        <v>0</v>
      </c>
      <c r="AY296" s="31">
        <v>0</v>
      </c>
      <c r="AZ296" s="31">
        <v>0</v>
      </c>
      <c r="BA296" s="31">
        <v>0</v>
      </c>
      <c r="BB296" s="31">
        <v>0</v>
      </c>
      <c r="BC296" s="33" t="s">
        <v>25</v>
      </c>
      <c r="BD296" s="47">
        <v>17181</v>
      </c>
      <c r="BE296" s="47">
        <v>17242</v>
      </c>
      <c r="BF296" s="45">
        <f t="shared" si="122"/>
        <v>9.5735702387562469</v>
      </c>
      <c r="BG296" s="30">
        <v>793</v>
      </c>
      <c r="BH296" s="30">
        <v>794</v>
      </c>
      <c r="BI296" s="30">
        <v>190</v>
      </c>
      <c r="BJ296" s="30">
        <v>1397</v>
      </c>
      <c r="BK296" s="30">
        <v>1397</v>
      </c>
      <c r="BL296" s="30">
        <v>160</v>
      </c>
      <c r="BM296" s="30">
        <v>1027</v>
      </c>
      <c r="BN296" s="30">
        <v>1</v>
      </c>
      <c r="BO296" s="30">
        <v>51</v>
      </c>
      <c r="BP296" s="30">
        <v>0</v>
      </c>
      <c r="BQ296" s="30">
        <v>52</v>
      </c>
      <c r="BR296" s="47">
        <v>19371</v>
      </c>
      <c r="BS296" s="47">
        <v>20811</v>
      </c>
      <c r="BT296" s="1">
        <f t="shared" si="123"/>
        <v>11.555247084952804</v>
      </c>
      <c r="BU296" s="30">
        <v>20</v>
      </c>
      <c r="BV296" s="30">
        <v>1</v>
      </c>
      <c r="BW296" s="47">
        <v>856</v>
      </c>
      <c r="BX296" s="52">
        <f t="shared" si="124"/>
        <v>0.47529150471960024</v>
      </c>
      <c r="BY296" s="47">
        <v>3914</v>
      </c>
      <c r="BZ296" s="47">
        <v>108</v>
      </c>
      <c r="CA296" s="47">
        <v>5134</v>
      </c>
      <c r="CB296" s="47">
        <v>79966</v>
      </c>
      <c r="CC296" s="47">
        <v>89122</v>
      </c>
      <c r="CD296" s="55">
        <f t="shared" si="125"/>
        <v>49.484730705163798</v>
      </c>
      <c r="CE296" s="3">
        <f t="shared" si="126"/>
        <v>79219.555555555562</v>
      </c>
      <c r="CF296" s="55">
        <f t="shared" si="127"/>
        <v>46.41770833333333</v>
      </c>
      <c r="CG296" s="55">
        <f t="shared" si="128"/>
        <v>4.1878671115079182</v>
      </c>
      <c r="CH296" s="55">
        <f t="shared" si="129"/>
        <v>0.43477007351881214</v>
      </c>
      <c r="CI296" s="30">
        <v>102</v>
      </c>
      <c r="CJ296" s="30">
        <v>0</v>
      </c>
      <c r="CK296" s="30">
        <v>9</v>
      </c>
      <c r="CL296" s="30">
        <v>111</v>
      </c>
      <c r="CM296" s="30">
        <v>3505</v>
      </c>
      <c r="CN296" s="30">
        <v>0</v>
      </c>
      <c r="CO296" s="30">
        <v>54</v>
      </c>
      <c r="CP296" s="30">
        <v>3559</v>
      </c>
      <c r="CQ296" s="1">
        <f t="shared" si="137"/>
        <v>1.9761243753470294</v>
      </c>
      <c r="CR296" s="47">
        <v>21281</v>
      </c>
      <c r="CS296" s="55">
        <f t="shared" si="130"/>
        <v>11.816213214880621</v>
      </c>
      <c r="CT296" s="59">
        <v>2390</v>
      </c>
      <c r="CU296" s="29" t="s">
        <v>25</v>
      </c>
      <c r="CV296" s="29" t="s">
        <v>25</v>
      </c>
      <c r="CW296" s="29" t="s">
        <v>25</v>
      </c>
      <c r="CX296" s="35">
        <v>0</v>
      </c>
      <c r="CY296" s="49">
        <v>0</v>
      </c>
      <c r="CZ296" s="35">
        <v>1.05</v>
      </c>
      <c r="DA296" s="35">
        <v>7.4999999999999997E-2</v>
      </c>
      <c r="DB296" s="35">
        <v>1.125</v>
      </c>
      <c r="DC296" s="49">
        <f t="shared" si="131"/>
        <v>1600.8888888888889</v>
      </c>
      <c r="DD296" s="30">
        <v>3128</v>
      </c>
      <c r="DE296" s="31">
        <v>14625</v>
      </c>
      <c r="DF296" s="35">
        <v>21</v>
      </c>
      <c r="DG296" s="29" t="s">
        <v>25</v>
      </c>
      <c r="DH296" s="29" t="s">
        <v>25</v>
      </c>
      <c r="DI296" s="29" t="s">
        <v>25</v>
      </c>
      <c r="DJ296" s="47">
        <v>4</v>
      </c>
      <c r="DK296" s="47">
        <v>34</v>
      </c>
      <c r="DL296" s="47">
        <v>12</v>
      </c>
      <c r="DM296" s="47">
        <v>6600</v>
      </c>
      <c r="DN296" s="47">
        <v>301</v>
      </c>
      <c r="DO296" s="47">
        <v>-1</v>
      </c>
      <c r="DP296" s="29" t="s">
        <v>25</v>
      </c>
      <c r="DQ296" s="47">
        <v>1368</v>
      </c>
      <c r="DR296" s="47">
        <v>1920</v>
      </c>
      <c r="DS296" s="30">
        <v>48</v>
      </c>
      <c r="DT296" s="30">
        <v>40</v>
      </c>
      <c r="DU296" s="30">
        <v>40</v>
      </c>
      <c r="DV296" s="30">
        <v>40</v>
      </c>
      <c r="DX296" s="2">
        <f t="shared" si="132"/>
        <v>1920</v>
      </c>
      <c r="DY296" s="33" t="s">
        <v>2187</v>
      </c>
      <c r="DZ296" s="33" t="s">
        <v>1618</v>
      </c>
      <c r="EA296" s="33" t="s">
        <v>2031</v>
      </c>
      <c r="EB296" s="33" t="s">
        <v>2027</v>
      </c>
      <c r="EC296" s="36">
        <v>544</v>
      </c>
      <c r="ED296" s="29" t="s">
        <v>1617</v>
      </c>
      <c r="EE296" s="29" t="s">
        <v>1616</v>
      </c>
      <c r="EF296" s="37">
        <v>41518</v>
      </c>
      <c r="EG296" s="37">
        <v>41882</v>
      </c>
      <c r="EH296" s="29" t="s">
        <v>1617</v>
      </c>
      <c r="EI296" s="55">
        <f t="shared" si="133"/>
        <v>2.1732370905052747</v>
      </c>
      <c r="EJ296" s="54">
        <f t="shared" si="134"/>
        <v>5.9966685174902834E-2</v>
      </c>
      <c r="EK296" s="55">
        <f t="shared" si="135"/>
        <v>2.8506385341476959</v>
      </c>
      <c r="EL296" s="54">
        <f t="shared" si="136"/>
        <v>44.400888395335926</v>
      </c>
    </row>
    <row r="297" spans="1:142" ht="28.8" x14ac:dyDescent="0.3">
      <c r="A297" s="29" t="s">
        <v>1560</v>
      </c>
      <c r="B297" s="29"/>
      <c r="C297" s="30">
        <v>31717</v>
      </c>
      <c r="D297" s="30">
        <v>0</v>
      </c>
      <c r="E297" s="30">
        <v>0</v>
      </c>
      <c r="F297" s="30">
        <v>18000</v>
      </c>
      <c r="H297" s="2">
        <f t="shared" si="112"/>
        <v>18000</v>
      </c>
      <c r="I297" s="1">
        <f t="shared" si="111"/>
        <v>0.56751899612195356</v>
      </c>
      <c r="J297" s="31">
        <v>213696</v>
      </c>
      <c r="K297" s="31">
        <v>121990</v>
      </c>
      <c r="L297" s="31">
        <v>335686</v>
      </c>
      <c r="M297" s="45">
        <f t="shared" si="113"/>
        <v>10.583787874010783</v>
      </c>
      <c r="N297" s="31">
        <v>55296</v>
      </c>
      <c r="O297" s="31">
        <v>23297</v>
      </c>
      <c r="P297" s="31">
        <v>19318</v>
      </c>
      <c r="Q297" s="31">
        <v>97911</v>
      </c>
      <c r="R297" s="45">
        <f t="shared" si="114"/>
        <v>3.0870195794053661</v>
      </c>
      <c r="S297" s="31">
        <v>72870</v>
      </c>
      <c r="T297" s="31">
        <v>506467</v>
      </c>
      <c r="U297" s="31">
        <v>0</v>
      </c>
      <c r="V297" s="31">
        <v>506467</v>
      </c>
      <c r="W297" s="45">
        <f t="shared" si="115"/>
        <v>15.968313522716524</v>
      </c>
      <c r="X297" s="4">
        <f t="shared" si="116"/>
        <v>0.66279935316614902</v>
      </c>
      <c r="Y297" s="4">
        <f t="shared" si="117"/>
        <v>0.19332157870108022</v>
      </c>
      <c r="Z297" s="4">
        <f t="shared" si="118"/>
        <v>0.14387906813277074</v>
      </c>
      <c r="AA297" s="4">
        <f t="shared" si="119"/>
        <v>0</v>
      </c>
      <c r="AB297" s="31">
        <v>0</v>
      </c>
      <c r="AC297" s="31">
        <v>97911</v>
      </c>
      <c r="AD297" s="31">
        <v>506297</v>
      </c>
      <c r="AE297" s="31">
        <v>499647</v>
      </c>
      <c r="AF297" s="31">
        <v>507750</v>
      </c>
      <c r="AG297" s="31">
        <v>0</v>
      </c>
      <c r="AH297" s="31">
        <v>0</v>
      </c>
      <c r="AI297" s="31">
        <v>507750</v>
      </c>
      <c r="AJ297" s="45">
        <f t="shared" si="120"/>
        <v>16.008765015606773</v>
      </c>
      <c r="AK297" s="31">
        <v>0</v>
      </c>
      <c r="AL297" s="31">
        <v>0</v>
      </c>
      <c r="AM297" s="31">
        <v>0</v>
      </c>
      <c r="AN297" s="31">
        <v>0</v>
      </c>
      <c r="AO297" s="31">
        <v>0</v>
      </c>
      <c r="AP297" s="31">
        <v>6799</v>
      </c>
      <c r="AQ297" s="31">
        <v>6799</v>
      </c>
      <c r="AR297" s="31">
        <v>514549</v>
      </c>
      <c r="AS297" s="46">
        <f t="shared" si="121"/>
        <v>16.22312955197528</v>
      </c>
      <c r="AT297" s="31">
        <v>0</v>
      </c>
      <c r="AU297" s="31">
        <v>0</v>
      </c>
      <c r="AV297" s="31">
        <v>0</v>
      </c>
      <c r="AW297" s="31">
        <v>0</v>
      </c>
      <c r="AX297" s="31">
        <v>0</v>
      </c>
      <c r="AY297" s="31">
        <v>0</v>
      </c>
      <c r="AZ297" s="31">
        <v>0</v>
      </c>
      <c r="BA297" s="31">
        <v>0</v>
      </c>
      <c r="BB297" s="31">
        <v>0</v>
      </c>
      <c r="BC297" s="33" t="s">
        <v>25</v>
      </c>
      <c r="BD297" s="47">
        <v>37015</v>
      </c>
      <c r="BE297" s="47">
        <v>38331</v>
      </c>
      <c r="BF297" s="45">
        <f t="shared" si="122"/>
        <v>1.2085317022417001</v>
      </c>
      <c r="BG297" s="30">
        <v>3971</v>
      </c>
      <c r="BH297" s="30">
        <v>4122</v>
      </c>
      <c r="BI297" s="30">
        <v>6479</v>
      </c>
      <c r="BJ297" s="30">
        <v>3402</v>
      </c>
      <c r="BK297" s="30">
        <v>3664</v>
      </c>
      <c r="BL297" s="30">
        <v>76</v>
      </c>
      <c r="BM297" s="30">
        <v>7014</v>
      </c>
      <c r="BN297" s="30">
        <v>7</v>
      </c>
      <c r="BO297" s="30">
        <v>51</v>
      </c>
      <c r="BP297" s="30">
        <v>0</v>
      </c>
      <c r="BQ297" s="30">
        <v>58</v>
      </c>
      <c r="BR297" s="47">
        <v>44388</v>
      </c>
      <c r="BS297" s="47">
        <v>59693</v>
      </c>
      <c r="BT297" s="1">
        <f t="shared" si="123"/>
        <v>1.8820506353059874</v>
      </c>
      <c r="BU297" s="30">
        <v>94</v>
      </c>
      <c r="BV297" s="30">
        <v>0</v>
      </c>
      <c r="BW297" s="47">
        <v>5103</v>
      </c>
      <c r="BX297" s="52">
        <f t="shared" si="124"/>
        <v>0.16089163540057383</v>
      </c>
      <c r="BY297" s="47">
        <v>79362</v>
      </c>
      <c r="BZ297" s="47">
        <v>760</v>
      </c>
      <c r="CA297" s="47">
        <v>57359</v>
      </c>
      <c r="CB297" s="47">
        <v>3553</v>
      </c>
      <c r="CC297" s="47">
        <v>141034</v>
      </c>
      <c r="CD297" s="55">
        <f t="shared" si="125"/>
        <v>4.4466374499479775</v>
      </c>
      <c r="CE297" s="3">
        <f t="shared" si="126"/>
        <v>18316.103896103894</v>
      </c>
      <c r="CF297" s="55">
        <f t="shared" si="127"/>
        <v>37.79046087888532</v>
      </c>
      <c r="CG297" s="55">
        <f t="shared" si="128"/>
        <v>0.94977507205775391</v>
      </c>
      <c r="CH297" s="55">
        <f t="shared" si="129"/>
        <v>2.2904025597641264</v>
      </c>
      <c r="CI297" s="30">
        <v>381</v>
      </c>
      <c r="CJ297" s="30">
        <v>34</v>
      </c>
      <c r="CK297" s="30">
        <v>231</v>
      </c>
      <c r="CL297" s="30">
        <v>646</v>
      </c>
      <c r="CM297" s="30">
        <v>6982</v>
      </c>
      <c r="CN297" s="30">
        <v>567</v>
      </c>
      <c r="CO297" s="30">
        <v>1172</v>
      </c>
      <c r="CP297" s="30">
        <v>8721</v>
      </c>
      <c r="CQ297" s="1">
        <f t="shared" si="137"/>
        <v>0.27496295362108647</v>
      </c>
      <c r="CR297" s="47">
        <v>148492</v>
      </c>
      <c r="CS297" s="55">
        <f t="shared" si="130"/>
        <v>4.6817794873411733</v>
      </c>
      <c r="CT297" s="59">
        <v>24197</v>
      </c>
      <c r="CU297" s="29" t="s">
        <v>25</v>
      </c>
      <c r="CV297" s="29" t="s">
        <v>25</v>
      </c>
      <c r="CW297" s="29" t="s">
        <v>25</v>
      </c>
      <c r="CX297" s="35">
        <v>2.7</v>
      </c>
      <c r="CY297" s="49">
        <f>C297/CX297</f>
        <v>11747.037037037036</v>
      </c>
      <c r="CZ297" s="35">
        <v>0</v>
      </c>
      <c r="DA297" s="35">
        <v>5</v>
      </c>
      <c r="DB297" s="35">
        <v>7.7</v>
      </c>
      <c r="DC297" s="49">
        <f t="shared" si="131"/>
        <v>4119.090909090909</v>
      </c>
      <c r="DD297" s="30">
        <v>813</v>
      </c>
      <c r="DE297" s="31">
        <v>50440</v>
      </c>
      <c r="DF297" s="35">
        <v>40</v>
      </c>
      <c r="DG297" s="29" t="s">
        <v>25</v>
      </c>
      <c r="DH297" s="29" t="s">
        <v>25</v>
      </c>
      <c r="DI297" s="29" t="s">
        <v>25</v>
      </c>
      <c r="DJ297" s="47">
        <v>194</v>
      </c>
      <c r="DK297" s="47">
        <v>151</v>
      </c>
      <c r="DL297" s="47">
        <v>24</v>
      </c>
      <c r="DM297" s="47">
        <v>20395</v>
      </c>
      <c r="DN297" s="47">
        <v>750</v>
      </c>
      <c r="DO297" s="47">
        <v>0</v>
      </c>
      <c r="DP297" s="29" t="s">
        <v>2028</v>
      </c>
      <c r="DQ297" s="47">
        <v>0</v>
      </c>
      <c r="DR297" s="47">
        <v>3732</v>
      </c>
      <c r="DS297" s="30">
        <v>52</v>
      </c>
      <c r="DT297" s="30">
        <v>74</v>
      </c>
      <c r="DU297" s="30">
        <v>74</v>
      </c>
      <c r="DV297" s="30">
        <v>74</v>
      </c>
      <c r="DX297" s="2">
        <f t="shared" si="132"/>
        <v>3732</v>
      </c>
      <c r="DY297" s="33" t="s">
        <v>2186</v>
      </c>
      <c r="DZ297" s="33" t="s">
        <v>1562</v>
      </c>
      <c r="EA297" s="33" t="s">
        <v>2030</v>
      </c>
      <c r="EB297" s="33" t="s">
        <v>2027</v>
      </c>
      <c r="EC297" s="36">
        <v>510</v>
      </c>
      <c r="ED297" s="29" t="s">
        <v>1561</v>
      </c>
      <c r="EE297" s="29" t="s">
        <v>280</v>
      </c>
      <c r="EF297" s="37">
        <v>41548</v>
      </c>
      <c r="EG297" s="37">
        <v>41912</v>
      </c>
      <c r="EH297" s="29" t="s">
        <v>1561</v>
      </c>
      <c r="EI297" s="55">
        <f t="shared" si="133"/>
        <v>2.5021912539016933</v>
      </c>
      <c r="EJ297" s="54">
        <f t="shared" si="134"/>
        <v>2.3961913169593594E-2</v>
      </c>
      <c r="EK297" s="55">
        <f t="shared" si="135"/>
        <v>1.8084623388088408</v>
      </c>
      <c r="EL297" s="54">
        <f t="shared" si="136"/>
        <v>0.11202194406785004</v>
      </c>
    </row>
    <row r="298" spans="1:142" ht="28.8" x14ac:dyDescent="0.3">
      <c r="A298" s="29" t="s">
        <v>801</v>
      </c>
      <c r="B298" s="29"/>
      <c r="C298" s="30">
        <v>1968</v>
      </c>
      <c r="D298" s="30">
        <v>0</v>
      </c>
      <c r="E298" s="30">
        <v>0</v>
      </c>
      <c r="F298" s="30">
        <v>3330</v>
      </c>
      <c r="H298" s="2">
        <f t="shared" si="112"/>
        <v>3330</v>
      </c>
      <c r="I298" s="1">
        <f t="shared" si="111"/>
        <v>1.6920731707317074</v>
      </c>
      <c r="J298" s="31">
        <v>22690</v>
      </c>
      <c r="K298" s="31">
        <v>3038</v>
      </c>
      <c r="L298" s="31">
        <v>25728</v>
      </c>
      <c r="M298" s="45">
        <f t="shared" si="113"/>
        <v>13.073170731707316</v>
      </c>
      <c r="N298" s="31">
        <v>4055</v>
      </c>
      <c r="O298" s="31">
        <v>0</v>
      </c>
      <c r="P298" s="31">
        <v>789</v>
      </c>
      <c r="Q298" s="31">
        <v>4844</v>
      </c>
      <c r="R298" s="45">
        <f t="shared" si="114"/>
        <v>2.4613821138211383</v>
      </c>
      <c r="S298" s="31">
        <v>6899</v>
      </c>
      <c r="T298" s="31">
        <v>37471</v>
      </c>
      <c r="U298" s="31">
        <v>0</v>
      </c>
      <c r="V298" s="31">
        <v>37471</v>
      </c>
      <c r="W298" s="45">
        <f t="shared" si="115"/>
        <v>19.040142276422763</v>
      </c>
      <c r="X298" s="4">
        <f t="shared" si="116"/>
        <v>0.68661097915721492</v>
      </c>
      <c r="Y298" s="4">
        <f t="shared" si="117"/>
        <v>0.12927330468895945</v>
      </c>
      <c r="Z298" s="4">
        <f t="shared" si="118"/>
        <v>0.18411571615382563</v>
      </c>
      <c r="AA298" s="4">
        <f t="shared" si="119"/>
        <v>0</v>
      </c>
      <c r="AB298" s="31">
        <v>0</v>
      </c>
      <c r="AC298" s="31">
        <v>4844</v>
      </c>
      <c r="AD298" s="31">
        <v>32627</v>
      </c>
      <c r="AE298" s="31">
        <v>32627</v>
      </c>
      <c r="AF298" s="31">
        <v>32627</v>
      </c>
      <c r="AG298" s="31">
        <v>0</v>
      </c>
      <c r="AH298" s="31">
        <v>0</v>
      </c>
      <c r="AI298" s="31">
        <v>32627</v>
      </c>
      <c r="AJ298" s="45">
        <f t="shared" si="120"/>
        <v>16.578760162601625</v>
      </c>
      <c r="AK298" s="31">
        <v>0</v>
      </c>
      <c r="AL298" s="31">
        <v>0</v>
      </c>
      <c r="AM298" s="31">
        <v>0</v>
      </c>
      <c r="AN298" s="31">
        <v>0</v>
      </c>
      <c r="AO298" s="31">
        <v>0</v>
      </c>
      <c r="AP298" s="31">
        <v>4844</v>
      </c>
      <c r="AQ298" s="31">
        <v>4844</v>
      </c>
      <c r="AR298" s="31">
        <v>37471</v>
      </c>
      <c r="AS298" s="46">
        <f t="shared" si="121"/>
        <v>19.040142276422763</v>
      </c>
      <c r="AT298" s="31">
        <v>0</v>
      </c>
      <c r="AU298" s="31">
        <v>0</v>
      </c>
      <c r="AV298" s="31">
        <v>0</v>
      </c>
      <c r="AW298" s="31">
        <v>0</v>
      </c>
      <c r="AX298" s="31">
        <v>0</v>
      </c>
      <c r="AY298" s="31">
        <v>0</v>
      </c>
      <c r="AZ298" s="31">
        <v>0</v>
      </c>
      <c r="BA298" s="31">
        <v>0</v>
      </c>
      <c r="BB298" s="31">
        <v>0</v>
      </c>
      <c r="BC298" s="33" t="s">
        <v>25</v>
      </c>
      <c r="BD298" s="47">
        <v>14924</v>
      </c>
      <c r="BE298" s="47">
        <v>15166</v>
      </c>
      <c r="BF298" s="45">
        <f t="shared" si="122"/>
        <v>7.7063008130081299</v>
      </c>
      <c r="BG298" s="30">
        <v>397</v>
      </c>
      <c r="BH298" s="30">
        <v>399</v>
      </c>
      <c r="BI298" s="30">
        <v>0</v>
      </c>
      <c r="BJ298" s="30">
        <v>1476</v>
      </c>
      <c r="BK298" s="30">
        <v>1616</v>
      </c>
      <c r="BL298" s="30">
        <v>0</v>
      </c>
      <c r="BM298" s="30">
        <v>0</v>
      </c>
      <c r="BN298" s="30">
        <v>0</v>
      </c>
      <c r="BO298" s="30">
        <v>51</v>
      </c>
      <c r="BP298" s="30">
        <v>0</v>
      </c>
      <c r="BQ298" s="30">
        <v>51</v>
      </c>
      <c r="BR298" s="47">
        <v>16797</v>
      </c>
      <c r="BS298" s="47">
        <v>17181</v>
      </c>
      <c r="BT298" s="1">
        <f t="shared" si="123"/>
        <v>8.7301829268292686</v>
      </c>
      <c r="BU298" s="30">
        <v>5</v>
      </c>
      <c r="BV298" s="30">
        <v>5</v>
      </c>
      <c r="BW298" s="47">
        <v>161</v>
      </c>
      <c r="BX298" s="52">
        <f t="shared" si="124"/>
        <v>8.1808943089430888E-2</v>
      </c>
      <c r="BY298" s="47">
        <v>2705</v>
      </c>
      <c r="BZ298" s="47">
        <v>0</v>
      </c>
      <c r="CA298" s="47">
        <v>7434</v>
      </c>
      <c r="CB298" s="47">
        <v>0</v>
      </c>
      <c r="CC298" s="47">
        <v>10139</v>
      </c>
      <c r="CD298" s="55">
        <f t="shared" si="125"/>
        <v>5.1519308943089435</v>
      </c>
      <c r="CE298" s="3">
        <f t="shared" si="126"/>
        <v>8449.1666666666679</v>
      </c>
      <c r="CF298" s="55">
        <f t="shared" si="127"/>
        <v>7.2421428571428574</v>
      </c>
      <c r="CG298" s="55">
        <f t="shared" si="128"/>
        <v>1.1711909437449464</v>
      </c>
      <c r="CH298" s="55">
        <f t="shared" si="129"/>
        <v>0.59012863046388453</v>
      </c>
      <c r="CI298" s="30">
        <v>3</v>
      </c>
      <c r="CJ298" s="30">
        <v>0</v>
      </c>
      <c r="CK298" s="30">
        <v>0</v>
      </c>
      <c r="CL298" s="30">
        <v>3</v>
      </c>
      <c r="CM298" s="30">
        <v>429</v>
      </c>
      <c r="CN298" s="30">
        <v>0</v>
      </c>
      <c r="CO298" s="30">
        <v>0</v>
      </c>
      <c r="CP298" s="30">
        <v>429</v>
      </c>
      <c r="CQ298" s="1">
        <f t="shared" si="137"/>
        <v>0.21798780487804878</v>
      </c>
      <c r="CR298" s="47">
        <v>8657</v>
      </c>
      <c r="CS298" s="55">
        <f t="shared" si="130"/>
        <v>4.3988821138211378</v>
      </c>
      <c r="CT298" s="59">
        <v>3919</v>
      </c>
      <c r="CU298" s="29" t="s">
        <v>25</v>
      </c>
      <c r="CV298" s="29" t="s">
        <v>25</v>
      </c>
      <c r="CW298" s="29" t="s">
        <v>25</v>
      </c>
      <c r="CX298" s="35">
        <v>0</v>
      </c>
      <c r="CY298" s="49">
        <v>0</v>
      </c>
      <c r="CZ298" s="35">
        <v>0.7</v>
      </c>
      <c r="DA298" s="35">
        <v>0.5</v>
      </c>
      <c r="DB298" s="35">
        <v>1.2</v>
      </c>
      <c r="DC298" s="49">
        <f t="shared" si="131"/>
        <v>1640</v>
      </c>
      <c r="DD298" s="30">
        <v>156</v>
      </c>
      <c r="DE298" s="31">
        <v>13900</v>
      </c>
      <c r="DF298" s="35">
        <v>28</v>
      </c>
      <c r="DG298" s="29" t="s">
        <v>25</v>
      </c>
      <c r="DH298" s="29" t="s">
        <v>26</v>
      </c>
      <c r="DI298" s="29" t="s">
        <v>26</v>
      </c>
      <c r="DJ298" s="47">
        <v>0</v>
      </c>
      <c r="DK298" s="47">
        <v>0</v>
      </c>
      <c r="DL298" s="47">
        <v>7</v>
      </c>
      <c r="DM298" s="47">
        <v>1349</v>
      </c>
      <c r="DN298" s="47">
        <v>2</v>
      </c>
      <c r="DO298" s="47">
        <v>388</v>
      </c>
      <c r="DP298" s="29" t="s">
        <v>2028</v>
      </c>
      <c r="DQ298" s="47">
        <v>0</v>
      </c>
      <c r="DR298" s="47">
        <v>1400</v>
      </c>
      <c r="DS298" s="30">
        <v>50</v>
      </c>
      <c r="DT298" s="30">
        <v>28</v>
      </c>
      <c r="DU298" s="30">
        <v>28</v>
      </c>
      <c r="DV298" s="30">
        <v>28</v>
      </c>
      <c r="DX298" s="2">
        <f t="shared" si="132"/>
        <v>1400</v>
      </c>
      <c r="DY298" s="33" t="s">
        <v>2182</v>
      </c>
      <c r="DZ298" s="33" t="s">
        <v>1450</v>
      </c>
      <c r="EA298" s="33" t="s">
        <v>2030</v>
      </c>
      <c r="EB298" s="33" t="s">
        <v>2027</v>
      </c>
      <c r="EC298" s="36">
        <v>456</v>
      </c>
      <c r="ED298" s="29" t="s">
        <v>1449</v>
      </c>
      <c r="EE298" s="29" t="s">
        <v>180</v>
      </c>
      <c r="EF298" s="37">
        <v>41640</v>
      </c>
      <c r="EG298" s="37">
        <v>42004</v>
      </c>
      <c r="EH298" s="29" t="s">
        <v>1449</v>
      </c>
      <c r="EI298" s="55">
        <f t="shared" si="133"/>
        <v>1.3744918699186992</v>
      </c>
      <c r="EJ298" s="54">
        <f t="shared" si="134"/>
        <v>0</v>
      </c>
      <c r="EK298" s="55">
        <f t="shared" si="135"/>
        <v>3.7774390243902438</v>
      </c>
      <c r="EL298" s="54">
        <f t="shared" si="136"/>
        <v>0</v>
      </c>
    </row>
    <row r="299" spans="1:142" ht="28.8" x14ac:dyDescent="0.3">
      <c r="A299" s="29" t="s">
        <v>815</v>
      </c>
      <c r="B299" s="29"/>
      <c r="C299" s="30">
        <v>10808</v>
      </c>
      <c r="D299" s="30">
        <v>0</v>
      </c>
      <c r="E299" s="30">
        <v>0</v>
      </c>
      <c r="F299" s="30">
        <v>10000</v>
      </c>
      <c r="H299" s="2">
        <f t="shared" si="112"/>
        <v>10000</v>
      </c>
      <c r="I299" s="1">
        <f t="shared" si="111"/>
        <v>0.92524056254626208</v>
      </c>
      <c r="J299" s="31">
        <v>157887</v>
      </c>
      <c r="K299" s="31">
        <v>54069</v>
      </c>
      <c r="L299" s="31">
        <v>211956</v>
      </c>
      <c r="M299" s="45">
        <f t="shared" si="113"/>
        <v>19.611028867505553</v>
      </c>
      <c r="N299" s="31">
        <v>16040</v>
      </c>
      <c r="O299" s="31">
        <v>1288</v>
      </c>
      <c r="P299" s="31">
        <v>7596</v>
      </c>
      <c r="Q299" s="31">
        <v>24924</v>
      </c>
      <c r="R299" s="45">
        <f t="shared" si="114"/>
        <v>2.3060695780903036</v>
      </c>
      <c r="S299" s="31">
        <v>62816</v>
      </c>
      <c r="T299" s="31">
        <v>299696</v>
      </c>
      <c r="U299" s="31">
        <v>0</v>
      </c>
      <c r="V299" s="31">
        <v>299696</v>
      </c>
      <c r="W299" s="45">
        <f t="shared" si="115"/>
        <v>27.729089563286454</v>
      </c>
      <c r="X299" s="4">
        <f t="shared" si="116"/>
        <v>0.70723666648870853</v>
      </c>
      <c r="Y299" s="4">
        <f t="shared" si="117"/>
        <v>8.3164273130105174E-2</v>
      </c>
      <c r="Z299" s="4">
        <f t="shared" si="118"/>
        <v>0.20959906038118628</v>
      </c>
      <c r="AA299" s="4">
        <f t="shared" si="119"/>
        <v>0</v>
      </c>
      <c r="AB299" s="31">
        <v>0</v>
      </c>
      <c r="AC299" s="31">
        <v>24924</v>
      </c>
      <c r="AD299" s="31">
        <v>299396</v>
      </c>
      <c r="AE299" s="31">
        <v>288871</v>
      </c>
      <c r="AF299" s="31">
        <v>288871</v>
      </c>
      <c r="AG299" s="31">
        <v>0</v>
      </c>
      <c r="AH299" s="31">
        <v>0</v>
      </c>
      <c r="AI299" s="31">
        <v>288871</v>
      </c>
      <c r="AJ299" s="45">
        <f t="shared" si="120"/>
        <v>26.727516654330127</v>
      </c>
      <c r="AK299" s="31">
        <v>0</v>
      </c>
      <c r="AL299" s="31">
        <v>0</v>
      </c>
      <c r="AM299" s="31">
        <v>0</v>
      </c>
      <c r="AN299" s="31">
        <v>0</v>
      </c>
      <c r="AO299" s="31">
        <v>300</v>
      </c>
      <c r="AP299" s="31">
        <v>10525</v>
      </c>
      <c r="AQ299" s="31">
        <v>10825</v>
      </c>
      <c r="AR299" s="31">
        <v>299696</v>
      </c>
      <c r="AS299" s="46">
        <f t="shared" si="121"/>
        <v>27.729089563286454</v>
      </c>
      <c r="AT299" s="31">
        <v>0</v>
      </c>
      <c r="AU299" s="31">
        <v>0</v>
      </c>
      <c r="AV299" s="31">
        <v>0</v>
      </c>
      <c r="AW299" s="31">
        <v>0</v>
      </c>
      <c r="AX299" s="31">
        <v>0</v>
      </c>
      <c r="AY299" s="31">
        <v>0</v>
      </c>
      <c r="AZ299" s="31">
        <v>0</v>
      </c>
      <c r="BA299" s="31">
        <v>0</v>
      </c>
      <c r="BB299" s="31">
        <v>0</v>
      </c>
      <c r="BC299" s="33" t="s">
        <v>25</v>
      </c>
      <c r="BD299" s="47">
        <v>48985</v>
      </c>
      <c r="BE299" s="47">
        <v>52280</v>
      </c>
      <c r="BF299" s="45">
        <f t="shared" si="122"/>
        <v>4.8371576609918581</v>
      </c>
      <c r="BG299" s="30">
        <v>1750</v>
      </c>
      <c r="BH299" s="30">
        <v>1770</v>
      </c>
      <c r="BI299" s="30">
        <v>288</v>
      </c>
      <c r="BJ299" s="30">
        <v>3375</v>
      </c>
      <c r="BK299" s="30">
        <v>3525</v>
      </c>
      <c r="BL299" s="30">
        <v>0</v>
      </c>
      <c r="BM299" s="30">
        <v>88</v>
      </c>
      <c r="BN299" s="30">
        <v>3</v>
      </c>
      <c r="BO299" s="30">
        <v>51</v>
      </c>
      <c r="BP299" s="30">
        <v>1</v>
      </c>
      <c r="BQ299" s="30">
        <v>55</v>
      </c>
      <c r="BR299" s="47">
        <v>54110</v>
      </c>
      <c r="BS299" s="47">
        <v>57954</v>
      </c>
      <c r="BT299" s="1">
        <f t="shared" si="123"/>
        <v>5.3621391561806071</v>
      </c>
      <c r="BU299" s="30">
        <v>42</v>
      </c>
      <c r="BV299" s="30">
        <v>4</v>
      </c>
      <c r="BW299" s="47">
        <v>7000</v>
      </c>
      <c r="BX299" s="52">
        <f t="shared" si="124"/>
        <v>0.64766839378238339</v>
      </c>
      <c r="BY299" s="47">
        <v>9914</v>
      </c>
      <c r="BZ299" s="47">
        <v>0</v>
      </c>
      <c r="CA299" s="47">
        <v>20213</v>
      </c>
      <c r="CB299" s="47">
        <v>58</v>
      </c>
      <c r="CC299" s="47">
        <v>30185</v>
      </c>
      <c r="CD299" s="55">
        <f t="shared" si="125"/>
        <v>2.7928386380458918</v>
      </c>
      <c r="CE299" s="3">
        <f t="shared" si="126"/>
        <v>6939.0804597701153</v>
      </c>
      <c r="CF299" s="55">
        <f t="shared" si="127"/>
        <v>15.092499999999999</v>
      </c>
      <c r="CG299" s="55">
        <f t="shared" si="128"/>
        <v>0.37103733113714304</v>
      </c>
      <c r="CH299" s="55">
        <f t="shared" si="129"/>
        <v>0.51984332401559863</v>
      </c>
      <c r="CI299" s="30">
        <v>70</v>
      </c>
      <c r="CJ299" s="30">
        <v>5</v>
      </c>
      <c r="CK299" s="30">
        <v>8</v>
      </c>
      <c r="CL299" s="30">
        <v>83</v>
      </c>
      <c r="CM299" s="30">
        <v>2194</v>
      </c>
      <c r="CN299" s="30">
        <v>22</v>
      </c>
      <c r="CO299" s="30">
        <v>275</v>
      </c>
      <c r="CP299" s="30">
        <v>2491</v>
      </c>
      <c r="CQ299" s="1">
        <f t="shared" si="137"/>
        <v>0.23047742413027386</v>
      </c>
      <c r="CR299" s="47">
        <v>81353</v>
      </c>
      <c r="CS299" s="55">
        <f t="shared" si="130"/>
        <v>7.5271095484826054</v>
      </c>
      <c r="CT299" s="59">
        <v>4348</v>
      </c>
      <c r="CU299" s="29" t="s">
        <v>25</v>
      </c>
      <c r="CV299" s="29" t="s">
        <v>25</v>
      </c>
      <c r="CW299" s="29" t="s">
        <v>25</v>
      </c>
      <c r="CX299" s="35">
        <v>2</v>
      </c>
      <c r="CY299" s="49">
        <f>C299/CX299</f>
        <v>5404</v>
      </c>
      <c r="CZ299" s="35">
        <v>0</v>
      </c>
      <c r="DA299" s="35">
        <v>2.35</v>
      </c>
      <c r="DB299" s="35">
        <v>4.3499999999999996</v>
      </c>
      <c r="DC299" s="49">
        <f t="shared" si="131"/>
        <v>2484.5977011494256</v>
      </c>
      <c r="DD299" s="30">
        <v>2531</v>
      </c>
      <c r="DE299" s="31">
        <v>64250</v>
      </c>
      <c r="DF299" s="35">
        <v>40</v>
      </c>
      <c r="DG299" s="29" t="s">
        <v>25</v>
      </c>
      <c r="DH299" s="29" t="s">
        <v>25</v>
      </c>
      <c r="DI299" s="29" t="s">
        <v>25</v>
      </c>
      <c r="DJ299" s="47">
        <v>168</v>
      </c>
      <c r="DK299" s="47">
        <v>12</v>
      </c>
      <c r="DL299" s="47">
        <v>7</v>
      </c>
      <c r="DM299" s="47">
        <v>6266</v>
      </c>
      <c r="DN299" s="47">
        <v>975</v>
      </c>
      <c r="DO299" s="47">
        <v>27021</v>
      </c>
      <c r="DP299" s="29" t="s">
        <v>25</v>
      </c>
      <c r="DQ299" s="47">
        <v>8264</v>
      </c>
      <c r="DR299" s="47">
        <v>2000</v>
      </c>
      <c r="DS299" s="30">
        <v>52</v>
      </c>
      <c r="DT299" s="30">
        <v>40</v>
      </c>
      <c r="DU299" s="30">
        <v>40</v>
      </c>
      <c r="DV299" s="30">
        <v>40</v>
      </c>
      <c r="DX299" s="2">
        <f t="shared" si="132"/>
        <v>2000</v>
      </c>
      <c r="DY299" s="33" t="s">
        <v>2187</v>
      </c>
      <c r="DZ299" s="33" t="s">
        <v>816</v>
      </c>
      <c r="EA299" s="33" t="s">
        <v>2030</v>
      </c>
      <c r="EB299" s="33" t="s">
        <v>2027</v>
      </c>
      <c r="EC299" s="36">
        <v>230</v>
      </c>
      <c r="ED299" s="29" t="s">
        <v>813</v>
      </c>
      <c r="EE299" s="29" t="s">
        <v>814</v>
      </c>
      <c r="EF299" s="37">
        <v>41548</v>
      </c>
      <c r="EG299" s="37">
        <v>41912</v>
      </c>
      <c r="EH299" s="29" t="s">
        <v>813</v>
      </c>
      <c r="EI299" s="55">
        <f t="shared" si="133"/>
        <v>0.91728349370836415</v>
      </c>
      <c r="EJ299" s="54">
        <f t="shared" si="134"/>
        <v>0</v>
      </c>
      <c r="EK299" s="55">
        <f t="shared" si="135"/>
        <v>1.8701887490747595</v>
      </c>
      <c r="EL299" s="54">
        <f t="shared" si="136"/>
        <v>5.3663952627683196E-3</v>
      </c>
    </row>
    <row r="300" spans="1:142" ht="28.8" x14ac:dyDescent="0.3">
      <c r="A300" s="29" t="s">
        <v>817</v>
      </c>
      <c r="B300" s="29"/>
      <c r="C300" s="30">
        <v>23530</v>
      </c>
      <c r="D300" s="30">
        <v>1</v>
      </c>
      <c r="E300" s="30">
        <v>0</v>
      </c>
      <c r="F300" s="30">
        <v>3363</v>
      </c>
      <c r="G300">
        <v>1287</v>
      </c>
      <c r="H300" s="2">
        <f t="shared" si="112"/>
        <v>4650</v>
      </c>
      <c r="I300" s="1">
        <f t="shared" si="111"/>
        <v>0.19762005949851252</v>
      </c>
      <c r="J300" s="31">
        <v>128593</v>
      </c>
      <c r="K300" s="31">
        <v>62506</v>
      </c>
      <c r="L300" s="31">
        <v>191099</v>
      </c>
      <c r="M300" s="45">
        <f t="shared" si="113"/>
        <v>8.1215044623884403</v>
      </c>
      <c r="N300" s="31">
        <v>18188</v>
      </c>
      <c r="O300" s="31">
        <v>4360</v>
      </c>
      <c r="P300" s="31">
        <v>0</v>
      </c>
      <c r="Q300" s="31">
        <v>22548</v>
      </c>
      <c r="R300" s="45">
        <f t="shared" si="114"/>
        <v>0.9582660433489163</v>
      </c>
      <c r="S300" s="31">
        <v>27458</v>
      </c>
      <c r="T300" s="31">
        <v>241105</v>
      </c>
      <c r="U300" s="31">
        <v>0</v>
      </c>
      <c r="V300" s="31">
        <v>241105</v>
      </c>
      <c r="W300" s="45">
        <f t="shared" si="115"/>
        <v>10.246706332341692</v>
      </c>
      <c r="X300" s="4">
        <f t="shared" si="116"/>
        <v>0.79259658654942866</v>
      </c>
      <c r="Y300" s="4">
        <f t="shared" si="117"/>
        <v>9.3519420999149755E-2</v>
      </c>
      <c r="Z300" s="4">
        <f t="shared" si="118"/>
        <v>0.11388399245142158</v>
      </c>
      <c r="AA300" s="4">
        <f t="shared" si="119"/>
        <v>0</v>
      </c>
      <c r="AB300" s="31">
        <v>0</v>
      </c>
      <c r="AC300" s="31">
        <v>22548</v>
      </c>
      <c r="AD300" s="31">
        <v>241105</v>
      </c>
      <c r="AE300" s="31">
        <v>241105</v>
      </c>
      <c r="AF300" s="31">
        <v>34666</v>
      </c>
      <c r="AG300" s="31">
        <v>206438</v>
      </c>
      <c r="AH300" s="31">
        <v>0</v>
      </c>
      <c r="AI300" s="31">
        <v>241104</v>
      </c>
      <c r="AJ300" s="45">
        <f t="shared" si="120"/>
        <v>10.246663833404165</v>
      </c>
      <c r="AK300" s="31">
        <v>0</v>
      </c>
      <c r="AL300" s="31">
        <v>0</v>
      </c>
      <c r="AM300" s="31">
        <v>0</v>
      </c>
      <c r="AN300" s="31">
        <v>0</v>
      </c>
      <c r="AO300" s="31">
        <v>0</v>
      </c>
      <c r="AP300" s="31">
        <v>0</v>
      </c>
      <c r="AQ300" s="31">
        <v>0</v>
      </c>
      <c r="AR300" s="31">
        <v>241104</v>
      </c>
      <c r="AS300" s="46">
        <f t="shared" si="121"/>
        <v>10.246663833404165</v>
      </c>
      <c r="AT300" s="31">
        <v>0</v>
      </c>
      <c r="AU300" s="31">
        <v>0</v>
      </c>
      <c r="AV300" s="31">
        <v>0</v>
      </c>
      <c r="AW300" s="31">
        <v>0</v>
      </c>
      <c r="AX300" s="31">
        <v>0</v>
      </c>
      <c r="AY300" s="31">
        <v>0</v>
      </c>
      <c r="AZ300" s="31">
        <v>0</v>
      </c>
      <c r="BA300" s="31">
        <v>0</v>
      </c>
      <c r="BB300" s="31">
        <v>0</v>
      </c>
      <c r="BC300" s="33" t="s">
        <v>25</v>
      </c>
      <c r="BD300" s="47">
        <v>35742</v>
      </c>
      <c r="BE300" s="47">
        <v>39166</v>
      </c>
      <c r="BF300" s="45">
        <f t="shared" si="122"/>
        <v>1.6645133871653208</v>
      </c>
      <c r="BG300" s="30">
        <v>1067</v>
      </c>
      <c r="BH300" s="30">
        <v>1067</v>
      </c>
      <c r="BI300" s="30">
        <v>9378</v>
      </c>
      <c r="BJ300" s="30">
        <v>232</v>
      </c>
      <c r="BK300" s="30">
        <v>232</v>
      </c>
      <c r="BL300" s="30">
        <v>0</v>
      </c>
      <c r="BM300" s="30">
        <v>9034</v>
      </c>
      <c r="BN300" s="30">
        <v>4</v>
      </c>
      <c r="BO300" s="30">
        <v>51</v>
      </c>
      <c r="BP300" s="30">
        <v>1</v>
      </c>
      <c r="BQ300" s="30">
        <v>56</v>
      </c>
      <c r="BR300" s="47">
        <v>37041</v>
      </c>
      <c r="BS300" s="47">
        <v>58881</v>
      </c>
      <c r="BT300" s="1">
        <f t="shared" si="123"/>
        <v>2.5023799405014873</v>
      </c>
      <c r="BU300" s="30">
        <v>11</v>
      </c>
      <c r="BV300" s="30">
        <v>0</v>
      </c>
      <c r="BW300" s="47">
        <v>5001</v>
      </c>
      <c r="BX300" s="52">
        <f t="shared" si="124"/>
        <v>0.21253718657033574</v>
      </c>
      <c r="BY300" s="47">
        <v>20462</v>
      </c>
      <c r="BZ300" s="47">
        <v>43</v>
      </c>
      <c r="CA300" s="47">
        <v>19913</v>
      </c>
      <c r="CB300" s="47">
        <v>39166</v>
      </c>
      <c r="CC300" s="47">
        <v>79584</v>
      </c>
      <c r="CD300" s="55">
        <f t="shared" si="125"/>
        <v>3.3822354441138973</v>
      </c>
      <c r="CE300" s="3">
        <f t="shared" si="126"/>
        <v>17114.838709677417</v>
      </c>
      <c r="CF300" s="55">
        <f t="shared" si="127"/>
        <v>18.659788980070338</v>
      </c>
      <c r="CG300" s="55">
        <f t="shared" si="128"/>
        <v>3.2516445352400409</v>
      </c>
      <c r="CH300" s="55">
        <f t="shared" si="129"/>
        <v>0.68570506615037108</v>
      </c>
      <c r="CI300" s="30">
        <v>51</v>
      </c>
      <c r="CJ300" s="30">
        <v>0</v>
      </c>
      <c r="CK300" s="30">
        <v>0</v>
      </c>
      <c r="CL300" s="30">
        <v>51</v>
      </c>
      <c r="CM300" s="30">
        <v>1480</v>
      </c>
      <c r="CN300" s="30">
        <v>0</v>
      </c>
      <c r="CO300" s="30">
        <v>0</v>
      </c>
      <c r="CP300" s="30">
        <v>1480</v>
      </c>
      <c r="CQ300" s="1">
        <f t="shared" si="137"/>
        <v>6.2898427539311519E-2</v>
      </c>
      <c r="CR300" s="47">
        <v>24475</v>
      </c>
      <c r="CS300" s="55">
        <f t="shared" si="130"/>
        <v>1.0401614959626009</v>
      </c>
      <c r="CT300" s="59">
        <v>3430</v>
      </c>
      <c r="CU300" s="29" t="s">
        <v>25</v>
      </c>
      <c r="CV300" s="29" t="s">
        <v>25</v>
      </c>
      <c r="CW300" s="29" t="s">
        <v>25</v>
      </c>
      <c r="CX300" s="35">
        <v>0</v>
      </c>
      <c r="CY300" s="49">
        <v>0</v>
      </c>
      <c r="CZ300" s="35">
        <v>1.75</v>
      </c>
      <c r="DA300" s="35">
        <v>2.9</v>
      </c>
      <c r="DB300" s="35">
        <v>4.6500000000000004</v>
      </c>
      <c r="DC300" s="49">
        <f t="shared" si="131"/>
        <v>5060.2150537634407</v>
      </c>
      <c r="DD300" s="30">
        <v>175</v>
      </c>
      <c r="DE300" s="31">
        <v>41514</v>
      </c>
      <c r="DF300" s="35">
        <v>35</v>
      </c>
      <c r="DG300" s="29" t="s">
        <v>25</v>
      </c>
      <c r="DH300" s="29" t="s">
        <v>25</v>
      </c>
      <c r="DI300" s="29" t="s">
        <v>25</v>
      </c>
      <c r="DJ300" s="47">
        <v>39</v>
      </c>
      <c r="DK300" s="47">
        <v>36</v>
      </c>
      <c r="DL300" s="47">
        <v>11</v>
      </c>
      <c r="DM300" s="47">
        <v>2490</v>
      </c>
      <c r="DN300" s="47">
        <v>505</v>
      </c>
      <c r="DO300" s="47">
        <v>0</v>
      </c>
      <c r="DP300" s="29" t="s">
        <v>2028</v>
      </c>
      <c r="DQ300" s="47">
        <v>0</v>
      </c>
      <c r="DR300" s="47">
        <v>2353</v>
      </c>
      <c r="DS300" s="30">
        <v>52</v>
      </c>
      <c r="DT300" s="30">
        <v>47</v>
      </c>
      <c r="DU300" s="30">
        <v>47</v>
      </c>
      <c r="DV300" s="30">
        <v>47</v>
      </c>
      <c r="DW300">
        <f>VLOOKUP(EC300,branch!$I$4:$K$77,3,0)</f>
        <v>1912</v>
      </c>
      <c r="DX300" s="2">
        <f t="shared" si="132"/>
        <v>4265</v>
      </c>
      <c r="DY300" s="33" t="s">
        <v>2178</v>
      </c>
      <c r="DZ300" s="33" t="s">
        <v>820</v>
      </c>
      <c r="EA300" s="33" t="s">
        <v>2031</v>
      </c>
      <c r="EB300" s="33" t="s">
        <v>2027</v>
      </c>
      <c r="EC300" s="36">
        <v>231</v>
      </c>
      <c r="ED300" s="29" t="s">
        <v>818</v>
      </c>
      <c r="EE300" s="29" t="s">
        <v>819</v>
      </c>
      <c r="EF300" s="37">
        <v>41640</v>
      </c>
      <c r="EG300" s="37">
        <v>42004</v>
      </c>
      <c r="EH300" s="29" t="s">
        <v>818</v>
      </c>
      <c r="EI300" s="55">
        <f t="shared" si="133"/>
        <v>0.86961325966850833</v>
      </c>
      <c r="EJ300" s="54">
        <f t="shared" si="134"/>
        <v>1.827454313642159E-3</v>
      </c>
      <c r="EK300" s="55">
        <f t="shared" si="135"/>
        <v>0.84628134296642588</v>
      </c>
      <c r="EL300" s="54">
        <f t="shared" si="136"/>
        <v>1.6645133871653208</v>
      </c>
    </row>
    <row r="301" spans="1:142" ht="28.8" x14ac:dyDescent="0.3">
      <c r="A301" s="29" t="s">
        <v>821</v>
      </c>
      <c r="B301" s="29"/>
      <c r="C301" s="30">
        <v>129851</v>
      </c>
      <c r="D301" s="30">
        <v>0</v>
      </c>
      <c r="E301" s="30">
        <v>0</v>
      </c>
      <c r="F301" s="30">
        <v>77800</v>
      </c>
      <c r="H301" s="2">
        <f t="shared" si="112"/>
        <v>77800</v>
      </c>
      <c r="I301" s="1">
        <f t="shared" si="111"/>
        <v>0.59914825453789344</v>
      </c>
      <c r="J301" s="31">
        <v>903602</v>
      </c>
      <c r="K301" s="31">
        <v>310562</v>
      </c>
      <c r="L301" s="31">
        <v>1214164</v>
      </c>
      <c r="M301" s="45">
        <f t="shared" si="113"/>
        <v>9.350440119829651</v>
      </c>
      <c r="N301" s="31">
        <v>144512</v>
      </c>
      <c r="O301" s="31">
        <v>73906</v>
      </c>
      <c r="P301" s="31">
        <v>45944</v>
      </c>
      <c r="Q301" s="31">
        <v>264362</v>
      </c>
      <c r="R301" s="45">
        <f t="shared" si="114"/>
        <v>2.0358872861972568</v>
      </c>
      <c r="S301" s="31">
        <v>552832</v>
      </c>
      <c r="T301" s="31">
        <v>2031358</v>
      </c>
      <c r="U301" s="31">
        <v>0</v>
      </c>
      <c r="V301" s="31">
        <v>2031358</v>
      </c>
      <c r="W301" s="45">
        <f t="shared" si="115"/>
        <v>15.643760925984397</v>
      </c>
      <c r="X301" s="4">
        <f t="shared" si="116"/>
        <v>0.59771049711572255</v>
      </c>
      <c r="Y301" s="4">
        <f t="shared" si="117"/>
        <v>0.13014052668215056</v>
      </c>
      <c r="Z301" s="4">
        <f t="shared" si="118"/>
        <v>0.27214897620212686</v>
      </c>
      <c r="AA301" s="4">
        <f t="shared" si="119"/>
        <v>0</v>
      </c>
      <c r="AB301" s="31">
        <v>0</v>
      </c>
      <c r="AC301" s="31">
        <v>264362</v>
      </c>
      <c r="AD301" s="31">
        <v>2031358</v>
      </c>
      <c r="AE301" s="31">
        <v>2031358</v>
      </c>
      <c r="AF301" s="31">
        <v>2063306</v>
      </c>
      <c r="AG301" s="31">
        <v>0</v>
      </c>
      <c r="AH301" s="31">
        <v>0</v>
      </c>
      <c r="AI301" s="31">
        <v>2063306</v>
      </c>
      <c r="AJ301" s="45">
        <f t="shared" si="120"/>
        <v>15.889796767063789</v>
      </c>
      <c r="AK301" s="31">
        <v>0</v>
      </c>
      <c r="AL301" s="31">
        <v>0</v>
      </c>
      <c r="AM301" s="31">
        <v>0</v>
      </c>
      <c r="AN301" s="31">
        <v>0</v>
      </c>
      <c r="AO301" s="31">
        <v>0</v>
      </c>
      <c r="AP301" s="31">
        <v>1200</v>
      </c>
      <c r="AQ301" s="31">
        <v>1200</v>
      </c>
      <c r="AR301" s="31">
        <v>2064506</v>
      </c>
      <c r="AS301" s="46">
        <f t="shared" si="121"/>
        <v>15.899038128316301</v>
      </c>
      <c r="AT301" s="31">
        <v>0</v>
      </c>
      <c r="AU301" s="31">
        <v>0</v>
      </c>
      <c r="AV301" s="31">
        <v>0</v>
      </c>
      <c r="AW301" s="31">
        <v>0</v>
      </c>
      <c r="AX301" s="31">
        <v>0</v>
      </c>
      <c r="AY301" s="31">
        <v>0</v>
      </c>
      <c r="AZ301" s="31">
        <v>0</v>
      </c>
      <c r="BA301" s="31">
        <v>0</v>
      </c>
      <c r="BB301" s="31">
        <v>0</v>
      </c>
      <c r="BC301" s="33" t="s">
        <v>25</v>
      </c>
      <c r="BD301" s="47">
        <v>153677</v>
      </c>
      <c r="BE301" s="47">
        <v>166730</v>
      </c>
      <c r="BF301" s="45">
        <f t="shared" si="122"/>
        <v>1.2840101346928403</v>
      </c>
      <c r="BG301" s="30">
        <v>15518</v>
      </c>
      <c r="BH301" s="30">
        <v>16481</v>
      </c>
      <c r="BI301" s="30">
        <v>5478</v>
      </c>
      <c r="BJ301" s="30">
        <v>10146</v>
      </c>
      <c r="BK301" s="30">
        <v>15178</v>
      </c>
      <c r="BL301" s="30">
        <v>0</v>
      </c>
      <c r="BM301" s="30">
        <v>1681</v>
      </c>
      <c r="BN301" s="30">
        <v>17</v>
      </c>
      <c r="BO301" s="30">
        <v>51</v>
      </c>
      <c r="BP301" s="30">
        <v>0</v>
      </c>
      <c r="BQ301" s="30">
        <v>68</v>
      </c>
      <c r="BR301" s="47">
        <v>179341</v>
      </c>
      <c r="BS301" s="47">
        <v>205565</v>
      </c>
      <c r="BT301" s="1">
        <f t="shared" si="123"/>
        <v>1.5830836882272759</v>
      </c>
      <c r="BU301" s="30">
        <v>83</v>
      </c>
      <c r="BV301" s="30">
        <v>0</v>
      </c>
      <c r="BW301" s="47">
        <v>25453</v>
      </c>
      <c r="BX301" s="52">
        <f t="shared" si="124"/>
        <v>0.19601697330016712</v>
      </c>
      <c r="BY301" s="47">
        <v>316949</v>
      </c>
      <c r="BZ301" s="47">
        <v>1271</v>
      </c>
      <c r="CA301" s="47">
        <v>266251</v>
      </c>
      <c r="CB301" s="47">
        <v>15704</v>
      </c>
      <c r="CC301" s="47">
        <v>600175</v>
      </c>
      <c r="CD301" s="55">
        <f t="shared" si="125"/>
        <v>4.6220283247722387</v>
      </c>
      <c r="CE301" s="3">
        <f t="shared" si="126"/>
        <v>24660.503338469443</v>
      </c>
      <c r="CF301" s="55">
        <f t="shared" si="127"/>
        <v>198.9310573417302</v>
      </c>
      <c r="CG301" s="55">
        <f t="shared" si="128"/>
        <v>1.8202676226351002</v>
      </c>
      <c r="CH301" s="55">
        <f t="shared" si="129"/>
        <v>2.8370588378371804</v>
      </c>
      <c r="CI301" s="30">
        <v>580</v>
      </c>
      <c r="CJ301" s="30">
        <v>79</v>
      </c>
      <c r="CK301" s="30">
        <v>299</v>
      </c>
      <c r="CL301" s="30">
        <v>958</v>
      </c>
      <c r="CM301" s="30">
        <v>16320</v>
      </c>
      <c r="CN301" s="30">
        <v>826</v>
      </c>
      <c r="CO301" s="30">
        <v>3964</v>
      </c>
      <c r="CP301" s="30">
        <v>21110</v>
      </c>
      <c r="CQ301" s="1">
        <f t="shared" si="137"/>
        <v>0.16257094670044897</v>
      </c>
      <c r="CR301" s="47">
        <v>329718</v>
      </c>
      <c r="CS301" s="55">
        <f t="shared" si="130"/>
        <v>2.5392026245465957</v>
      </c>
      <c r="CT301" s="59">
        <v>69832</v>
      </c>
      <c r="CU301" s="29" t="s">
        <v>25</v>
      </c>
      <c r="CV301" s="29" t="s">
        <v>25</v>
      </c>
      <c r="CW301" s="29" t="s">
        <v>25</v>
      </c>
      <c r="CX301" s="35">
        <v>8.6374999999999993</v>
      </c>
      <c r="CY301" s="49">
        <f>C301/CX301</f>
        <v>15033.400868306802</v>
      </c>
      <c r="CZ301" s="35">
        <v>0</v>
      </c>
      <c r="DA301" s="35">
        <v>15.7</v>
      </c>
      <c r="DB301" s="35">
        <v>24.337499999999999</v>
      </c>
      <c r="DC301" s="49">
        <f t="shared" si="131"/>
        <v>5335.4288649203909</v>
      </c>
      <c r="DD301" s="30">
        <v>3204</v>
      </c>
      <c r="DE301" s="31">
        <v>110957</v>
      </c>
      <c r="DF301" s="35">
        <v>40</v>
      </c>
      <c r="DG301" s="29" t="s">
        <v>25</v>
      </c>
      <c r="DH301" s="29" t="s">
        <v>25</v>
      </c>
      <c r="DI301" s="29" t="s">
        <v>25</v>
      </c>
      <c r="DJ301" s="47">
        <v>1236</v>
      </c>
      <c r="DK301" s="47">
        <v>146</v>
      </c>
      <c r="DL301" s="47">
        <v>52</v>
      </c>
      <c r="DM301" s="47">
        <v>60457</v>
      </c>
      <c r="DN301" s="47">
        <v>11843</v>
      </c>
      <c r="DO301" s="47">
        <v>63725</v>
      </c>
      <c r="DP301" s="29" t="s">
        <v>25</v>
      </c>
      <c r="DQ301" s="47">
        <v>85709</v>
      </c>
      <c r="DR301" s="47">
        <v>3017</v>
      </c>
      <c r="DS301" s="30">
        <v>52</v>
      </c>
      <c r="DT301" s="30">
        <v>60</v>
      </c>
      <c r="DU301" s="30">
        <v>60</v>
      </c>
      <c r="DV301" s="30">
        <v>60</v>
      </c>
      <c r="DX301" s="2">
        <f t="shared" si="132"/>
        <v>3017</v>
      </c>
      <c r="DY301" s="33" t="s">
        <v>2181</v>
      </c>
      <c r="DZ301" s="33" t="s">
        <v>823</v>
      </c>
      <c r="EA301" s="33" t="s">
        <v>2030</v>
      </c>
      <c r="EB301" s="33" t="s">
        <v>2027</v>
      </c>
      <c r="EC301" s="36">
        <v>232</v>
      </c>
      <c r="ED301" s="29" t="s">
        <v>822</v>
      </c>
      <c r="EE301" s="29" t="s">
        <v>424</v>
      </c>
      <c r="EF301" s="37">
        <v>41548</v>
      </c>
      <c r="EG301" s="37">
        <v>41912</v>
      </c>
      <c r="EH301" s="29" t="s">
        <v>822</v>
      </c>
      <c r="EI301" s="55">
        <f t="shared" si="133"/>
        <v>2.4408668396854858</v>
      </c>
      <c r="EJ301" s="54">
        <f t="shared" si="134"/>
        <v>9.7881417932861505E-3</v>
      </c>
      <c r="EK301" s="55">
        <f t="shared" si="135"/>
        <v>2.0504347290355871</v>
      </c>
      <c r="EL301" s="54">
        <f t="shared" si="136"/>
        <v>0.12093861425788019</v>
      </c>
    </row>
    <row r="302" spans="1:142" ht="28.8" x14ac:dyDescent="0.3">
      <c r="A302" s="29" t="s">
        <v>313</v>
      </c>
      <c r="B302" s="29"/>
      <c r="C302" s="30">
        <v>8836</v>
      </c>
      <c r="D302" s="30">
        <v>0</v>
      </c>
      <c r="E302" s="30">
        <v>0</v>
      </c>
      <c r="F302" s="30">
        <v>25056</v>
      </c>
      <c r="H302" s="2">
        <f t="shared" si="112"/>
        <v>25056</v>
      </c>
      <c r="I302" s="1">
        <f t="shared" si="111"/>
        <v>2.8356722498868265</v>
      </c>
      <c r="J302" s="31">
        <v>210151</v>
      </c>
      <c r="K302" s="31">
        <v>75409</v>
      </c>
      <c r="L302" s="31">
        <v>285560</v>
      </c>
      <c r="M302" s="45">
        <f t="shared" si="113"/>
        <v>32.317790855590765</v>
      </c>
      <c r="N302" s="31">
        <v>24739</v>
      </c>
      <c r="O302" s="31">
        <v>0</v>
      </c>
      <c r="P302" s="31">
        <v>1142</v>
      </c>
      <c r="Q302" s="31">
        <v>25881</v>
      </c>
      <c r="R302" s="45">
        <f t="shared" si="114"/>
        <v>2.929040289723857</v>
      </c>
      <c r="S302" s="31">
        <v>150380</v>
      </c>
      <c r="T302" s="31">
        <v>461821</v>
      </c>
      <c r="U302" s="31">
        <v>0</v>
      </c>
      <c r="V302" s="31">
        <v>461821</v>
      </c>
      <c r="W302" s="45">
        <f t="shared" si="115"/>
        <v>52.265844273426893</v>
      </c>
      <c r="X302" s="4">
        <f t="shared" si="116"/>
        <v>0.61833480937419472</v>
      </c>
      <c r="Y302" s="4">
        <f t="shared" si="117"/>
        <v>5.6041193449410054E-2</v>
      </c>
      <c r="Z302" s="4">
        <f t="shared" si="118"/>
        <v>0.32562399717639517</v>
      </c>
      <c r="AA302" s="4">
        <f t="shared" si="119"/>
        <v>0</v>
      </c>
      <c r="AB302" s="31">
        <v>0</v>
      </c>
      <c r="AC302" s="31">
        <v>25881</v>
      </c>
      <c r="AD302" s="31">
        <v>461821</v>
      </c>
      <c r="AE302" s="31">
        <v>447938</v>
      </c>
      <c r="AF302" s="31">
        <v>483390</v>
      </c>
      <c r="AG302" s="31">
        <v>0</v>
      </c>
      <c r="AH302" s="31">
        <v>0</v>
      </c>
      <c r="AI302" s="31">
        <v>483390</v>
      </c>
      <c r="AJ302" s="45">
        <f t="shared" si="120"/>
        <v>54.706880941602535</v>
      </c>
      <c r="AK302" s="31">
        <v>0</v>
      </c>
      <c r="AL302" s="31">
        <v>0</v>
      </c>
      <c r="AM302" s="31">
        <v>0</v>
      </c>
      <c r="AN302" s="31">
        <v>0</v>
      </c>
      <c r="AO302" s="31">
        <v>0</v>
      </c>
      <c r="AP302" s="31">
        <v>14278</v>
      </c>
      <c r="AQ302" s="31">
        <v>14278</v>
      </c>
      <c r="AR302" s="31">
        <v>497668</v>
      </c>
      <c r="AS302" s="46">
        <f t="shared" si="121"/>
        <v>56.322770484382076</v>
      </c>
      <c r="AT302" s="31">
        <v>0</v>
      </c>
      <c r="AU302" s="31">
        <v>0</v>
      </c>
      <c r="AV302" s="31">
        <v>0</v>
      </c>
      <c r="AW302" s="31">
        <v>0</v>
      </c>
      <c r="AX302" s="31">
        <v>0</v>
      </c>
      <c r="AY302" s="31">
        <v>0</v>
      </c>
      <c r="AZ302" s="31">
        <v>0</v>
      </c>
      <c r="BA302" s="31">
        <v>0</v>
      </c>
      <c r="BB302" s="31">
        <v>0</v>
      </c>
      <c r="BC302" s="33" t="s">
        <v>25</v>
      </c>
      <c r="BD302" s="47">
        <v>38288</v>
      </c>
      <c r="BE302" s="47">
        <v>41856</v>
      </c>
      <c r="BF302" s="45">
        <f t="shared" si="122"/>
        <v>4.7369850611136259</v>
      </c>
      <c r="BG302" s="30">
        <v>1472</v>
      </c>
      <c r="BH302" s="30">
        <v>1497</v>
      </c>
      <c r="BI302" s="30">
        <v>466</v>
      </c>
      <c r="BJ302" s="30">
        <v>2733</v>
      </c>
      <c r="BK302" s="30">
        <v>2851</v>
      </c>
      <c r="BL302" s="30">
        <v>57</v>
      </c>
      <c r="BM302" s="30">
        <v>3749</v>
      </c>
      <c r="BN302" s="30">
        <v>0</v>
      </c>
      <c r="BO302" s="30">
        <v>51</v>
      </c>
      <c r="BP302" s="30">
        <v>0</v>
      </c>
      <c r="BQ302" s="30">
        <v>51</v>
      </c>
      <c r="BR302" s="47">
        <v>42493</v>
      </c>
      <c r="BS302" s="47">
        <v>50476</v>
      </c>
      <c r="BT302" s="1">
        <f t="shared" si="123"/>
        <v>5.7125396106835673</v>
      </c>
      <c r="BU302" s="30">
        <v>79</v>
      </c>
      <c r="BV302" s="30">
        <v>0</v>
      </c>
      <c r="BW302" s="47">
        <v>4153</v>
      </c>
      <c r="BX302" s="52">
        <f t="shared" si="124"/>
        <v>0.47000905387052966</v>
      </c>
      <c r="BY302" s="47">
        <v>32429</v>
      </c>
      <c r="BZ302" s="47">
        <v>161</v>
      </c>
      <c r="CA302" s="47">
        <v>29749</v>
      </c>
      <c r="CB302" s="47">
        <v>2522</v>
      </c>
      <c r="CC302" s="47">
        <v>64861</v>
      </c>
      <c r="CD302" s="55">
        <f t="shared" si="125"/>
        <v>7.3405387052965141</v>
      </c>
      <c r="CE302" s="3">
        <f t="shared" si="126"/>
        <v>9039.8606271777007</v>
      </c>
      <c r="CF302" s="55">
        <f t="shared" si="127"/>
        <v>31.639512195121952</v>
      </c>
      <c r="CG302" s="55">
        <f t="shared" si="128"/>
        <v>1.0760667595726325</v>
      </c>
      <c r="CH302" s="55">
        <f t="shared" si="129"/>
        <v>1.2318329503130201</v>
      </c>
      <c r="CI302" s="30">
        <v>81</v>
      </c>
      <c r="CJ302" s="30">
        <v>8</v>
      </c>
      <c r="CK302" s="30">
        <v>110</v>
      </c>
      <c r="CL302" s="30">
        <v>199</v>
      </c>
      <c r="CM302" s="30">
        <v>2407</v>
      </c>
      <c r="CN302" s="30">
        <v>54</v>
      </c>
      <c r="CO302" s="30">
        <v>472</v>
      </c>
      <c r="CP302" s="30">
        <v>2933</v>
      </c>
      <c r="CQ302" s="1">
        <f t="shared" si="137"/>
        <v>0.33193752829334539</v>
      </c>
      <c r="CR302" s="47">
        <v>60276</v>
      </c>
      <c r="CS302" s="55">
        <f t="shared" si="130"/>
        <v>6.8216387505658673</v>
      </c>
      <c r="CT302" s="59">
        <v>8204</v>
      </c>
      <c r="CU302" s="29" t="s">
        <v>25</v>
      </c>
      <c r="CV302" s="29" t="s">
        <v>25</v>
      </c>
      <c r="CW302" s="29" t="s">
        <v>25</v>
      </c>
      <c r="CX302" s="35">
        <v>0</v>
      </c>
      <c r="CY302" s="49">
        <v>0</v>
      </c>
      <c r="CZ302" s="35">
        <v>6.1749999999999998</v>
      </c>
      <c r="DA302" s="35">
        <v>1</v>
      </c>
      <c r="DB302" s="35">
        <v>7.1749999999999998</v>
      </c>
      <c r="DC302" s="49">
        <f t="shared" si="131"/>
        <v>1231.4982578397212</v>
      </c>
      <c r="DD302" s="30">
        <v>533</v>
      </c>
      <c r="DE302" s="31">
        <v>57262</v>
      </c>
      <c r="DF302" s="35">
        <v>40</v>
      </c>
      <c r="DG302" s="29" t="s">
        <v>25</v>
      </c>
      <c r="DH302" s="29" t="s">
        <v>25</v>
      </c>
      <c r="DI302" s="29" t="s">
        <v>25</v>
      </c>
      <c r="DJ302" s="47">
        <v>126</v>
      </c>
      <c r="DK302" s="47">
        <v>139</v>
      </c>
      <c r="DL302" s="47">
        <v>24</v>
      </c>
      <c r="DM302" s="47">
        <v>9971</v>
      </c>
      <c r="DN302" s="47">
        <v>1687</v>
      </c>
      <c r="DO302" s="47">
        <v>588</v>
      </c>
      <c r="DP302" s="29" t="s">
        <v>25</v>
      </c>
      <c r="DQ302" s="47">
        <v>1635</v>
      </c>
      <c r="DR302" s="47">
        <v>2050</v>
      </c>
      <c r="DS302" s="30">
        <v>52</v>
      </c>
      <c r="DT302" s="30">
        <v>42</v>
      </c>
      <c r="DU302" s="30">
        <v>42</v>
      </c>
      <c r="DV302" s="30">
        <v>42</v>
      </c>
      <c r="DX302" s="2">
        <f t="shared" si="132"/>
        <v>2050</v>
      </c>
      <c r="DY302" s="33" t="s">
        <v>2185</v>
      </c>
      <c r="DZ302" s="33" t="s">
        <v>825</v>
      </c>
      <c r="EA302" s="33" t="s">
        <v>2030</v>
      </c>
      <c r="EB302" s="33" t="s">
        <v>2027</v>
      </c>
      <c r="EC302" s="36">
        <v>233</v>
      </c>
      <c r="ED302" s="29" t="s">
        <v>824</v>
      </c>
      <c r="EE302" s="29" t="s">
        <v>313</v>
      </c>
      <c r="EF302" s="37">
        <v>41548</v>
      </c>
      <c r="EG302" s="37">
        <v>41912</v>
      </c>
      <c r="EH302" s="29" t="s">
        <v>824</v>
      </c>
      <c r="EI302" s="55">
        <f t="shared" si="133"/>
        <v>3.6700995925758262</v>
      </c>
      <c r="EJ302" s="54">
        <f t="shared" si="134"/>
        <v>1.8220914440923493E-2</v>
      </c>
      <c r="EK302" s="55">
        <f t="shared" si="135"/>
        <v>3.3667949298325035</v>
      </c>
      <c r="EL302" s="54">
        <f t="shared" si="136"/>
        <v>0.28542326844726118</v>
      </c>
    </row>
    <row r="303" spans="1:142" ht="28.8" x14ac:dyDescent="0.3">
      <c r="A303" s="29" t="s">
        <v>1743</v>
      </c>
      <c r="B303" s="29"/>
      <c r="C303" s="30">
        <v>12608</v>
      </c>
      <c r="D303" s="30">
        <v>0</v>
      </c>
      <c r="E303" s="30">
        <v>0</v>
      </c>
      <c r="F303" s="30">
        <v>2400</v>
      </c>
      <c r="H303" s="2">
        <f t="shared" si="112"/>
        <v>2400</v>
      </c>
      <c r="I303" s="1">
        <f t="shared" si="111"/>
        <v>0.19035532994923857</v>
      </c>
      <c r="J303" s="31">
        <v>103680</v>
      </c>
      <c r="K303" s="31">
        <v>20569</v>
      </c>
      <c r="L303" s="31">
        <v>124249</v>
      </c>
      <c r="M303" s="45">
        <f t="shared" si="113"/>
        <v>9.8547747461928932</v>
      </c>
      <c r="N303" s="31">
        <v>27233</v>
      </c>
      <c r="O303" s="31">
        <v>3000</v>
      </c>
      <c r="P303" s="31">
        <v>1250</v>
      </c>
      <c r="Q303" s="31">
        <v>31483</v>
      </c>
      <c r="R303" s="45">
        <f t="shared" si="114"/>
        <v>2.4970653553299491</v>
      </c>
      <c r="S303" s="31">
        <v>32379</v>
      </c>
      <c r="T303" s="31">
        <v>188111</v>
      </c>
      <c r="U303" s="31">
        <v>0</v>
      </c>
      <c r="V303" s="31">
        <v>188111</v>
      </c>
      <c r="W303" s="45">
        <f t="shared" si="115"/>
        <v>14.919971446700508</v>
      </c>
      <c r="X303" s="4">
        <f t="shared" si="116"/>
        <v>0.66050895481922911</v>
      </c>
      <c r="Y303" s="4">
        <f t="shared" si="117"/>
        <v>0.16736395000823981</v>
      </c>
      <c r="Z303" s="4">
        <f t="shared" si="118"/>
        <v>0.17212709517253111</v>
      </c>
      <c r="AA303" s="4">
        <f t="shared" si="119"/>
        <v>0</v>
      </c>
      <c r="AB303" s="31">
        <v>0</v>
      </c>
      <c r="AC303" s="31">
        <v>26071</v>
      </c>
      <c r="AD303" s="31">
        <v>182062</v>
      </c>
      <c r="AE303" s="31">
        <v>174049</v>
      </c>
      <c r="AF303" s="31">
        <v>174049</v>
      </c>
      <c r="AG303" s="31">
        <v>0</v>
      </c>
      <c r="AH303" s="31">
        <v>0</v>
      </c>
      <c r="AI303" s="31">
        <v>174049</v>
      </c>
      <c r="AJ303" s="45">
        <f t="shared" si="120"/>
        <v>13.804647842639595</v>
      </c>
      <c r="AK303" s="31">
        <v>0</v>
      </c>
      <c r="AL303" s="31">
        <v>0</v>
      </c>
      <c r="AM303" s="31">
        <v>0</v>
      </c>
      <c r="AN303" s="31">
        <v>0</v>
      </c>
      <c r="AO303" s="31">
        <v>5967</v>
      </c>
      <c r="AP303" s="31">
        <v>5037</v>
      </c>
      <c r="AQ303" s="31">
        <v>11004</v>
      </c>
      <c r="AR303" s="31">
        <v>185053</v>
      </c>
      <c r="AS303" s="46">
        <f t="shared" si="121"/>
        <v>14.677427030456853</v>
      </c>
      <c r="AT303" s="31">
        <v>0</v>
      </c>
      <c r="AU303" s="31">
        <v>0</v>
      </c>
      <c r="AV303" s="31">
        <v>0</v>
      </c>
      <c r="AW303" s="31">
        <v>0</v>
      </c>
      <c r="AX303" s="31">
        <v>0</v>
      </c>
      <c r="AY303" s="31">
        <v>0</v>
      </c>
      <c r="AZ303" s="31">
        <v>0</v>
      </c>
      <c r="BA303" s="31">
        <v>0</v>
      </c>
      <c r="BB303" s="31">
        <v>0</v>
      </c>
      <c r="BC303" s="33" t="s">
        <v>25</v>
      </c>
      <c r="BD303" s="47">
        <v>16538</v>
      </c>
      <c r="BE303" s="47">
        <v>16773</v>
      </c>
      <c r="BF303" s="45">
        <f t="shared" si="122"/>
        <v>1.3303458121827412</v>
      </c>
      <c r="BG303" s="30">
        <v>719</v>
      </c>
      <c r="BH303" s="30">
        <v>723</v>
      </c>
      <c r="BI303" s="30">
        <v>1091</v>
      </c>
      <c r="BJ303" s="30">
        <v>2482</v>
      </c>
      <c r="BK303" s="30">
        <v>2508</v>
      </c>
      <c r="BL303" s="30">
        <v>86</v>
      </c>
      <c r="BM303" s="30">
        <v>7807</v>
      </c>
      <c r="BN303" s="30">
        <v>0</v>
      </c>
      <c r="BO303" s="30">
        <v>51</v>
      </c>
      <c r="BP303" s="30">
        <v>0</v>
      </c>
      <c r="BQ303" s="30">
        <v>51</v>
      </c>
      <c r="BR303" s="47">
        <v>19739</v>
      </c>
      <c r="BS303" s="47">
        <v>28988</v>
      </c>
      <c r="BT303" s="1">
        <f t="shared" si="123"/>
        <v>2.2991751269035534</v>
      </c>
      <c r="BU303" s="30">
        <v>29</v>
      </c>
      <c r="BV303" s="30">
        <v>0</v>
      </c>
      <c r="BW303" s="47">
        <v>5014</v>
      </c>
      <c r="BX303" s="52">
        <f t="shared" si="124"/>
        <v>0.39768401015228427</v>
      </c>
      <c r="BY303" s="47">
        <v>22963</v>
      </c>
      <c r="BZ303" s="47">
        <v>148</v>
      </c>
      <c r="CA303" s="47">
        <v>23086</v>
      </c>
      <c r="CB303" s="47">
        <v>1436</v>
      </c>
      <c r="CC303" s="47">
        <v>47633</v>
      </c>
      <c r="CD303" s="55">
        <f t="shared" si="125"/>
        <v>3.7779980964467006</v>
      </c>
      <c r="CE303" s="3">
        <f t="shared" si="126"/>
        <v>20056</v>
      </c>
      <c r="CF303" s="55">
        <f t="shared" si="127"/>
        <v>16.963319088319089</v>
      </c>
      <c r="CG303" s="55">
        <f t="shared" si="128"/>
        <v>1.2234922428850303</v>
      </c>
      <c r="CH303" s="55">
        <f t="shared" si="129"/>
        <v>1.5885538843659446</v>
      </c>
      <c r="CI303" s="30">
        <v>122</v>
      </c>
      <c r="CJ303" s="30">
        <v>6</v>
      </c>
      <c r="CK303" s="30">
        <v>25</v>
      </c>
      <c r="CL303" s="30">
        <v>153</v>
      </c>
      <c r="CM303" s="30">
        <v>4508</v>
      </c>
      <c r="CN303" s="30">
        <v>56</v>
      </c>
      <c r="CO303" s="30">
        <v>215</v>
      </c>
      <c r="CP303" s="30">
        <v>4779</v>
      </c>
      <c r="CQ303" s="1">
        <f t="shared" si="137"/>
        <v>0.37904505076142131</v>
      </c>
      <c r="CR303" s="47">
        <v>38932</v>
      </c>
      <c r="CS303" s="55">
        <f t="shared" si="130"/>
        <v>3.0878807106598987</v>
      </c>
      <c r="CT303" s="59">
        <v>4311</v>
      </c>
      <c r="CU303" s="29" t="s">
        <v>25</v>
      </c>
      <c r="CV303" s="29" t="s">
        <v>25</v>
      </c>
      <c r="CW303" s="29" t="s">
        <v>25</v>
      </c>
      <c r="CX303" s="35">
        <v>0</v>
      </c>
      <c r="CY303" s="49">
        <v>0</v>
      </c>
      <c r="CZ303" s="35">
        <v>1</v>
      </c>
      <c r="DA303" s="35">
        <v>1.375</v>
      </c>
      <c r="DB303" s="35">
        <v>2.375</v>
      </c>
      <c r="DC303" s="49">
        <f t="shared" si="131"/>
        <v>5308.6315789473683</v>
      </c>
      <c r="DD303" s="30">
        <v>65</v>
      </c>
      <c r="DE303" s="31">
        <v>45000</v>
      </c>
      <c r="DF303" s="35">
        <v>40</v>
      </c>
      <c r="DG303" s="29" t="s">
        <v>25</v>
      </c>
      <c r="DH303" s="29" t="s">
        <v>25</v>
      </c>
      <c r="DI303" s="29" t="s">
        <v>25</v>
      </c>
      <c r="DJ303" s="47">
        <v>14</v>
      </c>
      <c r="DK303" s="47">
        <v>26</v>
      </c>
      <c r="DL303" s="47">
        <v>6</v>
      </c>
      <c r="DM303" s="47">
        <v>7702</v>
      </c>
      <c r="DN303" s="47">
        <v>325</v>
      </c>
      <c r="DO303" s="47">
        <v>2994</v>
      </c>
      <c r="DP303" s="29" t="s">
        <v>2028</v>
      </c>
      <c r="DQ303" s="47">
        <v>0</v>
      </c>
      <c r="DR303" s="47">
        <v>2808</v>
      </c>
      <c r="DS303" s="30">
        <v>52</v>
      </c>
      <c r="DT303" s="30">
        <v>54</v>
      </c>
      <c r="DU303" s="30">
        <v>54</v>
      </c>
      <c r="DV303" s="30">
        <v>54</v>
      </c>
      <c r="DX303" s="2">
        <f t="shared" si="132"/>
        <v>2808</v>
      </c>
      <c r="DY303" s="33" t="s">
        <v>2186</v>
      </c>
      <c r="DZ303" s="33" t="s">
        <v>1744</v>
      </c>
      <c r="EA303" s="33" t="s">
        <v>2033</v>
      </c>
      <c r="EB303" s="33" t="s">
        <v>2027</v>
      </c>
      <c r="EC303" s="36">
        <v>604</v>
      </c>
      <c r="ED303" s="29" t="s">
        <v>1742</v>
      </c>
      <c r="EE303" s="29" t="s">
        <v>280</v>
      </c>
      <c r="EF303" s="37">
        <v>41548</v>
      </c>
      <c r="EG303" s="37">
        <v>41912</v>
      </c>
      <c r="EH303" s="29" t="s">
        <v>1742</v>
      </c>
      <c r="EI303" s="55">
        <f t="shared" si="133"/>
        <v>1.8213039340101522</v>
      </c>
      <c r="EJ303" s="54">
        <f t="shared" si="134"/>
        <v>1.1738578680203046E-2</v>
      </c>
      <c r="EK303" s="55">
        <f t="shared" si="135"/>
        <v>1.8310596446700507</v>
      </c>
      <c r="EL303" s="54">
        <f t="shared" si="136"/>
        <v>0.11389593908629442</v>
      </c>
    </row>
    <row r="304" spans="1:142" x14ac:dyDescent="0.3">
      <c r="A304" s="29" t="s">
        <v>1651</v>
      </c>
      <c r="B304" s="29"/>
      <c r="C304" s="30">
        <v>5323</v>
      </c>
      <c r="D304" s="30">
        <v>0</v>
      </c>
      <c r="E304" s="30">
        <v>0</v>
      </c>
      <c r="F304" s="30">
        <v>10000</v>
      </c>
      <c r="H304" s="2">
        <f t="shared" si="112"/>
        <v>10000</v>
      </c>
      <c r="I304" s="1">
        <f t="shared" si="111"/>
        <v>1.8786398647379297</v>
      </c>
      <c r="J304" s="31">
        <v>66470</v>
      </c>
      <c r="K304" s="31">
        <v>16051</v>
      </c>
      <c r="L304" s="31">
        <v>82521</v>
      </c>
      <c r="M304" s="45">
        <f t="shared" si="113"/>
        <v>15.50272402780387</v>
      </c>
      <c r="N304" s="31">
        <v>22985</v>
      </c>
      <c r="O304" s="31">
        <v>3910</v>
      </c>
      <c r="P304" s="31">
        <v>1625</v>
      </c>
      <c r="Q304" s="31">
        <v>28520</v>
      </c>
      <c r="R304" s="45">
        <f t="shared" si="114"/>
        <v>5.3578808942325757</v>
      </c>
      <c r="S304" s="31">
        <v>53849</v>
      </c>
      <c r="T304" s="31">
        <v>164890</v>
      </c>
      <c r="U304" s="31">
        <v>0</v>
      </c>
      <c r="V304" s="31">
        <v>164890</v>
      </c>
      <c r="W304" s="45">
        <f t="shared" si="115"/>
        <v>30.976892729663724</v>
      </c>
      <c r="X304" s="4">
        <f t="shared" si="116"/>
        <v>0.50046091333616349</v>
      </c>
      <c r="Y304" s="4">
        <f t="shared" si="117"/>
        <v>0.17296379404451453</v>
      </c>
      <c r="Z304" s="4">
        <f t="shared" si="118"/>
        <v>0.326575292619322</v>
      </c>
      <c r="AA304" s="4">
        <f t="shared" si="119"/>
        <v>0</v>
      </c>
      <c r="AB304" s="31">
        <v>0</v>
      </c>
      <c r="AC304" s="31">
        <v>20250</v>
      </c>
      <c r="AD304" s="31">
        <v>144640</v>
      </c>
      <c r="AE304" s="31">
        <v>40000</v>
      </c>
      <c r="AF304" s="31">
        <v>40000</v>
      </c>
      <c r="AG304" s="31">
        <v>0</v>
      </c>
      <c r="AH304" s="31">
        <v>0</v>
      </c>
      <c r="AI304" s="31">
        <v>40000</v>
      </c>
      <c r="AJ304" s="45">
        <f t="shared" si="120"/>
        <v>7.5145594589517186</v>
      </c>
      <c r="AK304" s="31">
        <v>0</v>
      </c>
      <c r="AL304" s="31">
        <v>0</v>
      </c>
      <c r="AM304" s="31">
        <v>0</v>
      </c>
      <c r="AN304" s="31">
        <v>0</v>
      </c>
      <c r="AO304" s="31">
        <v>35590</v>
      </c>
      <c r="AP304" s="31">
        <v>71004</v>
      </c>
      <c r="AQ304" s="31">
        <v>106594</v>
      </c>
      <c r="AR304" s="31">
        <v>146594</v>
      </c>
      <c r="AS304" s="46">
        <f t="shared" si="121"/>
        <v>27.539733233139206</v>
      </c>
      <c r="AT304" s="31">
        <v>0</v>
      </c>
      <c r="AU304" s="31">
        <v>0</v>
      </c>
      <c r="AV304" s="31">
        <v>0</v>
      </c>
      <c r="AW304" s="31">
        <v>0</v>
      </c>
      <c r="AX304" s="31">
        <v>0</v>
      </c>
      <c r="AY304" s="31">
        <v>0</v>
      </c>
      <c r="AZ304" s="31">
        <v>0</v>
      </c>
      <c r="BA304" s="31">
        <v>0</v>
      </c>
      <c r="BB304" s="31">
        <v>0</v>
      </c>
      <c r="BC304" s="33" t="s">
        <v>25</v>
      </c>
      <c r="BD304" s="47">
        <v>49256</v>
      </c>
      <c r="BE304" s="47">
        <v>51854</v>
      </c>
      <c r="BF304" s="45">
        <f t="shared" si="122"/>
        <v>9.7414991546120611</v>
      </c>
      <c r="BG304" s="30">
        <v>1698</v>
      </c>
      <c r="BH304" s="30">
        <v>1698</v>
      </c>
      <c r="BI304" s="30">
        <v>0</v>
      </c>
      <c r="BJ304" s="30">
        <v>2428</v>
      </c>
      <c r="BK304" s="30">
        <v>2497</v>
      </c>
      <c r="BL304" s="30">
        <v>0</v>
      </c>
      <c r="BM304" s="30">
        <v>0</v>
      </c>
      <c r="BN304" s="30">
        <v>2</v>
      </c>
      <c r="BO304" s="30">
        <v>51</v>
      </c>
      <c r="BP304" s="30">
        <v>0</v>
      </c>
      <c r="BQ304" s="30">
        <v>53</v>
      </c>
      <c r="BR304" s="47">
        <v>53382</v>
      </c>
      <c r="BS304" s="47">
        <v>56051</v>
      </c>
      <c r="BT304" s="1">
        <f t="shared" si="123"/>
        <v>10.52996430584257</v>
      </c>
      <c r="BU304" s="30">
        <v>18</v>
      </c>
      <c r="BV304" s="30">
        <v>0</v>
      </c>
      <c r="BW304" s="47">
        <v>8123</v>
      </c>
      <c r="BX304" s="52">
        <f t="shared" si="124"/>
        <v>1.5260191621266204</v>
      </c>
      <c r="BY304" s="47">
        <v>57777</v>
      </c>
      <c r="BZ304" s="47">
        <v>0</v>
      </c>
      <c r="CA304" s="47">
        <v>74898</v>
      </c>
      <c r="CB304" s="47">
        <v>0</v>
      </c>
      <c r="CC304" s="47">
        <v>132675</v>
      </c>
      <c r="CD304" s="55">
        <f t="shared" si="125"/>
        <v>24.924854405410482</v>
      </c>
      <c r="CE304" s="3">
        <f t="shared" si="126"/>
        <v>14991.525423728814</v>
      </c>
      <c r="CF304" s="55">
        <f t="shared" si="127"/>
        <v>72.89835164835165</v>
      </c>
      <c r="CG304" s="55">
        <f t="shared" si="128"/>
        <v>1.3785418160281786</v>
      </c>
      <c r="CH304" s="55">
        <f t="shared" si="129"/>
        <v>2.3670407307630552</v>
      </c>
      <c r="CI304" s="30">
        <v>36</v>
      </c>
      <c r="CJ304" s="30">
        <v>5</v>
      </c>
      <c r="CK304" s="30">
        <v>26</v>
      </c>
      <c r="CL304" s="30">
        <v>67</v>
      </c>
      <c r="CM304" s="30">
        <v>4752</v>
      </c>
      <c r="CN304" s="30">
        <v>825</v>
      </c>
      <c r="CO304" s="30">
        <v>741</v>
      </c>
      <c r="CP304" s="30">
        <v>6318</v>
      </c>
      <c r="CQ304" s="1">
        <f t="shared" si="137"/>
        <v>1.1869246665414239</v>
      </c>
      <c r="CR304" s="47">
        <v>96243</v>
      </c>
      <c r="CS304" s="55">
        <f t="shared" si="130"/>
        <v>18.080593650197258</v>
      </c>
      <c r="CT304" s="59">
        <v>21666</v>
      </c>
      <c r="CU304" s="29" t="s">
        <v>25</v>
      </c>
      <c r="CV304" s="29" t="s">
        <v>25</v>
      </c>
      <c r="CW304" s="29" t="s">
        <v>25</v>
      </c>
      <c r="CX304" s="35">
        <v>1</v>
      </c>
      <c r="CY304" s="49">
        <f>C304/CX304</f>
        <v>5323</v>
      </c>
      <c r="CZ304" s="35">
        <v>1.3</v>
      </c>
      <c r="DA304" s="35">
        <v>6.55</v>
      </c>
      <c r="DB304" s="35">
        <v>8.85</v>
      </c>
      <c r="DC304" s="49">
        <f t="shared" si="131"/>
        <v>601.4689265536723</v>
      </c>
      <c r="DD304" s="30">
        <v>9152</v>
      </c>
      <c r="DE304" s="31">
        <v>30000</v>
      </c>
      <c r="DF304" s="35">
        <v>40</v>
      </c>
      <c r="DG304" s="29" t="s">
        <v>25</v>
      </c>
      <c r="DH304" s="29" t="s">
        <v>25</v>
      </c>
      <c r="DI304" s="29" t="s">
        <v>25</v>
      </c>
      <c r="DJ304" s="47">
        <v>122</v>
      </c>
      <c r="DK304" s="47">
        <v>1</v>
      </c>
      <c r="DL304" s="47">
        <v>12</v>
      </c>
      <c r="DM304" s="47">
        <v>23850</v>
      </c>
      <c r="DN304" s="47">
        <v>725</v>
      </c>
      <c r="DO304" s="47">
        <v>21460</v>
      </c>
      <c r="DP304" s="29" t="s">
        <v>25</v>
      </c>
      <c r="DQ304" s="47">
        <v>7410</v>
      </c>
      <c r="DR304" s="47">
        <v>1820</v>
      </c>
      <c r="DS304" s="30">
        <v>50</v>
      </c>
      <c r="DT304" s="30">
        <v>36</v>
      </c>
      <c r="DU304" s="30">
        <v>36</v>
      </c>
      <c r="DV304" s="30">
        <v>36</v>
      </c>
      <c r="DX304" s="2">
        <f t="shared" si="132"/>
        <v>1820</v>
      </c>
      <c r="DY304" s="33" t="s">
        <v>2182</v>
      </c>
      <c r="DZ304" s="33" t="s">
        <v>1653</v>
      </c>
      <c r="EA304" s="33" t="s">
        <v>2032</v>
      </c>
      <c r="EB304" s="33" t="s">
        <v>2027</v>
      </c>
      <c r="EC304" s="36">
        <v>561</v>
      </c>
      <c r="ED304" s="29" t="s">
        <v>1652</v>
      </c>
      <c r="EE304" s="29" t="s">
        <v>123</v>
      </c>
      <c r="EF304" s="37">
        <v>41640</v>
      </c>
      <c r="EG304" s="37">
        <v>42004</v>
      </c>
      <c r="EH304" s="29" t="s">
        <v>1652</v>
      </c>
      <c r="EI304" s="55">
        <f t="shared" si="133"/>
        <v>10.854217546496336</v>
      </c>
      <c r="EJ304" s="54">
        <f t="shared" si="134"/>
        <v>0</v>
      </c>
      <c r="EK304" s="55">
        <f t="shared" si="135"/>
        <v>14.070636858914146</v>
      </c>
      <c r="EL304" s="54">
        <f t="shared" si="136"/>
        <v>0</v>
      </c>
    </row>
    <row r="305" spans="1:142" ht="28.8" x14ac:dyDescent="0.3">
      <c r="A305" s="29" t="s">
        <v>1712</v>
      </c>
      <c r="B305" s="29"/>
      <c r="C305" s="30">
        <v>46024</v>
      </c>
      <c r="D305" s="30">
        <v>0</v>
      </c>
      <c r="E305" s="30">
        <v>0</v>
      </c>
      <c r="F305" s="30">
        <v>9560</v>
      </c>
      <c r="H305" s="2">
        <f t="shared" si="112"/>
        <v>9560</v>
      </c>
      <c r="I305" s="1">
        <f t="shared" si="111"/>
        <v>0.20771771249782722</v>
      </c>
      <c r="J305" s="31">
        <v>269879</v>
      </c>
      <c r="K305" s="31">
        <v>97080</v>
      </c>
      <c r="L305" s="31">
        <v>366959</v>
      </c>
      <c r="M305" s="45">
        <f t="shared" si="113"/>
        <v>7.9732096297583865</v>
      </c>
      <c r="N305" s="31">
        <v>40307</v>
      </c>
      <c r="O305" s="31">
        <v>4000</v>
      </c>
      <c r="P305" s="31">
        <v>721</v>
      </c>
      <c r="Q305" s="31">
        <v>45028</v>
      </c>
      <c r="R305" s="45">
        <f t="shared" si="114"/>
        <v>0.97835911698244393</v>
      </c>
      <c r="S305" s="31">
        <v>53449</v>
      </c>
      <c r="T305" s="31">
        <v>465436</v>
      </c>
      <c r="U305" s="31">
        <v>0</v>
      </c>
      <c r="V305" s="31">
        <v>465436</v>
      </c>
      <c r="W305" s="45">
        <f t="shared" si="115"/>
        <v>10.112897618633756</v>
      </c>
      <c r="X305" s="4">
        <f t="shared" si="116"/>
        <v>0.78841989016749892</v>
      </c>
      <c r="Y305" s="4">
        <f t="shared" si="117"/>
        <v>9.6743698381732399E-2</v>
      </c>
      <c r="Z305" s="4">
        <f t="shared" si="118"/>
        <v>0.11483641145076874</v>
      </c>
      <c r="AA305" s="4">
        <f t="shared" si="119"/>
        <v>0</v>
      </c>
      <c r="AB305" s="31">
        <v>0</v>
      </c>
      <c r="AC305" s="31">
        <v>45028</v>
      </c>
      <c r="AD305" s="31">
        <v>465436</v>
      </c>
      <c r="AE305" s="31">
        <v>465436</v>
      </c>
      <c r="AF305" s="31">
        <v>432416</v>
      </c>
      <c r="AG305" s="31">
        <v>33020</v>
      </c>
      <c r="AH305" s="31">
        <v>0</v>
      </c>
      <c r="AI305" s="31">
        <v>465436</v>
      </c>
      <c r="AJ305" s="45">
        <f t="shared" si="120"/>
        <v>10.112897618633756</v>
      </c>
      <c r="AK305" s="31">
        <v>0</v>
      </c>
      <c r="AL305" s="31">
        <v>0</v>
      </c>
      <c r="AM305" s="31">
        <v>0</v>
      </c>
      <c r="AN305" s="31">
        <v>0</v>
      </c>
      <c r="AO305" s="31">
        <v>0</v>
      </c>
      <c r="AP305" s="31">
        <v>0</v>
      </c>
      <c r="AQ305" s="31">
        <v>0</v>
      </c>
      <c r="AR305" s="31">
        <v>465436</v>
      </c>
      <c r="AS305" s="46">
        <f t="shared" si="121"/>
        <v>10.112897618633756</v>
      </c>
      <c r="AT305" s="31">
        <v>0</v>
      </c>
      <c r="AU305" s="31">
        <v>0</v>
      </c>
      <c r="AV305" s="31">
        <v>0</v>
      </c>
      <c r="AW305" s="31">
        <v>0</v>
      </c>
      <c r="AX305" s="31">
        <v>0</v>
      </c>
      <c r="AY305" s="31">
        <v>0</v>
      </c>
      <c r="AZ305" s="31">
        <v>0</v>
      </c>
      <c r="BA305" s="31">
        <v>0</v>
      </c>
      <c r="BB305" s="31">
        <v>0</v>
      </c>
      <c r="BC305" s="33" t="s">
        <v>25</v>
      </c>
      <c r="BD305" s="47">
        <v>27012</v>
      </c>
      <c r="BE305" s="47">
        <v>30606</v>
      </c>
      <c r="BF305" s="45">
        <f t="shared" si="122"/>
        <v>0.66500086911176781</v>
      </c>
      <c r="BG305" s="30">
        <v>2079</v>
      </c>
      <c r="BH305" s="30">
        <v>2133</v>
      </c>
      <c r="BI305" s="30">
        <v>5273</v>
      </c>
      <c r="BJ305" s="30">
        <v>5821</v>
      </c>
      <c r="BK305" s="30">
        <v>7639</v>
      </c>
      <c r="BL305" s="30">
        <v>0</v>
      </c>
      <c r="BM305" s="30">
        <v>2889</v>
      </c>
      <c r="BN305" s="30">
        <v>8</v>
      </c>
      <c r="BO305" s="30">
        <v>51</v>
      </c>
      <c r="BP305" s="30">
        <v>0</v>
      </c>
      <c r="BQ305" s="30">
        <v>59</v>
      </c>
      <c r="BR305" s="47">
        <v>34912</v>
      </c>
      <c r="BS305" s="47">
        <v>48548</v>
      </c>
      <c r="BT305" s="1">
        <f t="shared" si="123"/>
        <v>1.0548409525464975</v>
      </c>
      <c r="BU305" s="30">
        <v>22</v>
      </c>
      <c r="BV305" s="30">
        <v>39</v>
      </c>
      <c r="BW305" s="47">
        <v>23287</v>
      </c>
      <c r="BX305" s="52">
        <f t="shared" si="124"/>
        <v>0.50597514340344163</v>
      </c>
      <c r="BY305" s="47">
        <v>76537</v>
      </c>
      <c r="BZ305" s="47">
        <v>152</v>
      </c>
      <c r="CA305" s="47">
        <v>57769</v>
      </c>
      <c r="CB305" s="47">
        <v>2307</v>
      </c>
      <c r="CC305" s="47">
        <v>136765</v>
      </c>
      <c r="CD305" s="55">
        <f t="shared" si="125"/>
        <v>2.9716017729880062</v>
      </c>
      <c r="CE305" s="3">
        <f t="shared" si="126"/>
        <v>17819.543973941367</v>
      </c>
      <c r="CF305" s="55">
        <f t="shared" si="127"/>
        <v>44.694444444444443</v>
      </c>
      <c r="CG305" s="55">
        <f t="shared" si="128"/>
        <v>0.72388095250697337</v>
      </c>
      <c r="CH305" s="55">
        <f t="shared" si="129"/>
        <v>2.7664579385350581</v>
      </c>
      <c r="CI305" s="30">
        <v>350</v>
      </c>
      <c r="CJ305" s="30">
        <v>56</v>
      </c>
      <c r="CK305" s="30">
        <v>51</v>
      </c>
      <c r="CL305" s="30">
        <v>457</v>
      </c>
      <c r="CM305" s="30">
        <v>8046</v>
      </c>
      <c r="CN305" s="30">
        <v>436</v>
      </c>
      <c r="CO305" s="30">
        <v>500</v>
      </c>
      <c r="CP305" s="30">
        <v>8982</v>
      </c>
      <c r="CQ305" s="1">
        <f t="shared" si="137"/>
        <v>0.19515904745350252</v>
      </c>
      <c r="CR305" s="47">
        <v>188933</v>
      </c>
      <c r="CS305" s="55">
        <f t="shared" si="130"/>
        <v>4.1050973405179905</v>
      </c>
      <c r="CT305" s="59">
        <v>15694</v>
      </c>
      <c r="CU305" s="29" t="s">
        <v>25</v>
      </c>
      <c r="CV305" s="29" t="s">
        <v>25</v>
      </c>
      <c r="CW305" s="29" t="s">
        <v>25</v>
      </c>
      <c r="CX305" s="35">
        <v>3</v>
      </c>
      <c r="CY305" s="49">
        <f>C305/CX305</f>
        <v>15341.333333333334</v>
      </c>
      <c r="CZ305" s="35">
        <v>0</v>
      </c>
      <c r="DA305" s="35">
        <v>4.6749999999999998</v>
      </c>
      <c r="DB305" s="35">
        <v>7.6749999999999998</v>
      </c>
      <c r="DC305" s="49">
        <f t="shared" si="131"/>
        <v>5996.6123778501633</v>
      </c>
      <c r="DD305" s="30">
        <v>1048</v>
      </c>
      <c r="DE305" s="31">
        <v>63000</v>
      </c>
      <c r="DF305" s="35">
        <v>40</v>
      </c>
      <c r="DG305" s="29" t="s">
        <v>25</v>
      </c>
      <c r="DH305" s="29" t="s">
        <v>25</v>
      </c>
      <c r="DI305" s="29" t="s">
        <v>25</v>
      </c>
      <c r="DJ305" s="47">
        <v>540</v>
      </c>
      <c r="DK305" s="47">
        <v>44</v>
      </c>
      <c r="DL305" s="47">
        <v>35</v>
      </c>
      <c r="DM305" s="47">
        <v>35498</v>
      </c>
      <c r="DN305" s="47">
        <v>6635</v>
      </c>
      <c r="DO305" s="47">
        <v>1932</v>
      </c>
      <c r="DP305" s="29" t="s">
        <v>25</v>
      </c>
      <c r="DQ305" s="47">
        <v>23515</v>
      </c>
      <c r="DR305" s="47">
        <v>3060</v>
      </c>
      <c r="DS305" s="30">
        <v>52</v>
      </c>
      <c r="DT305" s="30">
        <v>60</v>
      </c>
      <c r="DU305" s="30">
        <v>60</v>
      </c>
      <c r="DV305" s="30">
        <v>60</v>
      </c>
      <c r="DX305" s="2">
        <f t="shared" si="132"/>
        <v>3060</v>
      </c>
      <c r="DY305" s="33" t="s">
        <v>2181</v>
      </c>
      <c r="DZ305" s="33" t="s">
        <v>1713</v>
      </c>
      <c r="EA305" s="33" t="s">
        <v>2030</v>
      </c>
      <c r="EB305" s="33" t="s">
        <v>2027</v>
      </c>
      <c r="EC305" s="36">
        <v>586</v>
      </c>
      <c r="ED305" s="29" t="s">
        <v>1711</v>
      </c>
      <c r="EE305" s="29" t="s">
        <v>424</v>
      </c>
      <c r="EF305" s="37">
        <v>41548</v>
      </c>
      <c r="EG305" s="37">
        <v>41912</v>
      </c>
      <c r="EH305" s="29" t="s">
        <v>1711</v>
      </c>
      <c r="EI305" s="55">
        <f t="shared" si="133"/>
        <v>1.6629801842516947</v>
      </c>
      <c r="EJ305" s="54">
        <f t="shared" si="134"/>
        <v>3.3026247175386753E-3</v>
      </c>
      <c r="EK305" s="55">
        <f t="shared" si="135"/>
        <v>1.2551929428124458</v>
      </c>
      <c r="EL305" s="54">
        <f t="shared" si="136"/>
        <v>5.0126021206327136E-2</v>
      </c>
    </row>
    <row r="306" spans="1:142" ht="28.8" x14ac:dyDescent="0.3">
      <c r="A306" s="29" t="s">
        <v>826</v>
      </c>
      <c r="B306" s="29"/>
      <c r="C306" s="30">
        <v>8326</v>
      </c>
      <c r="D306" s="30">
        <v>0</v>
      </c>
      <c r="E306" s="30">
        <v>0</v>
      </c>
      <c r="F306" s="30">
        <v>3792</v>
      </c>
      <c r="H306" s="2">
        <f t="shared" si="112"/>
        <v>3792</v>
      </c>
      <c r="I306" s="1">
        <f t="shared" si="111"/>
        <v>0.45544078789334613</v>
      </c>
      <c r="J306" s="31">
        <v>69113</v>
      </c>
      <c r="K306" s="31">
        <v>30400</v>
      </c>
      <c r="L306" s="31">
        <v>99513</v>
      </c>
      <c r="M306" s="45">
        <f t="shared" si="113"/>
        <v>11.95207782848907</v>
      </c>
      <c r="N306" s="31">
        <v>12442</v>
      </c>
      <c r="O306" s="31">
        <v>1700</v>
      </c>
      <c r="P306" s="31">
        <v>9500</v>
      </c>
      <c r="Q306" s="31">
        <v>23642</v>
      </c>
      <c r="R306" s="45">
        <f t="shared" si="114"/>
        <v>2.8395387941388424</v>
      </c>
      <c r="S306" s="31">
        <v>1720</v>
      </c>
      <c r="T306" s="31">
        <v>124875</v>
      </c>
      <c r="U306" s="31">
        <v>0</v>
      </c>
      <c r="V306" s="31">
        <v>124875</v>
      </c>
      <c r="W306" s="45">
        <f t="shared" si="115"/>
        <v>14.998198414604852</v>
      </c>
      <c r="X306" s="4">
        <f t="shared" si="116"/>
        <v>0.79690090090090093</v>
      </c>
      <c r="Y306" s="4">
        <f t="shared" si="117"/>
        <v>0.18932532532532534</v>
      </c>
      <c r="Z306" s="4">
        <f t="shared" si="118"/>
        <v>1.3773773773773774E-2</v>
      </c>
      <c r="AA306" s="4">
        <f t="shared" si="119"/>
        <v>0</v>
      </c>
      <c r="AB306" s="31">
        <v>0</v>
      </c>
      <c r="AC306" s="31">
        <v>23642</v>
      </c>
      <c r="AD306" s="31">
        <v>124875</v>
      </c>
      <c r="AE306" s="31">
        <v>124875</v>
      </c>
      <c r="AF306" s="31">
        <v>0</v>
      </c>
      <c r="AG306" s="31">
        <v>135802</v>
      </c>
      <c r="AH306" s="31">
        <v>0</v>
      </c>
      <c r="AI306" s="31">
        <v>135802</v>
      </c>
      <c r="AJ306" s="45">
        <f t="shared" si="120"/>
        <v>16.31059332212347</v>
      </c>
      <c r="AK306" s="31">
        <v>0</v>
      </c>
      <c r="AL306" s="31">
        <v>0</v>
      </c>
      <c r="AM306" s="31">
        <v>0</v>
      </c>
      <c r="AN306" s="31">
        <v>0</v>
      </c>
      <c r="AO306" s="31">
        <v>0</v>
      </c>
      <c r="AP306" s="31">
        <v>0</v>
      </c>
      <c r="AQ306" s="31">
        <v>0</v>
      </c>
      <c r="AR306" s="31">
        <v>135802</v>
      </c>
      <c r="AS306" s="46">
        <f t="shared" si="121"/>
        <v>16.31059332212347</v>
      </c>
      <c r="AT306" s="31">
        <v>0</v>
      </c>
      <c r="AU306" s="31">
        <v>0</v>
      </c>
      <c r="AV306" s="31">
        <v>0</v>
      </c>
      <c r="AW306" s="31">
        <v>0</v>
      </c>
      <c r="AX306" s="31">
        <v>0</v>
      </c>
      <c r="AY306" s="31">
        <v>0</v>
      </c>
      <c r="AZ306" s="31">
        <v>0</v>
      </c>
      <c r="BA306" s="31">
        <v>0</v>
      </c>
      <c r="BB306" s="31">
        <v>0</v>
      </c>
      <c r="BC306" s="33" t="s">
        <v>25</v>
      </c>
      <c r="BD306" s="47">
        <v>14772</v>
      </c>
      <c r="BE306" s="47">
        <v>14800</v>
      </c>
      <c r="BF306" s="45">
        <f t="shared" si="122"/>
        <v>1.7775642565457603</v>
      </c>
      <c r="BG306" s="30">
        <v>849</v>
      </c>
      <c r="BH306" s="30">
        <v>856</v>
      </c>
      <c r="BI306" s="30">
        <v>0</v>
      </c>
      <c r="BJ306" s="30">
        <v>484</v>
      </c>
      <c r="BK306" s="30">
        <v>1000</v>
      </c>
      <c r="BL306" s="30">
        <v>0</v>
      </c>
      <c r="BM306" s="30">
        <v>0</v>
      </c>
      <c r="BN306" s="30">
        <v>0</v>
      </c>
      <c r="BO306" s="30">
        <v>51</v>
      </c>
      <c r="BP306" s="30">
        <v>2</v>
      </c>
      <c r="BQ306" s="30">
        <v>53</v>
      </c>
      <c r="BR306" s="47">
        <v>16105</v>
      </c>
      <c r="BS306" s="47">
        <v>16656</v>
      </c>
      <c r="BT306" s="1">
        <f t="shared" si="123"/>
        <v>2.0004804227720392</v>
      </c>
      <c r="BU306" s="30">
        <v>44</v>
      </c>
      <c r="BV306" s="30">
        <v>0</v>
      </c>
      <c r="BW306" s="47">
        <v>48141</v>
      </c>
      <c r="BX306" s="52">
        <f t="shared" si="124"/>
        <v>5.7820081671871248</v>
      </c>
      <c r="BY306" s="47">
        <v>954</v>
      </c>
      <c r="BZ306" s="47">
        <v>0</v>
      </c>
      <c r="CA306" s="47">
        <v>23812</v>
      </c>
      <c r="CB306" s="47">
        <v>0</v>
      </c>
      <c r="CC306" s="47">
        <v>24766</v>
      </c>
      <c r="CD306" s="55">
        <f t="shared" si="125"/>
        <v>2.9745375930819122</v>
      </c>
      <c r="CE306" s="3">
        <f t="shared" si="126"/>
        <v>10405.882352941177</v>
      </c>
      <c r="CF306" s="55">
        <f t="shared" si="127"/>
        <v>12.2</v>
      </c>
      <c r="CG306" s="55">
        <f t="shared" si="128"/>
        <v>0.36498415739444401</v>
      </c>
      <c r="CH306" s="55">
        <f t="shared" si="129"/>
        <v>1.486911623439001</v>
      </c>
      <c r="CI306" s="30">
        <v>52</v>
      </c>
      <c r="CJ306" s="30">
        <v>0</v>
      </c>
      <c r="CK306" s="30">
        <v>0</v>
      </c>
      <c r="CL306" s="30">
        <v>52</v>
      </c>
      <c r="CM306" s="30">
        <v>654</v>
      </c>
      <c r="CN306" s="30">
        <v>654</v>
      </c>
      <c r="CO306" s="30">
        <v>216</v>
      </c>
      <c r="CP306" s="30">
        <v>1524</v>
      </c>
      <c r="CQ306" s="1">
        <f t="shared" si="137"/>
        <v>0.18304107614700937</v>
      </c>
      <c r="CR306" s="47">
        <v>67855</v>
      </c>
      <c r="CS306" s="55">
        <f t="shared" si="130"/>
        <v>8.1497717991832808</v>
      </c>
      <c r="CT306" s="59">
        <v>6230</v>
      </c>
      <c r="CU306" s="29" t="s">
        <v>25</v>
      </c>
      <c r="CV306" s="29" t="s">
        <v>25</v>
      </c>
      <c r="CW306" s="29" t="s">
        <v>25</v>
      </c>
      <c r="CX306" s="35">
        <v>0</v>
      </c>
      <c r="CY306" s="49">
        <v>0</v>
      </c>
      <c r="CZ306" s="35">
        <v>1.63</v>
      </c>
      <c r="DA306" s="35">
        <v>0.75</v>
      </c>
      <c r="DB306" s="35">
        <v>2.38</v>
      </c>
      <c r="DC306" s="49">
        <f t="shared" si="131"/>
        <v>3498.3193277310925</v>
      </c>
      <c r="DD306" s="30">
        <v>1500</v>
      </c>
      <c r="DE306" s="31">
        <v>33690</v>
      </c>
      <c r="DF306" s="35">
        <v>38</v>
      </c>
      <c r="DG306" s="29" t="s">
        <v>25</v>
      </c>
      <c r="DH306" s="29" t="s">
        <v>25</v>
      </c>
      <c r="DI306" s="29" t="s">
        <v>25</v>
      </c>
      <c r="DJ306" s="47">
        <v>437</v>
      </c>
      <c r="DK306" s="47">
        <v>30</v>
      </c>
      <c r="DL306" s="47">
        <v>18</v>
      </c>
      <c r="DM306" s="47">
        <v>34197</v>
      </c>
      <c r="DN306" s="47">
        <v>220</v>
      </c>
      <c r="DO306" s="47">
        <v>520</v>
      </c>
      <c r="DP306" s="29" t="s">
        <v>83</v>
      </c>
      <c r="DQ306" s="47">
        <v>0</v>
      </c>
      <c r="DR306" s="47">
        <v>2030</v>
      </c>
      <c r="DS306" s="30">
        <v>52</v>
      </c>
      <c r="DT306" s="30">
        <v>46</v>
      </c>
      <c r="DU306" s="30">
        <v>46</v>
      </c>
      <c r="DV306" s="30">
        <v>46</v>
      </c>
      <c r="DX306" s="2">
        <f t="shared" si="132"/>
        <v>2030</v>
      </c>
      <c r="DY306" s="33" t="s">
        <v>2178</v>
      </c>
      <c r="DZ306" s="33" t="s">
        <v>829</v>
      </c>
      <c r="EA306" s="33" t="s">
        <v>2031</v>
      </c>
      <c r="EB306" s="33" t="s">
        <v>2027</v>
      </c>
      <c r="EC306" s="36">
        <v>234</v>
      </c>
      <c r="ED306" s="29" t="s">
        <v>827</v>
      </c>
      <c r="EE306" s="29" t="s">
        <v>828</v>
      </c>
      <c r="EF306" s="37">
        <v>41548</v>
      </c>
      <c r="EG306" s="37">
        <v>41912</v>
      </c>
      <c r="EH306" s="29" t="s">
        <v>827</v>
      </c>
      <c r="EI306" s="55">
        <f t="shared" si="133"/>
        <v>0.11458083113139562</v>
      </c>
      <c r="EJ306" s="54">
        <f t="shared" si="134"/>
        <v>0</v>
      </c>
      <c r="EK306" s="55">
        <f t="shared" si="135"/>
        <v>2.8599567619505164</v>
      </c>
      <c r="EL306" s="54">
        <f t="shared" si="136"/>
        <v>0</v>
      </c>
    </row>
    <row r="307" spans="1:142" ht="28.8" x14ac:dyDescent="0.3">
      <c r="A307" s="29" t="s">
        <v>830</v>
      </c>
      <c r="B307" s="29"/>
      <c r="C307" s="30">
        <v>5200</v>
      </c>
      <c r="D307" s="30">
        <v>0</v>
      </c>
      <c r="E307" s="30">
        <v>0</v>
      </c>
      <c r="F307" s="30">
        <v>16000</v>
      </c>
      <c r="H307" s="2">
        <f t="shared" si="112"/>
        <v>16000</v>
      </c>
      <c r="I307" s="1">
        <f t="shared" si="111"/>
        <v>3.0769230769230771</v>
      </c>
      <c r="J307" s="31">
        <v>159613</v>
      </c>
      <c r="K307" s="31">
        <v>79148</v>
      </c>
      <c r="L307" s="31">
        <v>238761</v>
      </c>
      <c r="M307" s="45">
        <f t="shared" si="113"/>
        <v>45.915576923076927</v>
      </c>
      <c r="N307" s="31">
        <v>22674</v>
      </c>
      <c r="O307" s="31">
        <v>4080</v>
      </c>
      <c r="P307" s="31">
        <v>2332</v>
      </c>
      <c r="Q307" s="31">
        <v>29086</v>
      </c>
      <c r="R307" s="45">
        <f t="shared" si="114"/>
        <v>5.593461538461538</v>
      </c>
      <c r="S307" s="31">
        <v>90989</v>
      </c>
      <c r="T307" s="31">
        <v>358836</v>
      </c>
      <c r="U307" s="31">
        <v>0</v>
      </c>
      <c r="V307" s="31">
        <v>358836</v>
      </c>
      <c r="W307" s="45">
        <f t="shared" si="115"/>
        <v>69.006923076923073</v>
      </c>
      <c r="X307" s="4">
        <f t="shared" si="116"/>
        <v>0.66537638364043739</v>
      </c>
      <c r="Y307" s="4">
        <f t="shared" si="117"/>
        <v>8.1056527215775456E-2</v>
      </c>
      <c r="Z307" s="4">
        <f t="shared" si="118"/>
        <v>0.25356708914378712</v>
      </c>
      <c r="AA307" s="4">
        <f t="shared" si="119"/>
        <v>0</v>
      </c>
      <c r="AB307" s="31">
        <v>1022487</v>
      </c>
      <c r="AC307" s="31">
        <v>29086</v>
      </c>
      <c r="AD307" s="31">
        <v>358836</v>
      </c>
      <c r="AE307" s="31">
        <v>328139</v>
      </c>
      <c r="AF307" s="31">
        <v>328139</v>
      </c>
      <c r="AG307" s="31">
        <v>0</v>
      </c>
      <c r="AH307" s="31">
        <v>0</v>
      </c>
      <c r="AI307" s="31">
        <v>328139</v>
      </c>
      <c r="AJ307" s="45">
        <f t="shared" si="120"/>
        <v>63.103653846153847</v>
      </c>
      <c r="AK307" s="31">
        <v>0</v>
      </c>
      <c r="AL307" s="31">
        <v>0</v>
      </c>
      <c r="AM307" s="31">
        <v>0</v>
      </c>
      <c r="AN307" s="31">
        <v>0</v>
      </c>
      <c r="AO307" s="31">
        <v>0</v>
      </c>
      <c r="AP307" s="31">
        <v>0</v>
      </c>
      <c r="AQ307" s="31">
        <v>0</v>
      </c>
      <c r="AR307" s="31">
        <v>328139</v>
      </c>
      <c r="AS307" s="46">
        <f t="shared" si="121"/>
        <v>63.103653846153847</v>
      </c>
      <c r="AT307" s="31">
        <v>1022847</v>
      </c>
      <c r="AU307" s="31">
        <v>0</v>
      </c>
      <c r="AV307" s="31">
        <v>0</v>
      </c>
      <c r="AW307" s="31">
        <v>0</v>
      </c>
      <c r="AX307" s="31">
        <v>0</v>
      </c>
      <c r="AY307" s="31">
        <v>0</v>
      </c>
      <c r="AZ307" s="31">
        <v>48959</v>
      </c>
      <c r="BA307" s="31">
        <v>0</v>
      </c>
      <c r="BB307" s="31">
        <v>1071806</v>
      </c>
      <c r="BC307" s="33" t="s">
        <v>25</v>
      </c>
      <c r="BD307" s="47">
        <v>15812</v>
      </c>
      <c r="BE307" s="47">
        <v>16496</v>
      </c>
      <c r="BF307" s="45">
        <f t="shared" si="122"/>
        <v>3.1723076923076925</v>
      </c>
      <c r="BG307" s="30">
        <v>879</v>
      </c>
      <c r="BH307" s="30">
        <v>885</v>
      </c>
      <c r="BI307" s="30">
        <v>49</v>
      </c>
      <c r="BJ307" s="30">
        <v>755</v>
      </c>
      <c r="BK307" s="30">
        <v>829</v>
      </c>
      <c r="BL307" s="30">
        <v>0</v>
      </c>
      <c r="BM307" s="30">
        <v>536</v>
      </c>
      <c r="BN307" s="30">
        <v>1</v>
      </c>
      <c r="BO307" s="30">
        <v>51</v>
      </c>
      <c r="BP307" s="30">
        <v>0</v>
      </c>
      <c r="BQ307" s="30">
        <v>52</v>
      </c>
      <c r="BR307" s="47">
        <v>17446</v>
      </c>
      <c r="BS307" s="47">
        <v>18796</v>
      </c>
      <c r="BT307" s="1">
        <f t="shared" si="123"/>
        <v>3.6146153846153846</v>
      </c>
      <c r="BU307" s="30">
        <v>78</v>
      </c>
      <c r="BV307" s="30">
        <v>0</v>
      </c>
      <c r="BW307" s="47">
        <v>1707</v>
      </c>
      <c r="BX307" s="52">
        <f t="shared" si="124"/>
        <v>0.32826923076923076</v>
      </c>
      <c r="BY307" s="47">
        <v>11555</v>
      </c>
      <c r="BZ307" s="47">
        <v>162</v>
      </c>
      <c r="CA307" s="47">
        <v>35162</v>
      </c>
      <c r="CB307" s="47">
        <v>3871</v>
      </c>
      <c r="CC307" s="47">
        <v>50750</v>
      </c>
      <c r="CD307" s="55">
        <f t="shared" si="125"/>
        <v>9.759615384615385</v>
      </c>
      <c r="CE307" s="3">
        <f t="shared" si="126"/>
        <v>10150</v>
      </c>
      <c r="CF307" s="55">
        <f t="shared" si="127"/>
        <v>24.166666666666668</v>
      </c>
      <c r="CG307" s="55">
        <f t="shared" si="128"/>
        <v>1.3018495241515533</v>
      </c>
      <c r="CH307" s="55">
        <f t="shared" si="129"/>
        <v>2.4854756331134285</v>
      </c>
      <c r="CI307" s="30">
        <v>136</v>
      </c>
      <c r="CJ307" s="30">
        <v>0</v>
      </c>
      <c r="CK307" s="30">
        <v>0</v>
      </c>
      <c r="CL307" s="30">
        <v>136</v>
      </c>
      <c r="CM307" s="30">
        <v>3965</v>
      </c>
      <c r="CN307" s="30">
        <v>0</v>
      </c>
      <c r="CO307" s="30">
        <v>0</v>
      </c>
      <c r="CP307" s="30">
        <v>3965</v>
      </c>
      <c r="CQ307" s="1">
        <f t="shared" si="137"/>
        <v>0.76249999999999996</v>
      </c>
      <c r="CR307" s="47">
        <v>38983</v>
      </c>
      <c r="CS307" s="55">
        <f t="shared" si="130"/>
        <v>7.4967307692307692</v>
      </c>
      <c r="CT307" s="59">
        <v>6328</v>
      </c>
      <c r="CU307" s="29" t="s">
        <v>25</v>
      </c>
      <c r="CV307" s="29" t="s">
        <v>25</v>
      </c>
      <c r="CW307" s="29" t="s">
        <v>25</v>
      </c>
      <c r="CX307" s="35">
        <v>1</v>
      </c>
      <c r="CY307" s="49">
        <f>C307/CX307</f>
        <v>5200</v>
      </c>
      <c r="CZ307" s="35">
        <v>0</v>
      </c>
      <c r="DA307" s="35">
        <v>4</v>
      </c>
      <c r="DB307" s="35">
        <v>5</v>
      </c>
      <c r="DC307" s="49">
        <f t="shared" si="131"/>
        <v>1040</v>
      </c>
      <c r="DD307" s="30">
        <v>121</v>
      </c>
      <c r="DE307" s="31">
        <v>50396</v>
      </c>
      <c r="DF307" s="35">
        <v>40</v>
      </c>
      <c r="DG307" s="29" t="s">
        <v>25</v>
      </c>
      <c r="DH307" s="29" t="s">
        <v>25</v>
      </c>
      <c r="DI307" s="29" t="s">
        <v>25</v>
      </c>
      <c r="DJ307" s="47">
        <v>171</v>
      </c>
      <c r="DK307" s="47">
        <v>33</v>
      </c>
      <c r="DL307" s="47">
        <v>12</v>
      </c>
      <c r="DM307" s="47">
        <v>5182</v>
      </c>
      <c r="DN307" s="47">
        <v>737</v>
      </c>
      <c r="DO307" s="47">
        <v>2864</v>
      </c>
      <c r="DP307" s="29" t="s">
        <v>2028</v>
      </c>
      <c r="DQ307" s="47">
        <v>0</v>
      </c>
      <c r="DR307" s="47">
        <v>2100</v>
      </c>
      <c r="DS307" s="30">
        <v>51</v>
      </c>
      <c r="DT307" s="30">
        <v>44</v>
      </c>
      <c r="DU307" s="30">
        <v>44</v>
      </c>
      <c r="DV307" s="30">
        <v>44</v>
      </c>
      <c r="DX307" s="2">
        <f t="shared" si="132"/>
        <v>2100</v>
      </c>
      <c r="DY307" s="33" t="s">
        <v>2185</v>
      </c>
      <c r="DZ307" s="33" t="s">
        <v>831</v>
      </c>
      <c r="EA307" s="33" t="s">
        <v>2030</v>
      </c>
      <c r="EB307" s="33" t="s">
        <v>2027</v>
      </c>
      <c r="EC307" s="36">
        <v>235</v>
      </c>
      <c r="ED307" s="29" t="s">
        <v>2039</v>
      </c>
      <c r="EE307" s="29" t="s">
        <v>359</v>
      </c>
      <c r="EF307" s="37">
        <v>41548</v>
      </c>
      <c r="EG307" s="37">
        <v>41912</v>
      </c>
      <c r="EH307" s="29" t="s">
        <v>2039</v>
      </c>
      <c r="EI307" s="55">
        <f t="shared" si="133"/>
        <v>2.2221153846153845</v>
      </c>
      <c r="EJ307" s="54">
        <f t="shared" si="134"/>
        <v>3.1153846153846153E-2</v>
      </c>
      <c r="EK307" s="55">
        <f t="shared" si="135"/>
        <v>6.7619230769230771</v>
      </c>
      <c r="EL307" s="54">
        <f t="shared" si="136"/>
        <v>0.74442307692307697</v>
      </c>
    </row>
    <row r="308" spans="1:142" ht="28.8" x14ac:dyDescent="0.3">
      <c r="A308" s="29" t="s">
        <v>832</v>
      </c>
      <c r="B308" s="29"/>
      <c r="C308" s="30">
        <v>19444</v>
      </c>
      <c r="D308" s="30">
        <v>2</v>
      </c>
      <c r="E308" s="30">
        <v>0</v>
      </c>
      <c r="F308" s="30">
        <v>12000</v>
      </c>
      <c r="G308">
        <v>12633</v>
      </c>
      <c r="H308" s="2">
        <f t="shared" si="112"/>
        <v>24633</v>
      </c>
      <c r="I308" s="1">
        <f t="shared" si="111"/>
        <v>1.2668689570047316</v>
      </c>
      <c r="J308" s="31">
        <v>265420</v>
      </c>
      <c r="K308" s="31">
        <v>103719</v>
      </c>
      <c r="L308" s="31">
        <v>369139</v>
      </c>
      <c r="M308" s="45">
        <f t="shared" si="113"/>
        <v>18.984725365151203</v>
      </c>
      <c r="N308" s="31">
        <v>38682</v>
      </c>
      <c r="O308" s="31">
        <v>7852</v>
      </c>
      <c r="P308" s="31">
        <v>7971</v>
      </c>
      <c r="Q308" s="31">
        <v>54505</v>
      </c>
      <c r="R308" s="45">
        <f t="shared" si="114"/>
        <v>2.803178358362477</v>
      </c>
      <c r="S308" s="31">
        <v>47121</v>
      </c>
      <c r="T308" s="31">
        <v>470765</v>
      </c>
      <c r="U308" s="31">
        <v>0</v>
      </c>
      <c r="V308" s="31">
        <v>470765</v>
      </c>
      <c r="W308" s="45">
        <f t="shared" si="115"/>
        <v>24.211324830281836</v>
      </c>
      <c r="X308" s="4">
        <f t="shared" si="116"/>
        <v>0.78412583773220179</v>
      </c>
      <c r="Y308" s="4">
        <f t="shared" si="117"/>
        <v>0.11577963527450001</v>
      </c>
      <c r="Z308" s="4">
        <f t="shared" si="118"/>
        <v>0.10009452699329814</v>
      </c>
      <c r="AA308" s="4">
        <f t="shared" si="119"/>
        <v>0</v>
      </c>
      <c r="AB308" s="31">
        <v>0</v>
      </c>
      <c r="AC308" s="31">
        <v>47772</v>
      </c>
      <c r="AD308" s="31">
        <v>448977</v>
      </c>
      <c r="AE308" s="31">
        <v>432252</v>
      </c>
      <c r="AF308" s="31">
        <v>20283</v>
      </c>
      <c r="AG308" s="31">
        <v>412058</v>
      </c>
      <c r="AH308" s="31">
        <v>0</v>
      </c>
      <c r="AI308" s="31">
        <v>432341</v>
      </c>
      <c r="AJ308" s="45">
        <f t="shared" si="120"/>
        <v>22.235188232873895</v>
      </c>
      <c r="AK308" s="31">
        <v>0</v>
      </c>
      <c r="AL308" s="31">
        <v>0</v>
      </c>
      <c r="AM308" s="31">
        <v>0</v>
      </c>
      <c r="AN308" s="31">
        <v>0</v>
      </c>
      <c r="AO308" s="31">
        <v>6733</v>
      </c>
      <c r="AP308" s="31">
        <v>27578</v>
      </c>
      <c r="AQ308" s="31">
        <v>34311</v>
      </c>
      <c r="AR308" s="31">
        <v>466652</v>
      </c>
      <c r="AS308" s="46">
        <f t="shared" si="121"/>
        <v>23.999794281012136</v>
      </c>
      <c r="AT308" s="31">
        <v>0</v>
      </c>
      <c r="AU308" s="31">
        <v>0</v>
      </c>
      <c r="AV308" s="31">
        <v>0</v>
      </c>
      <c r="AW308" s="31">
        <v>0</v>
      </c>
      <c r="AX308" s="31">
        <v>0</v>
      </c>
      <c r="AY308" s="31">
        <v>0</v>
      </c>
      <c r="AZ308" s="31">
        <v>0</v>
      </c>
      <c r="BA308" s="31">
        <v>0</v>
      </c>
      <c r="BB308" s="31">
        <v>0</v>
      </c>
      <c r="BC308" s="33" t="s">
        <v>25</v>
      </c>
      <c r="BD308" s="47">
        <v>34104</v>
      </c>
      <c r="BE308" s="47">
        <v>47341</v>
      </c>
      <c r="BF308" s="45">
        <f t="shared" si="122"/>
        <v>2.4347356511005964</v>
      </c>
      <c r="BG308" s="30">
        <v>2620</v>
      </c>
      <c r="BH308" s="30">
        <v>3624</v>
      </c>
      <c r="BI308" s="30">
        <v>1264</v>
      </c>
      <c r="BJ308" s="30">
        <v>3801</v>
      </c>
      <c r="BK308" s="30">
        <v>4922</v>
      </c>
      <c r="BL308" s="30">
        <v>76</v>
      </c>
      <c r="BM308" s="30">
        <v>6928</v>
      </c>
      <c r="BN308" s="30">
        <v>1</v>
      </c>
      <c r="BO308" s="30">
        <v>51</v>
      </c>
      <c r="BP308" s="30">
        <v>0</v>
      </c>
      <c r="BQ308" s="30">
        <v>52</v>
      </c>
      <c r="BR308" s="47">
        <v>40525</v>
      </c>
      <c r="BS308" s="47">
        <v>64156</v>
      </c>
      <c r="BT308" s="1">
        <f t="shared" si="123"/>
        <v>3.2995268463279159</v>
      </c>
      <c r="BU308" s="30">
        <v>11</v>
      </c>
      <c r="BV308" s="30">
        <v>0</v>
      </c>
      <c r="BW308" s="47">
        <v>3773</v>
      </c>
      <c r="BX308" s="52">
        <f t="shared" si="124"/>
        <v>0.19404443530137833</v>
      </c>
      <c r="BY308" s="47">
        <v>22415</v>
      </c>
      <c r="BZ308" s="47">
        <v>0</v>
      </c>
      <c r="CA308" s="47">
        <v>118330</v>
      </c>
      <c r="CB308" s="47">
        <v>6063</v>
      </c>
      <c r="CC308" s="47">
        <v>146808</v>
      </c>
      <c r="CD308" s="55">
        <f t="shared" si="125"/>
        <v>7.5502982925324007</v>
      </c>
      <c r="CE308" s="3">
        <f t="shared" si="126"/>
        <v>14942.290076335879</v>
      </c>
      <c r="CF308" s="55">
        <f t="shared" si="127"/>
        <v>22.617162224618703</v>
      </c>
      <c r="CG308" s="55">
        <f t="shared" si="128"/>
        <v>1.5926231286613148</v>
      </c>
      <c r="CH308" s="55">
        <f t="shared" si="129"/>
        <v>2.1937932539435128</v>
      </c>
      <c r="CI308" s="30">
        <v>537</v>
      </c>
      <c r="CJ308" s="30">
        <v>61</v>
      </c>
      <c r="CK308" s="30">
        <v>48</v>
      </c>
      <c r="CL308" s="30">
        <v>646</v>
      </c>
      <c r="CM308" s="30">
        <v>8213</v>
      </c>
      <c r="CN308" s="30">
        <v>726</v>
      </c>
      <c r="CO308" s="30">
        <v>901</v>
      </c>
      <c r="CP308" s="30">
        <v>9840</v>
      </c>
      <c r="CQ308" s="1">
        <f t="shared" si="137"/>
        <v>0.5060687101419461</v>
      </c>
      <c r="CR308" s="47">
        <v>92180</v>
      </c>
      <c r="CS308" s="55">
        <f t="shared" si="130"/>
        <v>4.7407940752931497</v>
      </c>
      <c r="CT308" s="59">
        <v>15229</v>
      </c>
      <c r="CU308" s="29" t="s">
        <v>25</v>
      </c>
      <c r="CV308" s="29" t="s">
        <v>25</v>
      </c>
      <c r="CW308" s="29" t="s">
        <v>25</v>
      </c>
      <c r="CX308" s="35">
        <v>0</v>
      </c>
      <c r="CY308" s="49">
        <v>0</v>
      </c>
      <c r="CZ308" s="35">
        <v>4</v>
      </c>
      <c r="DA308" s="35">
        <v>5.8250000000000002</v>
      </c>
      <c r="DB308" s="35">
        <v>9.8249999999999993</v>
      </c>
      <c r="DC308" s="49">
        <f t="shared" si="131"/>
        <v>1979.0330788804072</v>
      </c>
      <c r="DD308" s="30">
        <v>2847</v>
      </c>
      <c r="DE308" s="31">
        <v>41304</v>
      </c>
      <c r="DF308" s="35">
        <v>40</v>
      </c>
      <c r="DG308" s="29" t="s">
        <v>25</v>
      </c>
      <c r="DH308" s="29" t="s">
        <v>25</v>
      </c>
      <c r="DI308" s="29" t="s">
        <v>25</v>
      </c>
      <c r="DJ308" s="47">
        <v>61</v>
      </c>
      <c r="DK308" s="47">
        <v>20</v>
      </c>
      <c r="DL308" s="47">
        <v>28</v>
      </c>
      <c r="DM308" s="47">
        <v>17526</v>
      </c>
      <c r="DN308" s="47">
        <v>1785</v>
      </c>
      <c r="DO308" s="47">
        <v>0</v>
      </c>
      <c r="DP308" s="29" t="s">
        <v>25</v>
      </c>
      <c r="DQ308" s="47">
        <v>7726</v>
      </c>
      <c r="DR308" s="47">
        <v>2256</v>
      </c>
      <c r="DS308" s="30">
        <v>52</v>
      </c>
      <c r="DT308" s="30">
        <v>47</v>
      </c>
      <c r="DU308" s="30">
        <v>46</v>
      </c>
      <c r="DV308" s="30">
        <v>46</v>
      </c>
      <c r="DW308">
        <f>VLOOKUP(EC308,branch!$I$4:$K$77,3,0)</f>
        <v>4235</v>
      </c>
      <c r="DX308" s="2">
        <f t="shared" si="132"/>
        <v>6491</v>
      </c>
      <c r="DY308" s="33" t="s">
        <v>2186</v>
      </c>
      <c r="DZ308" s="33" t="s">
        <v>834</v>
      </c>
      <c r="EA308" s="33" t="s">
        <v>2031</v>
      </c>
      <c r="EB308" s="33" t="s">
        <v>2027</v>
      </c>
      <c r="EC308" s="36">
        <v>236</v>
      </c>
      <c r="ED308" s="29" t="s">
        <v>833</v>
      </c>
      <c r="EE308" s="29" t="s">
        <v>832</v>
      </c>
      <c r="EF308" s="37">
        <v>41548</v>
      </c>
      <c r="EG308" s="37">
        <v>41912</v>
      </c>
      <c r="EH308" s="29" t="s">
        <v>833</v>
      </c>
      <c r="EI308" s="55">
        <f t="shared" si="133"/>
        <v>1.152797778234931</v>
      </c>
      <c r="EJ308" s="54">
        <f t="shared" si="134"/>
        <v>0</v>
      </c>
      <c r="EK308" s="55">
        <f t="shared" si="135"/>
        <v>6.0856819584447646</v>
      </c>
      <c r="EL308" s="54">
        <f t="shared" si="136"/>
        <v>0.31181855585270518</v>
      </c>
    </row>
    <row r="309" spans="1:142" ht="28.8" x14ac:dyDescent="0.3">
      <c r="A309" s="29" t="s">
        <v>835</v>
      </c>
      <c r="B309" s="29"/>
      <c r="C309" s="30">
        <v>13098</v>
      </c>
      <c r="D309" s="30">
        <v>0</v>
      </c>
      <c r="E309" s="30">
        <v>0</v>
      </c>
      <c r="F309" s="30">
        <v>7500</v>
      </c>
      <c r="H309" s="2">
        <f t="shared" si="112"/>
        <v>7500</v>
      </c>
      <c r="I309" s="1">
        <f t="shared" si="111"/>
        <v>0.57260650480989461</v>
      </c>
      <c r="J309" s="31">
        <v>203483</v>
      </c>
      <c r="K309" s="31">
        <v>67149</v>
      </c>
      <c r="L309" s="31">
        <v>270632</v>
      </c>
      <c r="M309" s="45">
        <f t="shared" si="113"/>
        <v>20.662085814628188</v>
      </c>
      <c r="N309" s="31">
        <v>12572</v>
      </c>
      <c r="O309" s="31">
        <v>7500</v>
      </c>
      <c r="P309" s="31">
        <v>7500</v>
      </c>
      <c r="Q309" s="31">
        <v>27572</v>
      </c>
      <c r="R309" s="45">
        <f t="shared" si="114"/>
        <v>2.1050542067491218</v>
      </c>
      <c r="S309" s="31">
        <v>46380</v>
      </c>
      <c r="T309" s="31">
        <v>344584</v>
      </c>
      <c r="U309" s="31">
        <v>0</v>
      </c>
      <c r="V309" s="31">
        <v>344584</v>
      </c>
      <c r="W309" s="45">
        <f t="shared" si="115"/>
        <v>26.308138647121698</v>
      </c>
      <c r="X309" s="4">
        <f t="shared" si="116"/>
        <v>0.78538759779908529</v>
      </c>
      <c r="Y309" s="4">
        <f t="shared" si="117"/>
        <v>8.0015322824042903E-2</v>
      </c>
      <c r="Z309" s="4">
        <f t="shared" si="118"/>
        <v>0.13459707937687182</v>
      </c>
      <c r="AA309" s="4">
        <f t="shared" si="119"/>
        <v>0</v>
      </c>
      <c r="AB309" s="31">
        <v>0</v>
      </c>
      <c r="AC309" s="31">
        <v>20572</v>
      </c>
      <c r="AD309" s="31">
        <v>337584</v>
      </c>
      <c r="AE309" s="31">
        <v>337584</v>
      </c>
      <c r="AF309" s="31">
        <v>337584</v>
      </c>
      <c r="AG309" s="31">
        <v>0</v>
      </c>
      <c r="AH309" s="31">
        <v>0</v>
      </c>
      <c r="AI309" s="31">
        <v>337584</v>
      </c>
      <c r="AJ309" s="45">
        <f t="shared" si="120"/>
        <v>25.773705909299128</v>
      </c>
      <c r="AK309" s="31">
        <v>0</v>
      </c>
      <c r="AL309" s="31">
        <v>0</v>
      </c>
      <c r="AM309" s="31">
        <v>0</v>
      </c>
      <c r="AN309" s="31">
        <v>0</v>
      </c>
      <c r="AO309" s="31">
        <v>0</v>
      </c>
      <c r="AP309" s="31">
        <v>78000</v>
      </c>
      <c r="AQ309" s="31">
        <v>78000</v>
      </c>
      <c r="AR309" s="31">
        <v>415584</v>
      </c>
      <c r="AS309" s="46">
        <f t="shared" si="121"/>
        <v>31.728813559322035</v>
      </c>
      <c r="AT309" s="31">
        <v>0</v>
      </c>
      <c r="AU309" s="31">
        <v>0</v>
      </c>
      <c r="AV309" s="31">
        <v>0</v>
      </c>
      <c r="AW309" s="31">
        <v>0</v>
      </c>
      <c r="AX309" s="31">
        <v>0</v>
      </c>
      <c r="AY309" s="31">
        <v>0</v>
      </c>
      <c r="AZ309" s="31">
        <v>0</v>
      </c>
      <c r="BA309" s="31">
        <v>0</v>
      </c>
      <c r="BB309" s="31">
        <v>0</v>
      </c>
      <c r="BC309" s="33" t="s">
        <v>25</v>
      </c>
      <c r="BD309" s="47">
        <v>40000</v>
      </c>
      <c r="BE309" s="47">
        <v>43126</v>
      </c>
      <c r="BF309" s="45">
        <f t="shared" si="122"/>
        <v>3.2925637501908689</v>
      </c>
      <c r="BG309" s="30">
        <v>1238</v>
      </c>
      <c r="BH309" s="30">
        <v>1458</v>
      </c>
      <c r="BI309" s="30">
        <v>0</v>
      </c>
      <c r="BJ309" s="30">
        <v>1500</v>
      </c>
      <c r="BK309" s="30">
        <v>1753</v>
      </c>
      <c r="BL309" s="30">
        <v>0</v>
      </c>
      <c r="BM309" s="30">
        <v>1150</v>
      </c>
      <c r="BN309" s="30">
        <v>3</v>
      </c>
      <c r="BO309" s="30">
        <v>51</v>
      </c>
      <c r="BP309" s="30">
        <v>1</v>
      </c>
      <c r="BQ309" s="30">
        <v>55</v>
      </c>
      <c r="BR309" s="47">
        <v>42738</v>
      </c>
      <c r="BS309" s="47">
        <v>47490</v>
      </c>
      <c r="BT309" s="1">
        <f t="shared" si="123"/>
        <v>3.625744388456253</v>
      </c>
      <c r="BU309" s="30">
        <v>186</v>
      </c>
      <c r="BV309" s="30">
        <v>3</v>
      </c>
      <c r="BW309" s="47">
        <v>5201</v>
      </c>
      <c r="BX309" s="52">
        <f t="shared" si="124"/>
        <v>0.39708352420216825</v>
      </c>
      <c r="BY309" s="47">
        <v>17776</v>
      </c>
      <c r="BZ309" s="47">
        <v>253</v>
      </c>
      <c r="CA309" s="47">
        <v>19021</v>
      </c>
      <c r="CB309" s="47">
        <v>1150</v>
      </c>
      <c r="CC309" s="47">
        <v>38200</v>
      </c>
      <c r="CD309" s="55">
        <f t="shared" si="125"/>
        <v>2.9164757978317302</v>
      </c>
      <c r="CE309" s="3">
        <f t="shared" si="126"/>
        <v>5556.363636363636</v>
      </c>
      <c r="CF309" s="55">
        <f t="shared" si="127"/>
        <v>13.172413793103448</v>
      </c>
      <c r="CG309" s="55">
        <f t="shared" si="128"/>
        <v>0.63428808634288081</v>
      </c>
      <c r="CH309" s="55">
        <f t="shared" si="129"/>
        <v>0.77483680774899977</v>
      </c>
      <c r="CI309" s="30">
        <v>389</v>
      </c>
      <c r="CJ309" s="30">
        <v>13</v>
      </c>
      <c r="CK309" s="30">
        <v>44</v>
      </c>
      <c r="CL309" s="30">
        <v>446</v>
      </c>
      <c r="CM309" s="30">
        <v>8562</v>
      </c>
      <c r="CN309" s="30">
        <v>7318</v>
      </c>
      <c r="CO309" s="30">
        <v>2201</v>
      </c>
      <c r="CP309" s="30">
        <v>18081</v>
      </c>
      <c r="CQ309" s="1">
        <f t="shared" si="137"/>
        <v>1.3804397617956941</v>
      </c>
      <c r="CR309" s="47">
        <v>60225</v>
      </c>
      <c r="CS309" s="55">
        <f t="shared" si="130"/>
        <v>4.5980302336234535</v>
      </c>
      <c r="CT309" s="59">
        <v>15123</v>
      </c>
      <c r="CU309" s="29" t="s">
        <v>25</v>
      </c>
      <c r="CV309" s="29" t="s">
        <v>25</v>
      </c>
      <c r="CW309" s="29" t="s">
        <v>25</v>
      </c>
      <c r="CX309" s="35">
        <v>0</v>
      </c>
      <c r="CY309" s="49">
        <v>0</v>
      </c>
      <c r="CZ309" s="35">
        <v>5</v>
      </c>
      <c r="DA309" s="35">
        <v>1.875</v>
      </c>
      <c r="DB309" s="35">
        <v>6.875</v>
      </c>
      <c r="DC309" s="49">
        <f t="shared" si="131"/>
        <v>1905.1636363636364</v>
      </c>
      <c r="DD309" s="30">
        <v>1201</v>
      </c>
      <c r="DE309" s="31">
        <v>41355</v>
      </c>
      <c r="DF309" s="35">
        <v>50</v>
      </c>
      <c r="DG309" s="29" t="s">
        <v>25</v>
      </c>
      <c r="DH309" s="29" t="s">
        <v>26</v>
      </c>
      <c r="DI309" s="29" t="s">
        <v>26</v>
      </c>
      <c r="DJ309" s="47">
        <v>1068</v>
      </c>
      <c r="DK309" s="47">
        <v>24</v>
      </c>
      <c r="DL309" s="47">
        <v>30</v>
      </c>
      <c r="DM309" s="47">
        <v>21251</v>
      </c>
      <c r="DN309" s="47">
        <v>1231</v>
      </c>
      <c r="DO309" s="47">
        <v>5573</v>
      </c>
      <c r="DP309" s="29" t="s">
        <v>25</v>
      </c>
      <c r="DQ309" s="47">
        <v>2072</v>
      </c>
      <c r="DR309" s="47">
        <v>2900</v>
      </c>
      <c r="DS309" s="30">
        <v>52</v>
      </c>
      <c r="DT309" s="30">
        <v>52</v>
      </c>
      <c r="DU309" s="30">
        <v>52</v>
      </c>
      <c r="DV309" s="30">
        <v>52</v>
      </c>
      <c r="DX309" s="2">
        <f t="shared" si="132"/>
        <v>2900</v>
      </c>
      <c r="DY309" s="33" t="s">
        <v>2186</v>
      </c>
      <c r="DZ309" s="33" t="s">
        <v>837</v>
      </c>
      <c r="EA309" s="33" t="s">
        <v>2030</v>
      </c>
      <c r="EB309" s="33" t="s">
        <v>2027</v>
      </c>
      <c r="EC309" s="36">
        <v>237</v>
      </c>
      <c r="ED309" s="29" t="s">
        <v>836</v>
      </c>
      <c r="EE309" s="29" t="s">
        <v>241</v>
      </c>
      <c r="EF309" s="37">
        <v>41548</v>
      </c>
      <c r="EG309" s="37">
        <v>41912</v>
      </c>
      <c r="EH309" s="29" t="s">
        <v>836</v>
      </c>
      <c r="EI309" s="55">
        <f t="shared" si="133"/>
        <v>1.357153763933425</v>
      </c>
      <c r="EJ309" s="54">
        <f t="shared" si="134"/>
        <v>1.9315926095587112E-2</v>
      </c>
      <c r="EK309" s="55">
        <f t="shared" si="135"/>
        <v>1.4522064437318674</v>
      </c>
      <c r="EL309" s="54">
        <f t="shared" si="136"/>
        <v>8.7799664070850506E-2</v>
      </c>
    </row>
    <row r="310" spans="1:142" ht="28.8" x14ac:dyDescent="0.3">
      <c r="A310" s="29" t="s">
        <v>1715</v>
      </c>
      <c r="B310" s="29"/>
      <c r="C310" s="30">
        <v>1372</v>
      </c>
      <c r="D310" s="30">
        <v>0</v>
      </c>
      <c r="E310" s="30">
        <v>0</v>
      </c>
      <c r="F310" s="30">
        <v>3200</v>
      </c>
      <c r="H310" s="2">
        <f t="shared" si="112"/>
        <v>3200</v>
      </c>
      <c r="I310" s="1">
        <f t="shared" si="111"/>
        <v>2.3323615160349855</v>
      </c>
      <c r="J310" s="31">
        <v>1</v>
      </c>
      <c r="K310" s="31">
        <v>0</v>
      </c>
      <c r="L310" s="31">
        <v>1</v>
      </c>
      <c r="M310" s="45">
        <f t="shared" si="113"/>
        <v>7.2886297376093293E-4</v>
      </c>
      <c r="N310" s="31">
        <v>12579</v>
      </c>
      <c r="O310" s="31">
        <v>7925</v>
      </c>
      <c r="P310" s="31">
        <v>7924</v>
      </c>
      <c r="Q310" s="31">
        <v>28428</v>
      </c>
      <c r="R310" s="45">
        <f t="shared" si="114"/>
        <v>20.720116618075803</v>
      </c>
      <c r="S310" s="31">
        <v>24685</v>
      </c>
      <c r="T310" s="31">
        <v>53114</v>
      </c>
      <c r="U310" s="31">
        <v>0</v>
      </c>
      <c r="V310" s="31">
        <v>53114</v>
      </c>
      <c r="W310" s="45">
        <f t="shared" si="115"/>
        <v>38.712827988338191</v>
      </c>
      <c r="X310" s="4">
        <f t="shared" si="116"/>
        <v>1.8827427796814399E-5</v>
      </c>
      <c r="Y310" s="4">
        <f t="shared" si="117"/>
        <v>0.53522611740783976</v>
      </c>
      <c r="Z310" s="4">
        <f t="shared" si="118"/>
        <v>0.46475505516436344</v>
      </c>
      <c r="AA310" s="4">
        <f t="shared" si="119"/>
        <v>0</v>
      </c>
      <c r="AB310" s="31">
        <v>0</v>
      </c>
      <c r="AC310" s="31">
        <v>19952</v>
      </c>
      <c r="AD310" s="31">
        <v>42925</v>
      </c>
      <c r="AE310" s="31">
        <v>5657</v>
      </c>
      <c r="AF310" s="31">
        <v>1420</v>
      </c>
      <c r="AG310" s="31">
        <v>4387</v>
      </c>
      <c r="AH310" s="31">
        <v>0</v>
      </c>
      <c r="AI310" s="31">
        <v>5807</v>
      </c>
      <c r="AJ310" s="45">
        <f t="shared" si="120"/>
        <v>4.2325072886297379</v>
      </c>
      <c r="AK310" s="31">
        <v>0</v>
      </c>
      <c r="AL310" s="31">
        <v>0</v>
      </c>
      <c r="AM310" s="31">
        <v>0</v>
      </c>
      <c r="AN310" s="31">
        <v>0</v>
      </c>
      <c r="AO310" s="31">
        <v>21000</v>
      </c>
      <c r="AP310" s="31">
        <v>8195</v>
      </c>
      <c r="AQ310" s="31">
        <v>29195</v>
      </c>
      <c r="AR310" s="31">
        <v>35002</v>
      </c>
      <c r="AS310" s="46">
        <f t="shared" si="121"/>
        <v>25.511661807580175</v>
      </c>
      <c r="AT310" s="31">
        <v>0</v>
      </c>
      <c r="AU310" s="31">
        <v>0</v>
      </c>
      <c r="AV310" s="31">
        <v>0</v>
      </c>
      <c r="AW310" s="31">
        <v>0</v>
      </c>
      <c r="AX310" s="31">
        <v>0</v>
      </c>
      <c r="AY310" s="31">
        <v>0</v>
      </c>
      <c r="AZ310" s="31">
        <v>0</v>
      </c>
      <c r="BA310" s="31">
        <v>0</v>
      </c>
      <c r="BB310" s="31">
        <v>0</v>
      </c>
      <c r="BC310" s="33" t="s">
        <v>25</v>
      </c>
      <c r="BD310" s="47">
        <v>16242</v>
      </c>
      <c r="BE310" s="47">
        <v>16325</v>
      </c>
      <c r="BF310" s="45">
        <f t="shared" si="122"/>
        <v>11.89868804664723</v>
      </c>
      <c r="BG310" s="30">
        <v>425</v>
      </c>
      <c r="BH310" s="30">
        <v>435</v>
      </c>
      <c r="BI310" s="30">
        <v>0</v>
      </c>
      <c r="BJ310" s="30">
        <v>1902</v>
      </c>
      <c r="BK310" s="30">
        <v>1923</v>
      </c>
      <c r="BL310" s="30">
        <v>0</v>
      </c>
      <c r="BM310" s="30">
        <v>2315</v>
      </c>
      <c r="BN310" s="30">
        <v>0</v>
      </c>
      <c r="BO310" s="30">
        <v>51</v>
      </c>
      <c r="BP310" s="30">
        <v>0</v>
      </c>
      <c r="BQ310" s="30">
        <v>51</v>
      </c>
      <c r="BR310" s="47">
        <v>18569</v>
      </c>
      <c r="BS310" s="47">
        <v>20998</v>
      </c>
      <c r="BT310" s="1">
        <f t="shared" si="123"/>
        <v>15.30466472303207</v>
      </c>
      <c r="BU310" s="30">
        <v>0</v>
      </c>
      <c r="BV310" s="30">
        <v>0</v>
      </c>
      <c r="BW310" s="47">
        <v>463</v>
      </c>
      <c r="BX310" s="52">
        <f t="shared" si="124"/>
        <v>0.33746355685131196</v>
      </c>
      <c r="BY310" s="47">
        <v>3210</v>
      </c>
      <c r="BZ310" s="47">
        <v>925</v>
      </c>
      <c r="CA310" s="47">
        <v>12987</v>
      </c>
      <c r="CB310" s="47">
        <v>2293</v>
      </c>
      <c r="CC310" s="47">
        <v>19415</v>
      </c>
      <c r="CD310" s="55">
        <f t="shared" si="125"/>
        <v>14.150874635568513</v>
      </c>
      <c r="CE310" s="3">
        <v>0</v>
      </c>
      <c r="CF310" s="55">
        <f t="shared" si="127"/>
        <v>11.66066066066066</v>
      </c>
      <c r="CG310" s="55">
        <f t="shared" si="128"/>
        <v>1.3689888591171908</v>
      </c>
      <c r="CH310" s="55">
        <f t="shared" si="129"/>
        <v>0.77135917706448232</v>
      </c>
      <c r="CI310" s="30">
        <v>58</v>
      </c>
      <c r="CJ310" s="30">
        <v>40</v>
      </c>
      <c r="CK310" s="30">
        <v>12</v>
      </c>
      <c r="CL310" s="30">
        <v>110</v>
      </c>
      <c r="CM310" s="30">
        <v>550</v>
      </c>
      <c r="CN310" s="30">
        <v>150</v>
      </c>
      <c r="CO310" s="30">
        <v>102</v>
      </c>
      <c r="CP310" s="30">
        <v>802</v>
      </c>
      <c r="CQ310" s="1">
        <f t="shared" si="137"/>
        <v>0.58454810495626819</v>
      </c>
      <c r="CR310" s="47">
        <v>14182</v>
      </c>
      <c r="CS310" s="55">
        <f t="shared" si="130"/>
        <v>10.336734693877551</v>
      </c>
      <c r="CT310" s="59">
        <v>3498</v>
      </c>
      <c r="CU310" s="29" t="s">
        <v>25</v>
      </c>
      <c r="CV310" s="29" t="s">
        <v>25</v>
      </c>
      <c r="CW310" s="29" t="s">
        <v>25</v>
      </c>
      <c r="CX310" s="35">
        <v>0</v>
      </c>
      <c r="CY310" s="49">
        <v>0</v>
      </c>
      <c r="CZ310" s="35">
        <v>0</v>
      </c>
      <c r="DA310" s="35">
        <v>0</v>
      </c>
      <c r="DB310" s="35">
        <v>0</v>
      </c>
      <c r="DC310" s="49">
        <v>0</v>
      </c>
      <c r="DD310" s="30">
        <v>14679</v>
      </c>
      <c r="DE310" s="31">
        <v>1</v>
      </c>
      <c r="DF310" s="35">
        <v>30</v>
      </c>
      <c r="DG310" s="29" t="s">
        <v>25</v>
      </c>
      <c r="DH310" s="29" t="s">
        <v>26</v>
      </c>
      <c r="DI310" s="29" t="s">
        <v>26</v>
      </c>
      <c r="DJ310" s="47">
        <v>0</v>
      </c>
      <c r="DK310" s="47">
        <v>0</v>
      </c>
      <c r="DL310" s="47">
        <v>10</v>
      </c>
      <c r="DM310" s="47">
        <v>2892</v>
      </c>
      <c r="DN310" s="47">
        <v>72</v>
      </c>
      <c r="DO310" s="47">
        <v>140</v>
      </c>
      <c r="DP310" s="29" t="s">
        <v>25</v>
      </c>
      <c r="DQ310" s="47">
        <v>-6</v>
      </c>
      <c r="DR310" s="47">
        <v>1665</v>
      </c>
      <c r="DS310" s="30">
        <v>51</v>
      </c>
      <c r="DT310" s="30">
        <v>32</v>
      </c>
      <c r="DU310" s="30">
        <v>32</v>
      </c>
      <c r="DV310" s="30">
        <v>30</v>
      </c>
      <c r="DX310" s="2">
        <f t="shared" si="132"/>
        <v>1665</v>
      </c>
      <c r="DY310" s="33" t="s">
        <v>2182</v>
      </c>
      <c r="DZ310" s="33" t="s">
        <v>1716</v>
      </c>
      <c r="EA310" s="33" t="s">
        <v>2032</v>
      </c>
      <c r="EB310" s="33" t="s">
        <v>2027</v>
      </c>
      <c r="EC310" s="36">
        <v>589</v>
      </c>
      <c r="ED310" s="29" t="s">
        <v>1714</v>
      </c>
      <c r="EE310" s="29" t="s">
        <v>341</v>
      </c>
      <c r="EF310" s="37">
        <v>41548</v>
      </c>
      <c r="EG310" s="37">
        <v>41912</v>
      </c>
      <c r="EH310" s="29" t="s">
        <v>1714</v>
      </c>
      <c r="EI310" s="55">
        <f t="shared" si="133"/>
        <v>2.3396501457725947</v>
      </c>
      <c r="EJ310" s="54">
        <f t="shared" si="134"/>
        <v>0.67419825072886297</v>
      </c>
      <c r="EK310" s="55">
        <f t="shared" si="135"/>
        <v>9.4657434402332363</v>
      </c>
      <c r="EL310" s="54">
        <f t="shared" si="136"/>
        <v>1.6712827988338192</v>
      </c>
    </row>
    <row r="311" spans="1:142" ht="28.8" x14ac:dyDescent="0.3">
      <c r="A311" s="29" t="s">
        <v>838</v>
      </c>
      <c r="B311" s="29"/>
      <c r="C311" s="30">
        <v>98615</v>
      </c>
      <c r="D311" s="30">
        <v>1</v>
      </c>
      <c r="E311" s="30">
        <v>0</v>
      </c>
      <c r="F311" s="30">
        <v>35000</v>
      </c>
      <c r="G311">
        <v>500</v>
      </c>
      <c r="H311" s="2">
        <f t="shared" si="112"/>
        <v>35500</v>
      </c>
      <c r="I311" s="1">
        <f t="shared" si="111"/>
        <v>0.35998580337676822</v>
      </c>
      <c r="J311" s="31">
        <v>770654</v>
      </c>
      <c r="K311" s="31">
        <v>268314</v>
      </c>
      <c r="L311" s="31">
        <v>1038968</v>
      </c>
      <c r="M311" s="45">
        <f t="shared" si="113"/>
        <v>10.535598032753638</v>
      </c>
      <c r="N311" s="31">
        <v>142853</v>
      </c>
      <c r="O311" s="31">
        <v>47102</v>
      </c>
      <c r="P311" s="31">
        <v>38173</v>
      </c>
      <c r="Q311" s="31">
        <v>228128</v>
      </c>
      <c r="R311" s="45">
        <f t="shared" si="114"/>
        <v>2.3133194747249406</v>
      </c>
      <c r="S311" s="31">
        <v>319189</v>
      </c>
      <c r="T311" s="31">
        <v>1586285</v>
      </c>
      <c r="U311" s="31">
        <v>0</v>
      </c>
      <c r="V311" s="31">
        <v>1586285</v>
      </c>
      <c r="W311" s="45">
        <f t="shared" si="115"/>
        <v>16.08563605942301</v>
      </c>
      <c r="X311" s="4">
        <f t="shared" si="116"/>
        <v>0.65496931509785439</v>
      </c>
      <c r="Y311" s="4">
        <f t="shared" si="117"/>
        <v>0.14381274487245357</v>
      </c>
      <c r="Z311" s="4">
        <f t="shared" si="118"/>
        <v>0.20121794002969201</v>
      </c>
      <c r="AA311" s="4">
        <f t="shared" si="119"/>
        <v>0</v>
      </c>
      <c r="AB311" s="31">
        <v>0</v>
      </c>
      <c r="AC311" s="31">
        <v>228128</v>
      </c>
      <c r="AD311" s="31">
        <v>1586285</v>
      </c>
      <c r="AE311" s="31">
        <v>1586285</v>
      </c>
      <c r="AF311" s="31">
        <v>1639194</v>
      </c>
      <c r="AG311" s="31">
        <v>80000</v>
      </c>
      <c r="AH311" s="31">
        <v>0</v>
      </c>
      <c r="AI311" s="31">
        <v>1719194</v>
      </c>
      <c r="AJ311" s="45">
        <f t="shared" si="120"/>
        <v>17.433392485930131</v>
      </c>
      <c r="AK311" s="31">
        <v>0</v>
      </c>
      <c r="AL311" s="31">
        <v>0</v>
      </c>
      <c r="AM311" s="31">
        <v>0</v>
      </c>
      <c r="AN311" s="31">
        <v>0</v>
      </c>
      <c r="AO311" s="31">
        <v>0</v>
      </c>
      <c r="AP311" s="31">
        <v>18891</v>
      </c>
      <c r="AQ311" s="31">
        <v>18891</v>
      </c>
      <c r="AR311" s="31">
        <v>1738085</v>
      </c>
      <c r="AS311" s="46">
        <f t="shared" si="121"/>
        <v>17.6249556355524</v>
      </c>
      <c r="AT311" s="31">
        <v>0</v>
      </c>
      <c r="AU311" s="31">
        <v>0</v>
      </c>
      <c r="AV311" s="31">
        <v>0</v>
      </c>
      <c r="AW311" s="31">
        <v>0</v>
      </c>
      <c r="AX311" s="31">
        <v>0</v>
      </c>
      <c r="AY311" s="31">
        <v>0</v>
      </c>
      <c r="AZ311" s="31">
        <v>0</v>
      </c>
      <c r="BA311" s="31">
        <v>0</v>
      </c>
      <c r="BB311" s="31">
        <v>0</v>
      </c>
      <c r="BC311" s="33" t="s">
        <v>25</v>
      </c>
      <c r="BD311" s="47">
        <v>105092</v>
      </c>
      <c r="BE311" s="47">
        <v>105235</v>
      </c>
      <c r="BF311" s="45">
        <f t="shared" si="122"/>
        <v>1.0671297469958931</v>
      </c>
      <c r="BG311" s="30">
        <v>2897</v>
      </c>
      <c r="BH311" s="30">
        <v>2965</v>
      </c>
      <c r="BI311" s="30">
        <v>1516</v>
      </c>
      <c r="BJ311" s="30">
        <v>5522</v>
      </c>
      <c r="BK311" s="30">
        <v>5636</v>
      </c>
      <c r="BL311" s="30">
        <v>43</v>
      </c>
      <c r="BM311" s="30">
        <v>10095</v>
      </c>
      <c r="BN311" s="30">
        <v>12</v>
      </c>
      <c r="BO311" s="30">
        <v>51</v>
      </c>
      <c r="BP311" s="30">
        <v>0</v>
      </c>
      <c r="BQ311" s="30">
        <v>63</v>
      </c>
      <c r="BR311" s="47">
        <v>113511</v>
      </c>
      <c r="BS311" s="47">
        <v>125502</v>
      </c>
      <c r="BT311" s="1">
        <f t="shared" si="123"/>
        <v>1.2726461491659484</v>
      </c>
      <c r="BU311" s="30">
        <v>232</v>
      </c>
      <c r="BV311" s="30">
        <v>0</v>
      </c>
      <c r="BW311" s="47">
        <v>14561</v>
      </c>
      <c r="BX311" s="52">
        <f t="shared" si="124"/>
        <v>0.14765502205546824</v>
      </c>
      <c r="BY311" s="47">
        <v>61553</v>
      </c>
      <c r="BZ311" s="47">
        <v>2496</v>
      </c>
      <c r="CA311" s="47">
        <v>200264</v>
      </c>
      <c r="CB311" s="47">
        <v>20734</v>
      </c>
      <c r="CC311" s="47">
        <v>285047</v>
      </c>
      <c r="CD311" s="55">
        <f t="shared" si="125"/>
        <v>2.890503473102469</v>
      </c>
      <c r="CE311" s="3">
        <f t="shared" si="126"/>
        <v>11790.982419855221</v>
      </c>
      <c r="CF311" s="55">
        <f t="shared" si="127"/>
        <v>73.032795285677679</v>
      </c>
      <c r="CG311" s="55">
        <f t="shared" si="128"/>
        <v>1.403239225145839</v>
      </c>
      <c r="CH311" s="55">
        <f t="shared" si="129"/>
        <v>2.0861579895141111</v>
      </c>
      <c r="CI311" s="30">
        <v>223</v>
      </c>
      <c r="CJ311" s="30">
        <v>25</v>
      </c>
      <c r="CK311" s="30">
        <v>8</v>
      </c>
      <c r="CL311" s="30">
        <v>256</v>
      </c>
      <c r="CM311" s="30">
        <v>8060</v>
      </c>
      <c r="CN311" s="30">
        <v>285</v>
      </c>
      <c r="CO311" s="30">
        <v>1085</v>
      </c>
      <c r="CP311" s="30">
        <v>9430</v>
      </c>
      <c r="CQ311" s="1">
        <f t="shared" si="137"/>
        <v>9.562439791106829E-2</v>
      </c>
      <c r="CR311" s="47">
        <v>203135</v>
      </c>
      <c r="CS311" s="55">
        <f t="shared" si="130"/>
        <v>2.0598793287025301</v>
      </c>
      <c r="CT311" s="59">
        <v>50663</v>
      </c>
      <c r="CU311" s="29" t="s">
        <v>25</v>
      </c>
      <c r="CV311" s="29" t="s">
        <v>25</v>
      </c>
      <c r="CW311" s="29" t="s">
        <v>25</v>
      </c>
      <c r="CX311" s="35">
        <v>6</v>
      </c>
      <c r="CY311" s="49">
        <f>C311/CX311</f>
        <v>16435.833333333332</v>
      </c>
      <c r="CZ311" s="35">
        <v>0</v>
      </c>
      <c r="DA311" s="35">
        <v>18.175000000000001</v>
      </c>
      <c r="DB311" s="35">
        <v>24.175000000000001</v>
      </c>
      <c r="DC311" s="49">
        <f t="shared" si="131"/>
        <v>4079.2140641158221</v>
      </c>
      <c r="DD311" s="30">
        <v>4090</v>
      </c>
      <c r="DE311" s="31">
        <v>78894</v>
      </c>
      <c r="DF311" s="35">
        <v>40</v>
      </c>
      <c r="DG311" s="29" t="s">
        <v>25</v>
      </c>
      <c r="DH311" s="29" t="s">
        <v>25</v>
      </c>
      <c r="DI311" s="29" t="s">
        <v>25</v>
      </c>
      <c r="DJ311" s="47">
        <v>1175</v>
      </c>
      <c r="DK311" s="47">
        <v>1875</v>
      </c>
      <c r="DL311" s="47">
        <v>60</v>
      </c>
      <c r="DM311" s="47">
        <v>111314</v>
      </c>
      <c r="DN311" s="47">
        <v>570</v>
      </c>
      <c r="DO311" s="47">
        <v>10680</v>
      </c>
      <c r="DP311" s="29" t="s">
        <v>2028</v>
      </c>
      <c r="DQ311" s="47">
        <v>0</v>
      </c>
      <c r="DR311" s="47">
        <v>2898</v>
      </c>
      <c r="DS311" s="30">
        <v>52</v>
      </c>
      <c r="DT311" s="30">
        <v>58</v>
      </c>
      <c r="DU311" s="30">
        <v>58</v>
      </c>
      <c r="DV311" s="30">
        <v>58</v>
      </c>
      <c r="DW311">
        <f>VLOOKUP(EC311,branch!$I$4:$K$77,3,0)</f>
        <v>1005</v>
      </c>
      <c r="DX311" s="2">
        <f t="shared" si="132"/>
        <v>3903</v>
      </c>
      <c r="DY311" s="33" t="s">
        <v>2182</v>
      </c>
      <c r="DZ311" s="33" t="s">
        <v>840</v>
      </c>
      <c r="EA311" s="33" t="s">
        <v>2030</v>
      </c>
      <c r="EB311" s="33" t="s">
        <v>2027</v>
      </c>
      <c r="EC311" s="36">
        <v>238</v>
      </c>
      <c r="ED311" s="29" t="s">
        <v>839</v>
      </c>
      <c r="EE311" s="29" t="s">
        <v>581</v>
      </c>
      <c r="EF311" s="37">
        <v>41548</v>
      </c>
      <c r="EG311" s="37">
        <v>41912</v>
      </c>
      <c r="EH311" s="29" t="s">
        <v>839</v>
      </c>
      <c r="EI311" s="55">
        <f t="shared" si="133"/>
        <v>0.62417482127465396</v>
      </c>
      <c r="EJ311" s="54">
        <f t="shared" si="134"/>
        <v>2.5310551133194747E-2</v>
      </c>
      <c r="EK311" s="55">
        <f t="shared" si="135"/>
        <v>2.0307661106322565</v>
      </c>
      <c r="EL311" s="54">
        <f t="shared" si="136"/>
        <v>0.21025199006236373</v>
      </c>
    </row>
    <row r="312" spans="1:142" ht="28.8" x14ac:dyDescent="0.3">
      <c r="A312" s="29" t="s">
        <v>842</v>
      </c>
      <c r="B312" s="29"/>
      <c r="C312" s="30">
        <v>8767</v>
      </c>
      <c r="D312" s="30">
        <v>0</v>
      </c>
      <c r="E312" s="30">
        <v>0</v>
      </c>
      <c r="F312" s="30">
        <v>5000</v>
      </c>
      <c r="H312" s="2">
        <f t="shared" si="112"/>
        <v>5000</v>
      </c>
      <c r="I312" s="1">
        <f t="shared" si="111"/>
        <v>0.57032052013231438</v>
      </c>
      <c r="J312" s="31">
        <v>82760</v>
      </c>
      <c r="K312" s="31">
        <v>20851</v>
      </c>
      <c r="L312" s="31">
        <v>103611</v>
      </c>
      <c r="M312" s="45">
        <f t="shared" si="113"/>
        <v>11.818295882285845</v>
      </c>
      <c r="N312" s="31">
        <v>12564</v>
      </c>
      <c r="O312" s="31">
        <v>3137</v>
      </c>
      <c r="P312" s="31">
        <v>0</v>
      </c>
      <c r="Q312" s="31">
        <v>15701</v>
      </c>
      <c r="R312" s="45">
        <f t="shared" si="114"/>
        <v>1.7909204973194937</v>
      </c>
      <c r="S312" s="31">
        <v>66179</v>
      </c>
      <c r="T312" s="31">
        <v>185491</v>
      </c>
      <c r="U312" s="31">
        <v>0</v>
      </c>
      <c r="V312" s="31">
        <v>185491</v>
      </c>
      <c r="W312" s="45">
        <f t="shared" si="115"/>
        <v>21.157864719972626</v>
      </c>
      <c r="X312" s="4">
        <f t="shared" si="116"/>
        <v>0.55857696599835027</v>
      </c>
      <c r="Y312" s="4">
        <f t="shared" si="117"/>
        <v>8.464561622935883E-2</v>
      </c>
      <c r="Z312" s="4">
        <f t="shared" si="118"/>
        <v>0.35677741777229083</v>
      </c>
      <c r="AA312" s="4">
        <f t="shared" si="119"/>
        <v>0</v>
      </c>
      <c r="AB312" s="31">
        <v>0</v>
      </c>
      <c r="AC312" s="31">
        <v>12564</v>
      </c>
      <c r="AD312" s="31">
        <v>170961</v>
      </c>
      <c r="AE312" s="31">
        <v>170961</v>
      </c>
      <c r="AF312" s="31">
        <v>169885</v>
      </c>
      <c r="AG312" s="31">
        <v>15606</v>
      </c>
      <c r="AH312" s="31">
        <v>0</v>
      </c>
      <c r="AI312" s="31">
        <v>185491</v>
      </c>
      <c r="AJ312" s="45">
        <f t="shared" si="120"/>
        <v>21.157864719972626</v>
      </c>
      <c r="AK312" s="31">
        <v>0</v>
      </c>
      <c r="AL312" s="31">
        <v>0</v>
      </c>
      <c r="AM312" s="31">
        <v>0</v>
      </c>
      <c r="AN312" s="31">
        <v>0</v>
      </c>
      <c r="AO312" s="31">
        <v>0</v>
      </c>
      <c r="AP312" s="31">
        <v>21171</v>
      </c>
      <c r="AQ312" s="31">
        <v>21171</v>
      </c>
      <c r="AR312" s="31">
        <v>206662</v>
      </c>
      <c r="AS312" s="46">
        <f t="shared" si="121"/>
        <v>23.572715866316869</v>
      </c>
      <c r="AT312" s="31">
        <v>0</v>
      </c>
      <c r="AU312" s="31">
        <v>0</v>
      </c>
      <c r="AV312" s="31">
        <v>0</v>
      </c>
      <c r="AW312" s="31">
        <v>0</v>
      </c>
      <c r="AX312" s="31">
        <v>0</v>
      </c>
      <c r="AY312" s="31">
        <v>0</v>
      </c>
      <c r="AZ312" s="31">
        <v>0</v>
      </c>
      <c r="BA312" s="31">
        <v>0</v>
      </c>
      <c r="BB312" s="31">
        <v>0</v>
      </c>
      <c r="BC312" s="33" t="s">
        <v>25</v>
      </c>
      <c r="BD312" s="47">
        <v>30846</v>
      </c>
      <c r="BE312" s="47">
        <v>31749</v>
      </c>
      <c r="BF312" s="45">
        <f t="shared" si="122"/>
        <v>3.6214212387361697</v>
      </c>
      <c r="BG312" s="30">
        <v>100</v>
      </c>
      <c r="BH312" s="30">
        <v>100</v>
      </c>
      <c r="BI312" s="30">
        <v>2484</v>
      </c>
      <c r="BJ312" s="30">
        <v>803</v>
      </c>
      <c r="BK312" s="30">
        <v>803</v>
      </c>
      <c r="BL312" s="30">
        <v>0</v>
      </c>
      <c r="BM312" s="30">
        <v>22095</v>
      </c>
      <c r="BN312" s="30">
        <v>0</v>
      </c>
      <c r="BO312" s="30">
        <v>51</v>
      </c>
      <c r="BP312" s="30">
        <v>0</v>
      </c>
      <c r="BQ312" s="30">
        <v>51</v>
      </c>
      <c r="BR312" s="47">
        <v>31749</v>
      </c>
      <c r="BS312" s="47">
        <v>57231</v>
      </c>
      <c r="BT312" s="1">
        <f t="shared" si="123"/>
        <v>6.5280027375384968</v>
      </c>
      <c r="BU312" s="30">
        <v>28</v>
      </c>
      <c r="BV312" s="30">
        <v>0</v>
      </c>
      <c r="BW312" s="47">
        <v>4350</v>
      </c>
      <c r="BX312" s="52">
        <f t="shared" si="124"/>
        <v>0.49617885251511351</v>
      </c>
      <c r="BY312" s="47">
        <v>4836</v>
      </c>
      <c r="BZ312" s="47">
        <v>203</v>
      </c>
      <c r="CA312" s="47">
        <v>8755</v>
      </c>
      <c r="CB312" s="47">
        <v>888</v>
      </c>
      <c r="CC312" s="47">
        <v>14682</v>
      </c>
      <c r="CD312" s="55">
        <f t="shared" si="125"/>
        <v>1.6746891753165278</v>
      </c>
      <c r="CE312" s="3">
        <f t="shared" si="126"/>
        <v>5872.8</v>
      </c>
      <c r="CF312" s="55">
        <f t="shared" si="127"/>
        <v>7.0586538461538462</v>
      </c>
      <c r="CG312" s="55">
        <f t="shared" si="128"/>
        <v>0.33190912173618176</v>
      </c>
      <c r="CH312" s="55">
        <f t="shared" si="129"/>
        <v>0.23747619297234016</v>
      </c>
      <c r="CI312" s="30">
        <v>145</v>
      </c>
      <c r="CJ312" s="30">
        <v>25</v>
      </c>
      <c r="CK312" s="30">
        <v>175</v>
      </c>
      <c r="CL312" s="30">
        <v>345</v>
      </c>
      <c r="CM312" s="30">
        <v>865</v>
      </c>
      <c r="CN312" s="30">
        <v>150</v>
      </c>
      <c r="CO312" s="30">
        <v>325</v>
      </c>
      <c r="CP312" s="30">
        <v>1340</v>
      </c>
      <c r="CQ312" s="1">
        <f t="shared" si="137"/>
        <v>0.15284589939546026</v>
      </c>
      <c r="CR312" s="47">
        <v>44235</v>
      </c>
      <c r="CS312" s="55">
        <f t="shared" si="130"/>
        <v>5.0456256416105854</v>
      </c>
      <c r="CT312" s="59">
        <v>15833</v>
      </c>
      <c r="CU312" s="29" t="s">
        <v>25</v>
      </c>
      <c r="CV312" s="29" t="s">
        <v>25</v>
      </c>
      <c r="CW312" s="29" t="s">
        <v>25</v>
      </c>
      <c r="CX312" s="35">
        <v>1</v>
      </c>
      <c r="CY312" s="49">
        <f>C312/CX312</f>
        <v>8767</v>
      </c>
      <c r="CZ312" s="35">
        <v>0</v>
      </c>
      <c r="DA312" s="35">
        <v>1.5</v>
      </c>
      <c r="DB312" s="35">
        <v>2.5</v>
      </c>
      <c r="DC312" s="49">
        <f t="shared" si="131"/>
        <v>3506.8</v>
      </c>
      <c r="DD312" s="30">
        <v>1500</v>
      </c>
      <c r="DE312" s="31">
        <v>41992</v>
      </c>
      <c r="DF312" s="35">
        <v>40</v>
      </c>
      <c r="DG312" s="29" t="s">
        <v>25</v>
      </c>
      <c r="DH312" s="29" t="s">
        <v>25</v>
      </c>
      <c r="DI312" s="29" t="s">
        <v>25</v>
      </c>
      <c r="DJ312" s="47">
        <v>19</v>
      </c>
      <c r="DK312" s="47">
        <v>30</v>
      </c>
      <c r="DL312" s="47">
        <v>30</v>
      </c>
      <c r="DM312" s="47">
        <v>14447</v>
      </c>
      <c r="DN312" s="47">
        <v>385</v>
      </c>
      <c r="DO312" s="47">
        <v>5061</v>
      </c>
      <c r="DP312" s="29" t="s">
        <v>2028</v>
      </c>
      <c r="DQ312" s="47">
        <v>0</v>
      </c>
      <c r="DR312" s="47">
        <v>2080</v>
      </c>
      <c r="DS312" s="30">
        <v>52</v>
      </c>
      <c r="DT312" s="30">
        <v>40</v>
      </c>
      <c r="DU312" s="30">
        <v>40</v>
      </c>
      <c r="DV312" s="30">
        <v>40</v>
      </c>
      <c r="DX312" s="2">
        <f t="shared" si="132"/>
        <v>2080</v>
      </c>
      <c r="DY312" s="33" t="s">
        <v>2180</v>
      </c>
      <c r="DZ312" s="33" t="s">
        <v>843</v>
      </c>
      <c r="EA312" s="33" t="s">
        <v>2030</v>
      </c>
      <c r="EB312" s="33" t="s">
        <v>2027</v>
      </c>
      <c r="EC312" s="36">
        <v>239</v>
      </c>
      <c r="ED312" s="29" t="s">
        <v>841</v>
      </c>
      <c r="EE312" s="29" t="s">
        <v>214</v>
      </c>
      <c r="EF312" s="37">
        <v>41548</v>
      </c>
      <c r="EG312" s="37">
        <v>41912</v>
      </c>
      <c r="EH312" s="29" t="s">
        <v>841</v>
      </c>
      <c r="EI312" s="55">
        <f t="shared" si="133"/>
        <v>0.5516140070719745</v>
      </c>
      <c r="EJ312" s="54">
        <f t="shared" si="134"/>
        <v>2.3155013117371961E-2</v>
      </c>
      <c r="EK312" s="55">
        <f t="shared" si="135"/>
        <v>0.99863123075168247</v>
      </c>
      <c r="EL312" s="54">
        <f t="shared" si="136"/>
        <v>0.10128892437549904</v>
      </c>
    </row>
    <row r="313" spans="1:142" ht="28.8" x14ac:dyDescent="0.3">
      <c r="A313" s="29" t="s">
        <v>844</v>
      </c>
      <c r="B313" s="29"/>
      <c r="C313" s="30">
        <v>268328</v>
      </c>
      <c r="D313" s="30">
        <v>3</v>
      </c>
      <c r="E313" s="30">
        <v>0</v>
      </c>
      <c r="F313" s="30">
        <v>72000</v>
      </c>
      <c r="G313">
        <v>33482</v>
      </c>
      <c r="H313" s="2">
        <f t="shared" si="112"/>
        <v>105482</v>
      </c>
      <c r="I313" s="1">
        <f t="shared" si="111"/>
        <v>0.39310843445335558</v>
      </c>
      <c r="J313" s="31">
        <v>1564782</v>
      </c>
      <c r="K313" s="31">
        <v>739449</v>
      </c>
      <c r="L313" s="31">
        <v>2304231</v>
      </c>
      <c r="M313" s="45">
        <f t="shared" si="113"/>
        <v>8.5873669538773445</v>
      </c>
      <c r="N313" s="31">
        <v>229130</v>
      </c>
      <c r="O313" s="31">
        <v>54148</v>
      </c>
      <c r="P313" s="31">
        <v>132720</v>
      </c>
      <c r="Q313" s="31">
        <v>415998</v>
      </c>
      <c r="R313" s="45">
        <f t="shared" si="114"/>
        <v>1.5503339196803911</v>
      </c>
      <c r="S313" s="31">
        <v>960607</v>
      </c>
      <c r="T313" s="31">
        <v>3680836</v>
      </c>
      <c r="U313" s="31">
        <v>0</v>
      </c>
      <c r="V313" s="31">
        <v>3680836</v>
      </c>
      <c r="W313" s="45">
        <f t="shared" si="115"/>
        <v>13.717673891654989</v>
      </c>
      <c r="X313" s="4">
        <f t="shared" si="116"/>
        <v>0.62600751568393698</v>
      </c>
      <c r="Y313" s="4">
        <f t="shared" si="117"/>
        <v>0.11301726020936548</v>
      </c>
      <c r="Z313" s="4">
        <f t="shared" si="118"/>
        <v>0.26097522410669749</v>
      </c>
      <c r="AA313" s="4">
        <f t="shared" si="119"/>
        <v>0</v>
      </c>
      <c r="AB313" s="31">
        <v>0</v>
      </c>
      <c r="AC313" s="31">
        <v>415998</v>
      </c>
      <c r="AD313" s="31">
        <v>3680836</v>
      </c>
      <c r="AE313" s="31">
        <v>3680836</v>
      </c>
      <c r="AF313" s="31">
        <v>3488836</v>
      </c>
      <c r="AG313" s="31">
        <v>192000</v>
      </c>
      <c r="AH313" s="31">
        <v>0</v>
      </c>
      <c r="AI313" s="31">
        <v>3680836</v>
      </c>
      <c r="AJ313" s="45">
        <f t="shared" si="120"/>
        <v>13.717673891654989</v>
      </c>
      <c r="AK313" s="31">
        <v>0</v>
      </c>
      <c r="AL313" s="31">
        <v>0</v>
      </c>
      <c r="AM313" s="31">
        <v>0</v>
      </c>
      <c r="AN313" s="31">
        <v>0</v>
      </c>
      <c r="AO313" s="31">
        <v>0</v>
      </c>
      <c r="AP313" s="31">
        <v>0</v>
      </c>
      <c r="AQ313" s="31">
        <v>0</v>
      </c>
      <c r="AR313" s="31">
        <v>3680836</v>
      </c>
      <c r="AS313" s="46">
        <f t="shared" si="121"/>
        <v>13.717673891654989</v>
      </c>
      <c r="AT313" s="31">
        <v>0</v>
      </c>
      <c r="AU313" s="31">
        <v>0</v>
      </c>
      <c r="AV313" s="31">
        <v>0</v>
      </c>
      <c r="AW313" s="31">
        <v>0</v>
      </c>
      <c r="AX313" s="31">
        <v>0</v>
      </c>
      <c r="AY313" s="31">
        <v>0</v>
      </c>
      <c r="AZ313" s="31">
        <v>0</v>
      </c>
      <c r="BA313" s="31">
        <v>0</v>
      </c>
      <c r="BB313" s="31">
        <v>0</v>
      </c>
      <c r="BC313" s="33" t="s">
        <v>25</v>
      </c>
      <c r="BD313" s="47">
        <v>210456</v>
      </c>
      <c r="BE313" s="47">
        <v>423004</v>
      </c>
      <c r="BF313" s="45">
        <f t="shared" si="122"/>
        <v>1.5764437554038342</v>
      </c>
      <c r="BG313" s="30">
        <v>9369</v>
      </c>
      <c r="BH313" s="30">
        <v>15971</v>
      </c>
      <c r="BI313" s="30">
        <v>3366</v>
      </c>
      <c r="BJ313" s="30">
        <v>12552</v>
      </c>
      <c r="BK313" s="30">
        <v>34374</v>
      </c>
      <c r="BL313" s="30">
        <v>155</v>
      </c>
      <c r="BM313" s="30">
        <v>8414</v>
      </c>
      <c r="BN313" s="30">
        <v>5</v>
      </c>
      <c r="BO313" s="30">
        <v>51</v>
      </c>
      <c r="BP313" s="30">
        <v>4</v>
      </c>
      <c r="BQ313" s="30">
        <v>60</v>
      </c>
      <c r="BR313" s="47">
        <v>232377</v>
      </c>
      <c r="BS313" s="47">
        <v>485289</v>
      </c>
      <c r="BT313" s="1">
        <f t="shared" si="123"/>
        <v>1.8085663814436064</v>
      </c>
      <c r="BU313" s="30">
        <v>271</v>
      </c>
      <c r="BV313" s="30">
        <v>121</v>
      </c>
      <c r="BW313" s="47">
        <v>780772</v>
      </c>
      <c r="BX313" s="52">
        <f t="shared" si="124"/>
        <v>2.9097671506514415</v>
      </c>
      <c r="BY313" s="47">
        <v>293417</v>
      </c>
      <c r="BZ313" s="47">
        <v>0</v>
      </c>
      <c r="CA313" s="47">
        <v>555570</v>
      </c>
      <c r="CB313" s="47">
        <v>97283</v>
      </c>
      <c r="CC313" s="47">
        <v>946270</v>
      </c>
      <c r="CD313" s="55">
        <f t="shared" si="125"/>
        <v>3.526542142452521</v>
      </c>
      <c r="CE313" s="3">
        <f t="shared" si="126"/>
        <v>14785.46875</v>
      </c>
      <c r="CF313" s="55">
        <f t="shared" si="127"/>
        <v>82.063134160090186</v>
      </c>
      <c r="CG313" s="55">
        <f t="shared" si="128"/>
        <v>1.9905884233821092</v>
      </c>
      <c r="CH313" s="55">
        <f t="shared" si="129"/>
        <v>1.7494462062812057</v>
      </c>
      <c r="CI313" s="30">
        <v>629</v>
      </c>
      <c r="CJ313" s="30">
        <v>47</v>
      </c>
      <c r="CK313" s="30">
        <v>170</v>
      </c>
      <c r="CL313" s="30">
        <v>846</v>
      </c>
      <c r="CM313" s="30">
        <v>26248</v>
      </c>
      <c r="CN313" s="30">
        <v>564</v>
      </c>
      <c r="CO313" s="30">
        <v>2460</v>
      </c>
      <c r="CP313" s="30">
        <v>29272</v>
      </c>
      <c r="CQ313" s="1">
        <f t="shared" si="137"/>
        <v>0.10909036701350586</v>
      </c>
      <c r="CR313" s="47">
        <v>475372</v>
      </c>
      <c r="CS313" s="55">
        <f t="shared" si="130"/>
        <v>1.7716078828895978</v>
      </c>
      <c r="CT313" s="59">
        <v>146631</v>
      </c>
      <c r="CU313" s="29" t="s">
        <v>25</v>
      </c>
      <c r="CV313" s="29" t="s">
        <v>25</v>
      </c>
      <c r="CW313" s="29" t="s">
        <v>25</v>
      </c>
      <c r="CX313" s="35">
        <v>14.5</v>
      </c>
      <c r="CY313" s="49">
        <f>C313/CX313</f>
        <v>18505.379310344826</v>
      </c>
      <c r="CZ313" s="35">
        <v>14.5</v>
      </c>
      <c r="DA313" s="35">
        <v>35</v>
      </c>
      <c r="DB313" s="35">
        <v>64</v>
      </c>
      <c r="DC313" s="49">
        <f t="shared" si="131"/>
        <v>4192.625</v>
      </c>
      <c r="DD313" s="30">
        <v>15000</v>
      </c>
      <c r="DE313" s="31">
        <v>101720</v>
      </c>
      <c r="DF313" s="35">
        <v>40</v>
      </c>
      <c r="DG313" s="29" t="s">
        <v>25</v>
      </c>
      <c r="DH313" s="29" t="s">
        <v>25</v>
      </c>
      <c r="DI313" s="29" t="s">
        <v>25</v>
      </c>
      <c r="DJ313" s="47">
        <v>12032</v>
      </c>
      <c r="DK313" s="47">
        <v>11424</v>
      </c>
      <c r="DL313" s="47">
        <v>34</v>
      </c>
      <c r="DM313" s="47">
        <v>437147</v>
      </c>
      <c r="DN313" s="47">
        <v>960</v>
      </c>
      <c r="DO313" s="47">
        <v>0</v>
      </c>
      <c r="DP313" s="29" t="s">
        <v>2028</v>
      </c>
      <c r="DQ313" s="47">
        <v>0</v>
      </c>
      <c r="DR313" s="47">
        <v>3350</v>
      </c>
      <c r="DS313" s="30">
        <v>52</v>
      </c>
      <c r="DT313" s="30">
        <v>67</v>
      </c>
      <c r="DU313" s="30">
        <v>67</v>
      </c>
      <c r="DV313" s="30">
        <v>67</v>
      </c>
      <c r="DW313">
        <f>VLOOKUP(EC313,branch!$I$4:$K$77,3,0)</f>
        <v>8181</v>
      </c>
      <c r="DX313" s="2">
        <f t="shared" si="132"/>
        <v>11531</v>
      </c>
      <c r="DY313" s="33" t="s">
        <v>2178</v>
      </c>
      <c r="DZ313" s="33" t="s">
        <v>846</v>
      </c>
      <c r="EA313" s="33" t="s">
        <v>2030</v>
      </c>
      <c r="EB313" s="33" t="s">
        <v>2027</v>
      </c>
      <c r="EC313" s="36">
        <v>240</v>
      </c>
      <c r="ED313" s="29" t="s">
        <v>845</v>
      </c>
      <c r="EE313" s="29" t="s">
        <v>844</v>
      </c>
      <c r="EF313" s="37">
        <v>41548</v>
      </c>
      <c r="EG313" s="37">
        <v>41912</v>
      </c>
      <c r="EH313" s="29" t="s">
        <v>845</v>
      </c>
      <c r="EI313" s="55">
        <f t="shared" si="133"/>
        <v>1.0935012372916728</v>
      </c>
      <c r="EJ313" s="54">
        <f t="shared" si="134"/>
        <v>0</v>
      </c>
      <c r="EK313" s="55">
        <f t="shared" si="135"/>
        <v>2.0704883575325721</v>
      </c>
      <c r="EL313" s="54">
        <f t="shared" si="136"/>
        <v>0.36255254762827582</v>
      </c>
    </row>
    <row r="314" spans="1:142" ht="28.8" x14ac:dyDescent="0.3">
      <c r="A314" s="29" t="s">
        <v>847</v>
      </c>
      <c r="B314" s="29"/>
      <c r="C314" s="30">
        <v>36085</v>
      </c>
      <c r="D314" s="30">
        <v>0</v>
      </c>
      <c r="E314" s="30">
        <v>0</v>
      </c>
      <c r="F314" s="30">
        <v>51000</v>
      </c>
      <c r="H314" s="2">
        <f t="shared" si="112"/>
        <v>51000</v>
      </c>
      <c r="I314" s="1">
        <f t="shared" ref="I314:I376" si="138">H314/C314</f>
        <v>1.4133296383538867</v>
      </c>
      <c r="J314" s="31">
        <v>307612</v>
      </c>
      <c r="K314" s="31">
        <v>173781</v>
      </c>
      <c r="L314" s="31">
        <v>481393</v>
      </c>
      <c r="M314" s="45">
        <f t="shared" si="113"/>
        <v>13.340529305805736</v>
      </c>
      <c r="N314" s="31">
        <v>107676</v>
      </c>
      <c r="O314" s="31">
        <v>16000</v>
      </c>
      <c r="P314" s="31">
        <v>10867</v>
      </c>
      <c r="Q314" s="31">
        <v>134543</v>
      </c>
      <c r="R314" s="45">
        <f t="shared" si="114"/>
        <v>3.7285021477068034</v>
      </c>
      <c r="S314" s="31">
        <v>168674</v>
      </c>
      <c r="T314" s="31">
        <v>784610</v>
      </c>
      <c r="U314" s="31">
        <v>0</v>
      </c>
      <c r="V314" s="31">
        <v>784610</v>
      </c>
      <c r="W314" s="45">
        <f t="shared" si="115"/>
        <v>21.743383677428294</v>
      </c>
      <c r="X314" s="4">
        <f t="shared" si="116"/>
        <v>0.61354430863741227</v>
      </c>
      <c r="Y314" s="4">
        <f t="shared" si="117"/>
        <v>0.17147754935573087</v>
      </c>
      <c r="Z314" s="4">
        <f t="shared" si="118"/>
        <v>0.21497814200685691</v>
      </c>
      <c r="AA314" s="4">
        <f t="shared" si="119"/>
        <v>0</v>
      </c>
      <c r="AB314" s="31">
        <v>0</v>
      </c>
      <c r="AC314" s="31">
        <v>134543</v>
      </c>
      <c r="AD314" s="31">
        <v>784610</v>
      </c>
      <c r="AE314" s="31">
        <v>605314</v>
      </c>
      <c r="AF314" s="31">
        <v>605314</v>
      </c>
      <c r="AG314" s="31">
        <v>0</v>
      </c>
      <c r="AH314" s="31">
        <v>0</v>
      </c>
      <c r="AI314" s="31">
        <v>605314</v>
      </c>
      <c r="AJ314" s="45">
        <f t="shared" si="120"/>
        <v>16.774670915893029</v>
      </c>
      <c r="AK314" s="31">
        <v>0</v>
      </c>
      <c r="AL314" s="31">
        <v>0</v>
      </c>
      <c r="AM314" s="31">
        <v>0</v>
      </c>
      <c r="AN314" s="31">
        <v>0</v>
      </c>
      <c r="AO314" s="31">
        <v>5000</v>
      </c>
      <c r="AP314" s="31">
        <v>215351</v>
      </c>
      <c r="AQ314" s="31">
        <v>220351</v>
      </c>
      <c r="AR314" s="31">
        <v>825665</v>
      </c>
      <c r="AS314" s="46">
        <f t="shared" si="121"/>
        <v>22.881114036303174</v>
      </c>
      <c r="AT314" s="31">
        <v>0</v>
      </c>
      <c r="AU314" s="31">
        <v>0</v>
      </c>
      <c r="AV314" s="31">
        <v>0</v>
      </c>
      <c r="AW314" s="31">
        <v>0</v>
      </c>
      <c r="AX314" s="31">
        <v>0</v>
      </c>
      <c r="AY314" s="31">
        <v>0</v>
      </c>
      <c r="AZ314" s="31">
        <v>0</v>
      </c>
      <c r="BA314" s="31">
        <v>0</v>
      </c>
      <c r="BB314" s="31">
        <v>0</v>
      </c>
      <c r="BC314" s="33" t="s">
        <v>25</v>
      </c>
      <c r="BD314" s="47">
        <v>91776</v>
      </c>
      <c r="BE314" s="47">
        <v>104776</v>
      </c>
      <c r="BF314" s="45">
        <f t="shared" si="122"/>
        <v>2.9035887487875849</v>
      </c>
      <c r="BG314" s="30">
        <v>3863</v>
      </c>
      <c r="BH314" s="30">
        <v>3993</v>
      </c>
      <c r="BI314" s="30">
        <v>5119</v>
      </c>
      <c r="BJ314" s="30">
        <v>4874</v>
      </c>
      <c r="BK314" s="30">
        <v>6305</v>
      </c>
      <c r="BL314" s="30">
        <v>0</v>
      </c>
      <c r="BM314" s="30">
        <v>575</v>
      </c>
      <c r="BN314" s="30">
        <v>3</v>
      </c>
      <c r="BO314" s="30">
        <v>51</v>
      </c>
      <c r="BP314" s="30">
        <v>0</v>
      </c>
      <c r="BQ314" s="30">
        <v>54</v>
      </c>
      <c r="BR314" s="47">
        <v>100513</v>
      </c>
      <c r="BS314" s="47">
        <v>120771</v>
      </c>
      <c r="BT314" s="1">
        <f t="shared" si="123"/>
        <v>3.3468477206595537</v>
      </c>
      <c r="BU314" s="30">
        <v>105</v>
      </c>
      <c r="BV314" s="30">
        <v>0</v>
      </c>
      <c r="BW314" s="47">
        <v>84257</v>
      </c>
      <c r="BX314" s="52">
        <f t="shared" si="124"/>
        <v>2.3349591242898713</v>
      </c>
      <c r="BY314" s="47">
        <v>71304</v>
      </c>
      <c r="BZ314" s="47">
        <v>52</v>
      </c>
      <c r="CA314" s="47">
        <v>112532</v>
      </c>
      <c r="CB314" s="47">
        <v>2694</v>
      </c>
      <c r="CC314" s="47">
        <v>186582</v>
      </c>
      <c r="CD314" s="55">
        <f t="shared" si="125"/>
        <v>5.1706249133989193</v>
      </c>
      <c r="CE314" s="3">
        <f t="shared" si="126"/>
        <v>14926.56</v>
      </c>
      <c r="CF314" s="55">
        <f t="shared" si="127"/>
        <v>76.656532456861129</v>
      </c>
      <c r="CG314" s="55">
        <f t="shared" si="128"/>
        <v>1.2198649258268881</v>
      </c>
      <c r="CH314" s="55">
        <f t="shared" si="129"/>
        <v>1.5221866176482766</v>
      </c>
      <c r="CI314" s="30">
        <v>180</v>
      </c>
      <c r="CJ314" s="30">
        <v>27</v>
      </c>
      <c r="CK314" s="30">
        <v>62</v>
      </c>
      <c r="CL314" s="30">
        <v>269</v>
      </c>
      <c r="CM314" s="30">
        <v>27991</v>
      </c>
      <c r="CN314" s="30">
        <v>906</v>
      </c>
      <c r="CO314" s="30">
        <v>4088</v>
      </c>
      <c r="CP314" s="30">
        <v>32985</v>
      </c>
      <c r="CQ314" s="1">
        <f t="shared" si="137"/>
        <v>0.91409172786476378</v>
      </c>
      <c r="CR314" s="47">
        <v>152953</v>
      </c>
      <c r="CS314" s="55">
        <f t="shared" si="130"/>
        <v>4.2386864348067066</v>
      </c>
      <c r="CT314" s="59">
        <v>50937</v>
      </c>
      <c r="CU314" s="29" t="s">
        <v>25</v>
      </c>
      <c r="CV314" s="29" t="s">
        <v>25</v>
      </c>
      <c r="CW314" s="29" t="s">
        <v>25</v>
      </c>
      <c r="CX314" s="35">
        <v>2</v>
      </c>
      <c r="CY314" s="49">
        <f>C314/CX314</f>
        <v>18042.5</v>
      </c>
      <c r="CZ314" s="35">
        <v>0</v>
      </c>
      <c r="DA314" s="35">
        <v>10.5</v>
      </c>
      <c r="DB314" s="35">
        <v>12.5</v>
      </c>
      <c r="DC314" s="49">
        <f t="shared" si="131"/>
        <v>2886.8</v>
      </c>
      <c r="DD314" s="30">
        <v>1174</v>
      </c>
      <c r="DE314" s="31">
        <v>63351</v>
      </c>
      <c r="DF314" s="35">
        <v>40</v>
      </c>
      <c r="DG314" s="29" t="s">
        <v>25</v>
      </c>
      <c r="DH314" s="29" t="s">
        <v>25</v>
      </c>
      <c r="DI314" s="29" t="s">
        <v>25</v>
      </c>
      <c r="DJ314" s="47">
        <v>7</v>
      </c>
      <c r="DK314" s="47">
        <v>20</v>
      </c>
      <c r="DL314" s="47">
        <v>28</v>
      </c>
      <c r="DM314" s="47">
        <v>24363</v>
      </c>
      <c r="DN314" s="47">
        <v>5500</v>
      </c>
      <c r="DO314" s="47">
        <v>0</v>
      </c>
      <c r="DP314" s="29" t="s">
        <v>25</v>
      </c>
      <c r="DQ314" s="47">
        <v>36972</v>
      </c>
      <c r="DR314" s="47">
        <v>2434</v>
      </c>
      <c r="DS314" s="30">
        <v>52</v>
      </c>
      <c r="DT314" s="30">
        <v>49</v>
      </c>
      <c r="DU314" s="30">
        <v>49</v>
      </c>
      <c r="DV314" s="30">
        <v>49</v>
      </c>
      <c r="DX314" s="2">
        <f t="shared" si="132"/>
        <v>2434</v>
      </c>
      <c r="DY314" s="33" t="s">
        <v>2185</v>
      </c>
      <c r="DZ314" s="33" t="s">
        <v>849</v>
      </c>
      <c r="EA314" s="33" t="s">
        <v>2030</v>
      </c>
      <c r="EB314" s="33" t="s">
        <v>2027</v>
      </c>
      <c r="EC314" s="36">
        <v>241</v>
      </c>
      <c r="ED314" s="29" t="s">
        <v>848</v>
      </c>
      <c r="EE314" s="29" t="s">
        <v>436</v>
      </c>
      <c r="EF314" s="37">
        <v>41548</v>
      </c>
      <c r="EG314" s="37">
        <v>41912</v>
      </c>
      <c r="EH314" s="29" t="s">
        <v>848</v>
      </c>
      <c r="EI314" s="55">
        <f t="shared" si="133"/>
        <v>1.976001108493834</v>
      </c>
      <c r="EJ314" s="54">
        <f t="shared" si="134"/>
        <v>1.4410419842039628E-3</v>
      </c>
      <c r="EK314" s="55">
        <f t="shared" si="135"/>
        <v>3.1185257032007758</v>
      </c>
      <c r="EL314" s="54">
        <f t="shared" si="136"/>
        <v>7.4657059720105307E-2</v>
      </c>
    </row>
    <row r="315" spans="1:142" ht="28.8" x14ac:dyDescent="0.3">
      <c r="A315" s="29" t="s">
        <v>850</v>
      </c>
      <c r="B315" s="29"/>
      <c r="C315" s="30">
        <v>5659</v>
      </c>
      <c r="D315" s="30">
        <v>0</v>
      </c>
      <c r="E315" s="30">
        <v>0</v>
      </c>
      <c r="F315" s="30">
        <v>7934</v>
      </c>
      <c r="H315" s="2">
        <f t="shared" ref="H315:H377" si="139">G315+F315</f>
        <v>7934</v>
      </c>
      <c r="I315" s="1">
        <f t="shared" si="138"/>
        <v>1.4020144901926135</v>
      </c>
      <c r="J315" s="31">
        <v>58263</v>
      </c>
      <c r="K315" s="31">
        <v>21654</v>
      </c>
      <c r="L315" s="31">
        <v>79917</v>
      </c>
      <c r="M315" s="45">
        <f t="shared" si="113"/>
        <v>14.122106379218943</v>
      </c>
      <c r="N315" s="31">
        <v>28623</v>
      </c>
      <c r="O315" s="31">
        <v>0</v>
      </c>
      <c r="P315" s="31">
        <v>992</v>
      </c>
      <c r="Q315" s="31">
        <v>29615</v>
      </c>
      <c r="R315" s="45">
        <f t="shared" si="114"/>
        <v>5.2332567591447257</v>
      </c>
      <c r="S315" s="31">
        <v>32706</v>
      </c>
      <c r="T315" s="31">
        <v>142238</v>
      </c>
      <c r="U315" s="31">
        <v>6690</v>
      </c>
      <c r="V315" s="31">
        <v>148928</v>
      </c>
      <c r="W315" s="45">
        <f t="shared" si="115"/>
        <v>26.317017140837603</v>
      </c>
      <c r="X315" s="4">
        <f t="shared" si="116"/>
        <v>0.53661500859475719</v>
      </c>
      <c r="Y315" s="4">
        <f t="shared" si="117"/>
        <v>0.19885448001718953</v>
      </c>
      <c r="Z315" s="4">
        <f t="shared" si="118"/>
        <v>0.2196094757198109</v>
      </c>
      <c r="AA315" s="4">
        <f t="shared" si="119"/>
        <v>4.4921035668242369E-2</v>
      </c>
      <c r="AB315" s="31">
        <v>0</v>
      </c>
      <c r="AC315" s="31">
        <v>29615</v>
      </c>
      <c r="AD315" s="31">
        <v>148928</v>
      </c>
      <c r="AE315" s="31">
        <v>148928</v>
      </c>
      <c r="AF315" s="31">
        <v>142238</v>
      </c>
      <c r="AG315" s="31">
        <v>0</v>
      </c>
      <c r="AH315" s="31">
        <v>0</v>
      </c>
      <c r="AI315" s="31">
        <v>142238</v>
      </c>
      <c r="AJ315" s="45">
        <f t="shared" si="120"/>
        <v>25.134829475172292</v>
      </c>
      <c r="AK315" s="31">
        <v>0</v>
      </c>
      <c r="AL315" s="31">
        <v>0</v>
      </c>
      <c r="AM315" s="31">
        <v>0</v>
      </c>
      <c r="AN315" s="31">
        <v>0</v>
      </c>
      <c r="AO315" s="31">
        <v>0</v>
      </c>
      <c r="AP315" s="31">
        <v>0</v>
      </c>
      <c r="AQ315" s="31">
        <v>0</v>
      </c>
      <c r="AR315" s="31">
        <v>142238</v>
      </c>
      <c r="AS315" s="46">
        <f t="shared" si="121"/>
        <v>25.134829475172292</v>
      </c>
      <c r="AT315" s="31">
        <v>0</v>
      </c>
      <c r="AU315" s="31">
        <v>0</v>
      </c>
      <c r="AV315" s="31">
        <v>0</v>
      </c>
      <c r="AW315" s="31">
        <v>0</v>
      </c>
      <c r="AX315" s="31">
        <v>0</v>
      </c>
      <c r="AY315" s="31">
        <v>0</v>
      </c>
      <c r="AZ315" s="31">
        <v>0</v>
      </c>
      <c r="BA315" s="31">
        <v>0</v>
      </c>
      <c r="BB315" s="31">
        <v>0</v>
      </c>
      <c r="BC315" s="33" t="s">
        <v>25</v>
      </c>
      <c r="BD315" s="47">
        <v>19200</v>
      </c>
      <c r="BE315" s="47">
        <v>19205</v>
      </c>
      <c r="BF315" s="45">
        <f t="shared" si="122"/>
        <v>3.3937091358897331</v>
      </c>
      <c r="BG315" s="30">
        <v>260</v>
      </c>
      <c r="BH315" s="30">
        <v>260</v>
      </c>
      <c r="BI315" s="30">
        <v>0</v>
      </c>
      <c r="BJ315" s="30">
        <v>1700</v>
      </c>
      <c r="BK315" s="30">
        <v>1700</v>
      </c>
      <c r="BL315" s="30">
        <v>0</v>
      </c>
      <c r="BM315" s="30">
        <v>0</v>
      </c>
      <c r="BN315" s="30">
        <v>0</v>
      </c>
      <c r="BO315" s="30">
        <v>51</v>
      </c>
      <c r="BP315" s="30">
        <v>0</v>
      </c>
      <c r="BQ315" s="30">
        <v>51</v>
      </c>
      <c r="BR315" s="47">
        <v>21160</v>
      </c>
      <c r="BS315" s="47">
        <v>21165</v>
      </c>
      <c r="BT315" s="1">
        <f t="shared" si="123"/>
        <v>3.7400600812864462</v>
      </c>
      <c r="BU315" s="30">
        <v>16</v>
      </c>
      <c r="BV315" s="30">
        <v>0</v>
      </c>
      <c r="BW315" s="47">
        <v>96</v>
      </c>
      <c r="BX315" s="52">
        <f t="shared" si="124"/>
        <v>1.6964127937798199E-2</v>
      </c>
      <c r="BY315" s="47">
        <v>2674</v>
      </c>
      <c r="BZ315" s="47">
        <v>0</v>
      </c>
      <c r="CA315" s="47">
        <v>32473</v>
      </c>
      <c r="CB315" s="47">
        <v>0</v>
      </c>
      <c r="CC315" s="47">
        <v>35147</v>
      </c>
      <c r="CD315" s="55">
        <f t="shared" si="125"/>
        <v>6.2108146315603463</v>
      </c>
      <c r="CE315" s="3">
        <f t="shared" si="126"/>
        <v>18998.378378378377</v>
      </c>
      <c r="CF315" s="55">
        <f t="shared" si="127"/>
        <v>17.978005115089513</v>
      </c>
      <c r="CG315" s="55">
        <f t="shared" si="128"/>
        <v>1.9822345045400711</v>
      </c>
      <c r="CH315" s="55">
        <f t="shared" si="129"/>
        <v>1.6606189463737302</v>
      </c>
      <c r="CI315" s="30">
        <v>6</v>
      </c>
      <c r="CJ315" s="30">
        <v>0</v>
      </c>
      <c r="CK315" s="30">
        <v>0</v>
      </c>
      <c r="CL315" s="30">
        <v>6</v>
      </c>
      <c r="CM315" s="30">
        <v>239</v>
      </c>
      <c r="CN315" s="30">
        <v>0</v>
      </c>
      <c r="CO315" s="30">
        <v>0</v>
      </c>
      <c r="CP315" s="30">
        <v>239</v>
      </c>
      <c r="CQ315" s="1">
        <f t="shared" si="137"/>
        <v>4.2233610178476766E-2</v>
      </c>
      <c r="CR315" s="47">
        <v>17731</v>
      </c>
      <c r="CS315" s="55">
        <f t="shared" si="130"/>
        <v>3.1332390881781231</v>
      </c>
      <c r="CT315" s="59">
        <v>2790</v>
      </c>
      <c r="CU315" s="29" t="s">
        <v>25</v>
      </c>
      <c r="CV315" s="29" t="s">
        <v>25</v>
      </c>
      <c r="CW315" s="29" t="s">
        <v>25</v>
      </c>
      <c r="CX315" s="35">
        <v>1</v>
      </c>
      <c r="CY315" s="49">
        <f>C315/CX315</f>
        <v>5659</v>
      </c>
      <c r="CZ315" s="35">
        <v>0.75</v>
      </c>
      <c r="DA315" s="35">
        <v>0.1</v>
      </c>
      <c r="DB315" s="35">
        <v>1.85</v>
      </c>
      <c r="DC315" s="49">
        <f t="shared" si="131"/>
        <v>3058.9189189189187</v>
      </c>
      <c r="DD315" s="30">
        <v>30</v>
      </c>
      <c r="DE315" s="31">
        <v>37642</v>
      </c>
      <c r="DF315" s="35">
        <v>40</v>
      </c>
      <c r="DG315" s="29" t="s">
        <v>25</v>
      </c>
      <c r="DH315" s="29" t="s">
        <v>25</v>
      </c>
      <c r="DI315" s="29" t="s">
        <v>25</v>
      </c>
      <c r="DJ315" s="47">
        <v>0</v>
      </c>
      <c r="DK315" s="47">
        <v>0</v>
      </c>
      <c r="DL315" s="47">
        <v>6</v>
      </c>
      <c r="DM315" s="47">
        <v>3900</v>
      </c>
      <c r="DN315" s="47">
        <v>0</v>
      </c>
      <c r="DO315" s="47">
        <v>595</v>
      </c>
      <c r="DP315" s="29" t="s">
        <v>2028</v>
      </c>
      <c r="DQ315" s="47">
        <v>0</v>
      </c>
      <c r="DR315" s="47">
        <v>1955</v>
      </c>
      <c r="DS315" s="30">
        <v>52</v>
      </c>
      <c r="DT315" s="30">
        <v>40</v>
      </c>
      <c r="DU315" s="30">
        <v>40</v>
      </c>
      <c r="DV315" s="30">
        <v>40</v>
      </c>
      <c r="DX315" s="2">
        <f t="shared" si="132"/>
        <v>1955</v>
      </c>
      <c r="DY315" s="33" t="s">
        <v>2186</v>
      </c>
      <c r="DZ315" s="33" t="s">
        <v>852</v>
      </c>
      <c r="EA315" s="33" t="s">
        <v>2030</v>
      </c>
      <c r="EB315" s="33" t="s">
        <v>2027</v>
      </c>
      <c r="EC315" s="36">
        <v>242</v>
      </c>
      <c r="ED315" s="29" t="s">
        <v>851</v>
      </c>
      <c r="EE315" s="29" t="s">
        <v>241</v>
      </c>
      <c r="EF315" s="37">
        <v>41365</v>
      </c>
      <c r="EG315" s="37">
        <v>41729</v>
      </c>
      <c r="EH315" s="29" t="s">
        <v>851</v>
      </c>
      <c r="EI315" s="55">
        <f t="shared" si="133"/>
        <v>0.47252164693408727</v>
      </c>
      <c r="EJ315" s="54">
        <f t="shared" si="134"/>
        <v>0</v>
      </c>
      <c r="EK315" s="55">
        <f t="shared" si="135"/>
        <v>5.7382929846262591</v>
      </c>
      <c r="EL315" s="54">
        <f t="shared" si="136"/>
        <v>0</v>
      </c>
    </row>
    <row r="316" spans="1:142" ht="28.8" x14ac:dyDescent="0.3">
      <c r="A316" s="29" t="s">
        <v>1603</v>
      </c>
      <c r="B316" s="29"/>
      <c r="C316" s="30">
        <v>29634</v>
      </c>
      <c r="D316" s="30">
        <v>0</v>
      </c>
      <c r="E316" s="30">
        <v>0</v>
      </c>
      <c r="F316" s="30">
        <v>5000</v>
      </c>
      <c r="H316" s="2">
        <f t="shared" si="139"/>
        <v>5000</v>
      </c>
      <c r="I316" s="1">
        <f t="shared" si="138"/>
        <v>0.16872511304582574</v>
      </c>
      <c r="J316" s="31">
        <v>112103</v>
      </c>
      <c r="K316" s="31">
        <v>38678</v>
      </c>
      <c r="L316" s="31">
        <v>150781</v>
      </c>
      <c r="M316" s="45">
        <f t="shared" si="113"/>
        <v>5.0881082540325302</v>
      </c>
      <c r="N316" s="31">
        <v>21074</v>
      </c>
      <c r="O316" s="31">
        <v>440</v>
      </c>
      <c r="P316" s="31">
        <v>3364</v>
      </c>
      <c r="Q316" s="31">
        <v>24878</v>
      </c>
      <c r="R316" s="45">
        <f t="shared" si="114"/>
        <v>0.83950867247081051</v>
      </c>
      <c r="S316" s="31">
        <v>46655</v>
      </c>
      <c r="T316" s="31">
        <v>222314</v>
      </c>
      <c r="U316" s="31">
        <v>0</v>
      </c>
      <c r="V316" s="31">
        <v>222314</v>
      </c>
      <c r="W316" s="45">
        <f t="shared" si="115"/>
        <v>7.5019909563339411</v>
      </c>
      <c r="X316" s="4">
        <f t="shared" si="116"/>
        <v>0.67823438919726153</v>
      </c>
      <c r="Y316" s="4">
        <f t="shared" si="117"/>
        <v>0.11190478332448699</v>
      </c>
      <c r="Z316" s="4">
        <f t="shared" si="118"/>
        <v>0.20986082747825149</v>
      </c>
      <c r="AA316" s="4">
        <f t="shared" si="119"/>
        <v>0</v>
      </c>
      <c r="AB316" s="31">
        <v>0</v>
      </c>
      <c r="AC316" s="31">
        <v>24878</v>
      </c>
      <c r="AD316" s="31">
        <v>222314</v>
      </c>
      <c r="AE316" s="31">
        <v>222314</v>
      </c>
      <c r="AF316" s="31">
        <v>229071</v>
      </c>
      <c r="AG316" s="31">
        <v>9000</v>
      </c>
      <c r="AH316" s="31">
        <v>0</v>
      </c>
      <c r="AI316" s="31">
        <v>238071</v>
      </c>
      <c r="AJ316" s="45">
        <f t="shared" si="120"/>
        <v>8.0337112775865567</v>
      </c>
      <c r="AK316" s="31">
        <v>0</v>
      </c>
      <c r="AL316" s="31">
        <v>0</v>
      </c>
      <c r="AM316" s="31">
        <v>0</v>
      </c>
      <c r="AN316" s="31">
        <v>0</v>
      </c>
      <c r="AO316" s="31">
        <v>0</v>
      </c>
      <c r="AP316" s="31">
        <v>0</v>
      </c>
      <c r="AQ316" s="31">
        <v>0</v>
      </c>
      <c r="AR316" s="31">
        <v>238071</v>
      </c>
      <c r="AS316" s="46">
        <f t="shared" si="121"/>
        <v>8.0337112775865567</v>
      </c>
      <c r="AT316" s="31">
        <v>0</v>
      </c>
      <c r="AU316" s="31">
        <v>0</v>
      </c>
      <c r="AV316" s="31">
        <v>0</v>
      </c>
      <c r="AW316" s="31">
        <v>0</v>
      </c>
      <c r="AX316" s="31">
        <v>0</v>
      </c>
      <c r="AY316" s="31">
        <v>0</v>
      </c>
      <c r="AZ316" s="31">
        <v>0</v>
      </c>
      <c r="BA316" s="31">
        <v>0</v>
      </c>
      <c r="BB316" s="31">
        <v>0</v>
      </c>
      <c r="BC316" s="33" t="s">
        <v>25</v>
      </c>
      <c r="BD316" s="47">
        <v>27365</v>
      </c>
      <c r="BE316" s="47">
        <v>28047</v>
      </c>
      <c r="BF316" s="45">
        <f t="shared" si="122"/>
        <v>0.94644664911925491</v>
      </c>
      <c r="BG316" s="30">
        <v>1178</v>
      </c>
      <c r="BH316" s="30">
        <v>1187</v>
      </c>
      <c r="BI316" s="30">
        <v>0</v>
      </c>
      <c r="BJ316" s="30">
        <v>2494</v>
      </c>
      <c r="BK316" s="30">
        <v>2549</v>
      </c>
      <c r="BL316" s="30">
        <v>0</v>
      </c>
      <c r="BM316" s="30">
        <v>0</v>
      </c>
      <c r="BN316" s="30">
        <v>5</v>
      </c>
      <c r="BO316" s="30">
        <v>51</v>
      </c>
      <c r="BP316" s="30">
        <v>0</v>
      </c>
      <c r="BQ316" s="30">
        <v>56</v>
      </c>
      <c r="BR316" s="47">
        <v>31037</v>
      </c>
      <c r="BS316" s="47">
        <v>31788</v>
      </c>
      <c r="BT316" s="1">
        <f t="shared" si="123"/>
        <v>1.0726867787001417</v>
      </c>
      <c r="BU316" s="30">
        <v>41</v>
      </c>
      <c r="BV316" s="30">
        <v>0</v>
      </c>
      <c r="BW316" s="47">
        <v>1300</v>
      </c>
      <c r="BX316" s="52">
        <f t="shared" si="124"/>
        <v>4.3868529391914692E-2</v>
      </c>
      <c r="BY316" s="47">
        <v>25687</v>
      </c>
      <c r="BZ316" s="47">
        <v>0</v>
      </c>
      <c r="CA316" s="47">
        <v>35471</v>
      </c>
      <c r="CB316" s="47">
        <v>0</v>
      </c>
      <c r="CC316" s="47">
        <v>61158</v>
      </c>
      <c r="CD316" s="55">
        <f t="shared" si="125"/>
        <v>2.0637780927313223</v>
      </c>
      <c r="CE316" s="3">
        <f t="shared" si="126"/>
        <v>15289.5</v>
      </c>
      <c r="CF316" s="55">
        <f t="shared" si="127"/>
        <v>28.699202252463632</v>
      </c>
      <c r="CG316" s="55">
        <f t="shared" si="128"/>
        <v>1.3818206466481393</v>
      </c>
      <c r="CH316" s="55">
        <f t="shared" si="129"/>
        <v>1.9239335598338996</v>
      </c>
      <c r="CI316" s="30">
        <v>33</v>
      </c>
      <c r="CJ316" s="30">
        <v>28</v>
      </c>
      <c r="CK316" s="30">
        <v>21</v>
      </c>
      <c r="CL316" s="30">
        <v>82</v>
      </c>
      <c r="CM316" s="30">
        <v>1436</v>
      </c>
      <c r="CN316" s="30">
        <v>166</v>
      </c>
      <c r="CO316" s="30">
        <v>256</v>
      </c>
      <c r="CP316" s="30">
        <v>1858</v>
      </c>
      <c r="CQ316" s="1">
        <f t="shared" si="137"/>
        <v>6.2698252007828845E-2</v>
      </c>
      <c r="CR316" s="47">
        <v>44259</v>
      </c>
      <c r="CS316" s="55">
        <f t="shared" si="130"/>
        <v>1.4935209556590403</v>
      </c>
      <c r="CT316" s="59">
        <v>10878</v>
      </c>
      <c r="CU316" s="29" t="s">
        <v>25</v>
      </c>
      <c r="CV316" s="29" t="s">
        <v>25</v>
      </c>
      <c r="CW316" s="29" t="s">
        <v>25</v>
      </c>
      <c r="CX316" s="35">
        <v>0</v>
      </c>
      <c r="CY316" s="49">
        <v>0</v>
      </c>
      <c r="CZ316" s="35">
        <v>1</v>
      </c>
      <c r="DA316" s="35">
        <v>3</v>
      </c>
      <c r="DB316" s="35">
        <v>4</v>
      </c>
      <c r="DC316" s="49">
        <f t="shared" si="131"/>
        <v>7408.5</v>
      </c>
      <c r="DD316" s="30">
        <v>321</v>
      </c>
      <c r="DE316" s="31">
        <v>45178</v>
      </c>
      <c r="DF316" s="35">
        <v>40</v>
      </c>
      <c r="DG316" s="29" t="s">
        <v>25</v>
      </c>
      <c r="DH316" s="29" t="s">
        <v>25</v>
      </c>
      <c r="DI316" s="29" t="s">
        <v>25</v>
      </c>
      <c r="DJ316" s="47">
        <v>5</v>
      </c>
      <c r="DK316" s="47">
        <v>89</v>
      </c>
      <c r="DL316" s="47">
        <v>7</v>
      </c>
      <c r="DM316" s="47">
        <v>9799</v>
      </c>
      <c r="DN316" s="47">
        <v>946</v>
      </c>
      <c r="DO316" s="47">
        <v>1936</v>
      </c>
      <c r="DP316" s="29" t="s">
        <v>25</v>
      </c>
      <c r="DQ316" s="47">
        <v>5489</v>
      </c>
      <c r="DR316" s="47">
        <v>2131</v>
      </c>
      <c r="DS316" s="30">
        <v>52</v>
      </c>
      <c r="DT316" s="30">
        <v>43</v>
      </c>
      <c r="DU316" s="30">
        <v>43</v>
      </c>
      <c r="DV316" s="30">
        <v>43</v>
      </c>
      <c r="DX316" s="2">
        <f t="shared" si="132"/>
        <v>2131</v>
      </c>
      <c r="DY316" s="33" t="s">
        <v>2185</v>
      </c>
      <c r="DZ316" s="33" t="s">
        <v>1605</v>
      </c>
      <c r="EA316" s="33" t="s">
        <v>2030</v>
      </c>
      <c r="EB316" s="33" t="s">
        <v>2027</v>
      </c>
      <c r="EC316" s="36">
        <v>539</v>
      </c>
      <c r="ED316" s="29" t="s">
        <v>1604</v>
      </c>
      <c r="EE316" s="29" t="s">
        <v>772</v>
      </c>
      <c r="EF316" s="37">
        <v>41548</v>
      </c>
      <c r="EG316" s="37">
        <v>41912</v>
      </c>
      <c r="EH316" s="29" t="s">
        <v>1604</v>
      </c>
      <c r="EI316" s="55">
        <f t="shared" si="133"/>
        <v>0.86680839576162516</v>
      </c>
      <c r="EJ316" s="54">
        <f t="shared" si="134"/>
        <v>0</v>
      </c>
      <c r="EK316" s="55">
        <f t="shared" si="135"/>
        <v>1.196969696969697</v>
      </c>
      <c r="EL316" s="54">
        <f t="shared" si="136"/>
        <v>0</v>
      </c>
    </row>
    <row r="317" spans="1:142" ht="28.8" x14ac:dyDescent="0.3">
      <c r="A317" s="29" t="s">
        <v>853</v>
      </c>
      <c r="B317" s="29"/>
      <c r="C317" s="30">
        <v>5396</v>
      </c>
      <c r="D317" s="30">
        <v>0</v>
      </c>
      <c r="E317" s="30">
        <v>0</v>
      </c>
      <c r="F317" s="30">
        <v>4816</v>
      </c>
      <c r="H317" s="2">
        <f t="shared" si="139"/>
        <v>4816</v>
      </c>
      <c r="I317" s="1">
        <f t="shared" si="138"/>
        <v>0.8925129725722758</v>
      </c>
      <c r="J317" s="31">
        <v>88803</v>
      </c>
      <c r="K317" s="31">
        <v>18357</v>
      </c>
      <c r="L317" s="31">
        <v>107160</v>
      </c>
      <c r="M317" s="45">
        <f t="shared" si="113"/>
        <v>19.859154929577464</v>
      </c>
      <c r="N317" s="31">
        <v>15676</v>
      </c>
      <c r="O317" s="31">
        <v>0</v>
      </c>
      <c r="P317" s="31">
        <v>3563</v>
      </c>
      <c r="Q317" s="31">
        <v>19239</v>
      </c>
      <c r="R317" s="45">
        <f t="shared" si="114"/>
        <v>3.5654188287620459</v>
      </c>
      <c r="S317" s="31">
        <v>23206</v>
      </c>
      <c r="T317" s="31">
        <v>149605</v>
      </c>
      <c r="U317" s="31">
        <v>0</v>
      </c>
      <c r="V317" s="31">
        <v>149605</v>
      </c>
      <c r="W317" s="45">
        <f t="shared" si="115"/>
        <v>27.725166790214974</v>
      </c>
      <c r="X317" s="4">
        <f t="shared" si="116"/>
        <v>0.71628622038033485</v>
      </c>
      <c r="Y317" s="4">
        <f t="shared" si="117"/>
        <v>0.12859864309347949</v>
      </c>
      <c r="Z317" s="4">
        <f t="shared" si="118"/>
        <v>0.15511513652618561</v>
      </c>
      <c r="AA317" s="4">
        <f t="shared" si="119"/>
        <v>0</v>
      </c>
      <c r="AB317" s="31">
        <v>0</v>
      </c>
      <c r="AC317" s="31">
        <v>14239</v>
      </c>
      <c r="AD317" s="31">
        <v>144606</v>
      </c>
      <c r="AE317" s="31">
        <v>108000</v>
      </c>
      <c r="AF317" s="31">
        <v>108000</v>
      </c>
      <c r="AG317" s="31">
        <v>6600</v>
      </c>
      <c r="AH317" s="31">
        <v>0</v>
      </c>
      <c r="AI317" s="31">
        <v>114600</v>
      </c>
      <c r="AJ317" s="45">
        <f t="shared" si="120"/>
        <v>21.237954040029653</v>
      </c>
      <c r="AK317" s="31">
        <v>0</v>
      </c>
      <c r="AL317" s="31">
        <v>0</v>
      </c>
      <c r="AM317" s="31">
        <v>0</v>
      </c>
      <c r="AN317" s="31">
        <v>0</v>
      </c>
      <c r="AO317" s="31">
        <v>5000</v>
      </c>
      <c r="AP317" s="31">
        <v>27856</v>
      </c>
      <c r="AQ317" s="31">
        <v>32856</v>
      </c>
      <c r="AR317" s="31">
        <v>147456</v>
      </c>
      <c r="AS317" s="46">
        <f t="shared" si="121"/>
        <v>27.326908821349146</v>
      </c>
      <c r="AT317" s="31">
        <v>0</v>
      </c>
      <c r="AU317" s="31">
        <v>0</v>
      </c>
      <c r="AV317" s="31">
        <v>0</v>
      </c>
      <c r="AW317" s="31">
        <v>0</v>
      </c>
      <c r="AX317" s="31">
        <v>0</v>
      </c>
      <c r="AY317" s="31">
        <v>0</v>
      </c>
      <c r="AZ317" s="31">
        <v>0</v>
      </c>
      <c r="BA317" s="31">
        <v>0</v>
      </c>
      <c r="BB317" s="31">
        <v>0</v>
      </c>
      <c r="BC317" s="33" t="s">
        <v>25</v>
      </c>
      <c r="BD317" s="47">
        <v>19169</v>
      </c>
      <c r="BE317" s="47">
        <v>19652</v>
      </c>
      <c r="BF317" s="45">
        <f t="shared" si="122"/>
        <v>3.6419570051890289</v>
      </c>
      <c r="BG317" s="30">
        <v>791</v>
      </c>
      <c r="BH317" s="30">
        <v>890</v>
      </c>
      <c r="BI317" s="30">
        <v>0</v>
      </c>
      <c r="BJ317" s="30">
        <v>1453</v>
      </c>
      <c r="BK317" s="30">
        <v>1495</v>
      </c>
      <c r="BL317" s="30">
        <v>0</v>
      </c>
      <c r="BM317" s="30">
        <v>0</v>
      </c>
      <c r="BN317" s="30">
        <v>0</v>
      </c>
      <c r="BO317" s="30">
        <v>51</v>
      </c>
      <c r="BP317" s="30">
        <v>0</v>
      </c>
      <c r="BQ317" s="30">
        <v>51</v>
      </c>
      <c r="BR317" s="47">
        <v>21413</v>
      </c>
      <c r="BS317" s="47">
        <v>22037</v>
      </c>
      <c r="BT317" s="1">
        <f t="shared" si="123"/>
        <v>4.0839510748702743</v>
      </c>
      <c r="BU317" s="30">
        <v>3</v>
      </c>
      <c r="BV317" s="30">
        <v>0</v>
      </c>
      <c r="BW317" s="47">
        <v>21360</v>
      </c>
      <c r="BX317" s="52">
        <f t="shared" si="124"/>
        <v>3.9584877687175686</v>
      </c>
      <c r="BY317" s="47">
        <v>13349</v>
      </c>
      <c r="BZ317" s="47">
        <v>0</v>
      </c>
      <c r="CA317" s="47">
        <v>12239</v>
      </c>
      <c r="CB317" s="47">
        <v>0</v>
      </c>
      <c r="CC317" s="47">
        <v>25588</v>
      </c>
      <c r="CD317" s="55">
        <f t="shared" si="125"/>
        <v>4.7420311341734616</v>
      </c>
      <c r="CE317" s="3">
        <f t="shared" si="126"/>
        <v>6823.4666666666662</v>
      </c>
      <c r="CF317" s="55">
        <f t="shared" si="127"/>
        <v>12.897177419354838</v>
      </c>
      <c r="CG317" s="55">
        <f t="shared" si="128"/>
        <v>0.65375574859478791</v>
      </c>
      <c r="CH317" s="55">
        <f t="shared" si="129"/>
        <v>1.1611380859463629</v>
      </c>
      <c r="CI317" s="30">
        <v>75</v>
      </c>
      <c r="CJ317" s="30">
        <v>1</v>
      </c>
      <c r="CK317" s="30">
        <v>23</v>
      </c>
      <c r="CL317" s="30">
        <v>99</v>
      </c>
      <c r="CM317" s="30">
        <v>1019</v>
      </c>
      <c r="CN317" s="30">
        <v>10</v>
      </c>
      <c r="CO317" s="30">
        <v>199</v>
      </c>
      <c r="CP317" s="30">
        <v>1228</v>
      </c>
      <c r="CQ317" s="1">
        <f t="shared" si="137"/>
        <v>0.22757598220904374</v>
      </c>
      <c r="CR317" s="47">
        <v>39140</v>
      </c>
      <c r="CS317" s="55">
        <f t="shared" si="130"/>
        <v>7.253521126760563</v>
      </c>
      <c r="CT317" s="59">
        <v>2711</v>
      </c>
      <c r="CU317" s="29" t="s">
        <v>25</v>
      </c>
      <c r="CV317" s="29" t="s">
        <v>25</v>
      </c>
      <c r="CW317" s="29" t="s">
        <v>25</v>
      </c>
      <c r="CX317" s="35">
        <v>0</v>
      </c>
      <c r="CY317" s="49">
        <v>0</v>
      </c>
      <c r="CZ317" s="35">
        <v>3.5</v>
      </c>
      <c r="DA317" s="35">
        <v>0.25</v>
      </c>
      <c r="DB317" s="35">
        <v>3.75</v>
      </c>
      <c r="DC317" s="49">
        <f t="shared" si="131"/>
        <v>1438.9333333333334</v>
      </c>
      <c r="DD317" s="30">
        <v>476</v>
      </c>
      <c r="DE317" s="31">
        <v>38209</v>
      </c>
      <c r="DF317" s="35">
        <v>40</v>
      </c>
      <c r="DG317" s="29" t="s">
        <v>25</v>
      </c>
      <c r="DH317" s="29" t="s">
        <v>25</v>
      </c>
      <c r="DI317" s="29" t="s">
        <v>25</v>
      </c>
      <c r="DJ317" s="47">
        <v>58</v>
      </c>
      <c r="DK317" s="47">
        <v>76</v>
      </c>
      <c r="DL317" s="47">
        <v>15</v>
      </c>
      <c r="DM317" s="47">
        <v>7095</v>
      </c>
      <c r="DN317" s="47">
        <v>1</v>
      </c>
      <c r="DO317" s="47">
        <v>0</v>
      </c>
      <c r="DP317" s="29" t="s">
        <v>2028</v>
      </c>
      <c r="DQ317" s="47">
        <v>0</v>
      </c>
      <c r="DR317" s="47">
        <v>1984</v>
      </c>
      <c r="DS317" s="30">
        <v>52</v>
      </c>
      <c r="DT317" s="30">
        <v>40</v>
      </c>
      <c r="DU317" s="30">
        <v>40</v>
      </c>
      <c r="DV317" s="30">
        <v>40</v>
      </c>
      <c r="DX317" s="2">
        <f t="shared" si="132"/>
        <v>1984</v>
      </c>
      <c r="DY317" s="33" t="s">
        <v>2187</v>
      </c>
      <c r="DZ317" s="33" t="s">
        <v>855</v>
      </c>
      <c r="EA317" s="33" t="s">
        <v>2030</v>
      </c>
      <c r="EB317" s="33" t="s">
        <v>2027</v>
      </c>
      <c r="EC317" s="36">
        <v>243</v>
      </c>
      <c r="ED317" s="29" t="s">
        <v>854</v>
      </c>
      <c r="EE317" s="29" t="s">
        <v>730</v>
      </c>
      <c r="EF317" s="37">
        <v>41548</v>
      </c>
      <c r="EG317" s="37">
        <v>41912</v>
      </c>
      <c r="EH317" s="29" t="s">
        <v>854</v>
      </c>
      <c r="EI317" s="55">
        <f t="shared" si="133"/>
        <v>2.4738695329873979</v>
      </c>
      <c r="EJ317" s="54">
        <f t="shared" si="134"/>
        <v>0</v>
      </c>
      <c r="EK317" s="55">
        <f t="shared" si="135"/>
        <v>2.2681616011860637</v>
      </c>
      <c r="EL317" s="54">
        <f t="shared" si="136"/>
        <v>0</v>
      </c>
    </row>
    <row r="318" spans="1:142" x14ac:dyDescent="0.3">
      <c r="A318" s="29" t="s">
        <v>1606</v>
      </c>
      <c r="B318" s="29"/>
      <c r="C318" s="30">
        <v>7456</v>
      </c>
      <c r="D318" s="30">
        <v>0</v>
      </c>
      <c r="E318" s="30">
        <v>0</v>
      </c>
      <c r="F318" s="30">
        <v>5621</v>
      </c>
      <c r="H318" s="2">
        <f t="shared" si="139"/>
        <v>5621</v>
      </c>
      <c r="I318" s="1">
        <f t="shared" si="138"/>
        <v>0.7538894849785408</v>
      </c>
      <c r="J318" s="31">
        <v>31394</v>
      </c>
      <c r="K318" s="31">
        <v>167</v>
      </c>
      <c r="L318" s="31">
        <v>31561</v>
      </c>
      <c r="M318" s="45">
        <f t="shared" si="113"/>
        <v>4.2329667381974252</v>
      </c>
      <c r="N318" s="31">
        <v>5110</v>
      </c>
      <c r="O318" s="31">
        <v>1500</v>
      </c>
      <c r="P318" s="31">
        <v>1845</v>
      </c>
      <c r="Q318" s="31">
        <v>8455</v>
      </c>
      <c r="R318" s="45">
        <f t="shared" si="114"/>
        <v>1.1339860515021458</v>
      </c>
      <c r="S318" s="31">
        <v>28331</v>
      </c>
      <c r="T318" s="31">
        <v>68347</v>
      </c>
      <c r="U318" s="31">
        <v>0</v>
      </c>
      <c r="V318" s="31">
        <v>68347</v>
      </c>
      <c r="W318" s="45">
        <f t="shared" si="115"/>
        <v>9.1667113733905587</v>
      </c>
      <c r="X318" s="4">
        <f t="shared" si="116"/>
        <v>0.46177593749542772</v>
      </c>
      <c r="Y318" s="4">
        <f t="shared" si="117"/>
        <v>0.1237069659238884</v>
      </c>
      <c r="Z318" s="4">
        <f t="shared" si="118"/>
        <v>0.41451709658068386</v>
      </c>
      <c r="AA318" s="4">
        <f t="shared" si="119"/>
        <v>0</v>
      </c>
      <c r="AB318" s="31">
        <v>0</v>
      </c>
      <c r="AC318" s="31">
        <v>8455</v>
      </c>
      <c r="AD318" s="31">
        <v>68347</v>
      </c>
      <c r="AE318" s="31">
        <v>16000</v>
      </c>
      <c r="AF318" s="31">
        <v>12000</v>
      </c>
      <c r="AG318" s="31">
        <v>4000</v>
      </c>
      <c r="AH318" s="31">
        <v>0</v>
      </c>
      <c r="AI318" s="31">
        <v>16000</v>
      </c>
      <c r="AJ318" s="45">
        <f t="shared" si="120"/>
        <v>2.1459227467811157</v>
      </c>
      <c r="AK318" s="31">
        <v>0</v>
      </c>
      <c r="AL318" s="31">
        <v>0</v>
      </c>
      <c r="AM318" s="31">
        <v>0</v>
      </c>
      <c r="AN318" s="31">
        <v>0</v>
      </c>
      <c r="AO318" s="31">
        <v>0</v>
      </c>
      <c r="AP318" s="31">
        <v>41425</v>
      </c>
      <c r="AQ318" s="31">
        <v>41425</v>
      </c>
      <c r="AR318" s="31">
        <v>57425</v>
      </c>
      <c r="AS318" s="46">
        <f t="shared" si="121"/>
        <v>7.7018508583690988</v>
      </c>
      <c r="AT318" s="31">
        <v>0</v>
      </c>
      <c r="AU318" s="31">
        <v>0</v>
      </c>
      <c r="AV318" s="31">
        <v>0</v>
      </c>
      <c r="AW318" s="31">
        <v>0</v>
      </c>
      <c r="AX318" s="31">
        <v>0</v>
      </c>
      <c r="AY318" s="31">
        <v>0</v>
      </c>
      <c r="AZ318" s="31">
        <v>0</v>
      </c>
      <c r="BA318" s="31">
        <v>0</v>
      </c>
      <c r="BB318" s="31">
        <v>0</v>
      </c>
      <c r="BC318" s="33" t="s">
        <v>25</v>
      </c>
      <c r="BD318" s="47">
        <v>16852</v>
      </c>
      <c r="BE318" s="47">
        <v>16864</v>
      </c>
      <c r="BF318" s="45">
        <f t="shared" si="122"/>
        <v>2.2618025751072963</v>
      </c>
      <c r="BG318" s="30">
        <v>359</v>
      </c>
      <c r="BH318" s="30">
        <v>359</v>
      </c>
      <c r="BI318" s="30">
        <v>2309</v>
      </c>
      <c r="BJ318" s="30">
        <v>450</v>
      </c>
      <c r="BK318" s="30">
        <v>450</v>
      </c>
      <c r="BL318" s="30">
        <v>0</v>
      </c>
      <c r="BM318" s="30">
        <v>68606</v>
      </c>
      <c r="BN318" s="30">
        <v>0</v>
      </c>
      <c r="BO318" s="30">
        <v>51</v>
      </c>
      <c r="BP318" s="30">
        <v>0</v>
      </c>
      <c r="BQ318" s="30">
        <v>51</v>
      </c>
      <c r="BR318" s="47">
        <v>17661</v>
      </c>
      <c r="BS318" s="47">
        <v>88588</v>
      </c>
      <c r="BT318" s="1">
        <f t="shared" si="123"/>
        <v>11.881437768240342</v>
      </c>
      <c r="BU318" s="30">
        <v>27</v>
      </c>
      <c r="BV318" s="30">
        <v>0</v>
      </c>
      <c r="BW318" s="47">
        <v>4689</v>
      </c>
      <c r="BX318" s="52">
        <f t="shared" si="124"/>
        <v>0.6288894849785408</v>
      </c>
      <c r="BY318" s="47">
        <v>3631</v>
      </c>
      <c r="BZ318" s="47">
        <v>75</v>
      </c>
      <c r="CA318" s="47">
        <v>11667</v>
      </c>
      <c r="CB318" s="47">
        <v>1119</v>
      </c>
      <c r="CC318" s="47">
        <v>16492</v>
      </c>
      <c r="CD318" s="55">
        <f t="shared" si="125"/>
        <v>2.211909871244635</v>
      </c>
      <c r="CE318" s="3">
        <f t="shared" si="126"/>
        <v>12934.901960784315</v>
      </c>
      <c r="CF318" s="55">
        <f t="shared" si="127"/>
        <v>7.4088050314465406</v>
      </c>
      <c r="CG318" s="55">
        <f t="shared" si="128"/>
        <v>0.74238127391402209</v>
      </c>
      <c r="CH318" s="55">
        <f t="shared" si="129"/>
        <v>0.17268704564952364</v>
      </c>
      <c r="CI318" s="30">
        <v>58</v>
      </c>
      <c r="CJ318" s="30">
        <v>0</v>
      </c>
      <c r="CK318" s="30">
        <v>3</v>
      </c>
      <c r="CL318" s="30">
        <v>61</v>
      </c>
      <c r="CM318" s="30">
        <v>2285</v>
      </c>
      <c r="CN318" s="30">
        <v>0</v>
      </c>
      <c r="CO318" s="30">
        <v>45</v>
      </c>
      <c r="CP318" s="30">
        <v>2330</v>
      </c>
      <c r="CQ318" s="1">
        <f t="shared" si="137"/>
        <v>0.3125</v>
      </c>
      <c r="CR318" s="47">
        <v>22215</v>
      </c>
      <c r="CS318" s="55">
        <f t="shared" si="130"/>
        <v>2.9794796137339055</v>
      </c>
      <c r="CT318" s="59">
        <v>10036</v>
      </c>
      <c r="CU318" s="29" t="s">
        <v>25</v>
      </c>
      <c r="CV318" s="29" t="s">
        <v>25</v>
      </c>
      <c r="CW318" s="29" t="s">
        <v>25</v>
      </c>
      <c r="CX318" s="35">
        <v>0</v>
      </c>
      <c r="CY318" s="49">
        <v>0</v>
      </c>
      <c r="CZ318" s="35">
        <v>0.75</v>
      </c>
      <c r="DA318" s="35">
        <v>0.52500000000000002</v>
      </c>
      <c r="DB318" s="35">
        <v>1.2749999999999999</v>
      </c>
      <c r="DC318" s="49">
        <f t="shared" si="131"/>
        <v>5847.8431372549021</v>
      </c>
      <c r="DD318" s="30">
        <v>2536</v>
      </c>
      <c r="DE318" s="31">
        <v>18720</v>
      </c>
      <c r="DF318" s="35">
        <v>30</v>
      </c>
      <c r="DG318" s="29" t="s">
        <v>25</v>
      </c>
      <c r="DH318" s="29" t="s">
        <v>25</v>
      </c>
      <c r="DI318" s="29" t="s">
        <v>25</v>
      </c>
      <c r="DJ318" s="47">
        <v>14</v>
      </c>
      <c r="DK318" s="47">
        <v>21</v>
      </c>
      <c r="DL318" s="47">
        <v>10</v>
      </c>
      <c r="DM318" s="47">
        <v>6458</v>
      </c>
      <c r="DN318" s="47">
        <v>5565</v>
      </c>
      <c r="DO318" s="47">
        <v>354</v>
      </c>
      <c r="DP318" s="29" t="s">
        <v>25</v>
      </c>
      <c r="DQ318" s="47">
        <v>7698</v>
      </c>
      <c r="DR318" s="47">
        <v>2226</v>
      </c>
      <c r="DS318" s="30">
        <v>51</v>
      </c>
      <c r="DT318" s="30">
        <v>45</v>
      </c>
      <c r="DU318" s="30">
        <v>45</v>
      </c>
      <c r="DV318" s="30">
        <v>45</v>
      </c>
      <c r="DX318" s="2">
        <f t="shared" si="132"/>
        <v>2226</v>
      </c>
      <c r="DY318" s="33" t="s">
        <v>2182</v>
      </c>
      <c r="DZ318" s="33" t="s">
        <v>1608</v>
      </c>
      <c r="EA318" s="33" t="s">
        <v>2032</v>
      </c>
      <c r="EB318" s="33" t="s">
        <v>2027</v>
      </c>
      <c r="EC318" s="36">
        <v>541</v>
      </c>
      <c r="ED318" s="29" t="s">
        <v>1607</v>
      </c>
      <c r="EE318" s="29" t="s">
        <v>736</v>
      </c>
      <c r="EF318" s="37">
        <v>41548</v>
      </c>
      <c r="EG318" s="37">
        <v>41912</v>
      </c>
      <c r="EH318" s="29" t="s">
        <v>1607</v>
      </c>
      <c r="EI318" s="55">
        <f t="shared" si="133"/>
        <v>0.48699034334763946</v>
      </c>
      <c r="EJ318" s="54">
        <f t="shared" si="134"/>
        <v>1.0059012875536481E-2</v>
      </c>
      <c r="EK318" s="55">
        <f t="shared" si="135"/>
        <v>1.5647800429184548</v>
      </c>
      <c r="EL318" s="54">
        <f t="shared" si="136"/>
        <v>0.15008047210300429</v>
      </c>
    </row>
    <row r="319" spans="1:142" ht="28.8" x14ac:dyDescent="0.3">
      <c r="A319" s="29" t="s">
        <v>856</v>
      </c>
      <c r="B319" s="29"/>
      <c r="C319" s="30">
        <v>11406</v>
      </c>
      <c r="D319" s="30">
        <v>0</v>
      </c>
      <c r="E319" s="30">
        <v>0</v>
      </c>
      <c r="F319" s="30">
        <v>3906</v>
      </c>
      <c r="H319" s="2">
        <f t="shared" si="139"/>
        <v>3906</v>
      </c>
      <c r="I319" s="1">
        <f t="shared" si="138"/>
        <v>0.34245134139926353</v>
      </c>
      <c r="J319" s="31">
        <v>146305</v>
      </c>
      <c r="K319" s="31">
        <v>51173</v>
      </c>
      <c r="L319" s="31">
        <v>197478</v>
      </c>
      <c r="M319" s="45">
        <f t="shared" si="113"/>
        <v>17.313519200420831</v>
      </c>
      <c r="N319" s="31">
        <v>19046</v>
      </c>
      <c r="O319" s="31">
        <v>0</v>
      </c>
      <c r="P319" s="31">
        <v>1800</v>
      </c>
      <c r="Q319" s="31">
        <v>20846</v>
      </c>
      <c r="R319" s="45">
        <f t="shared" si="114"/>
        <v>1.8276345782921271</v>
      </c>
      <c r="S319" s="31">
        <v>13786</v>
      </c>
      <c r="T319" s="31">
        <v>232110</v>
      </c>
      <c r="U319" s="31">
        <v>0</v>
      </c>
      <c r="V319" s="31">
        <v>232110</v>
      </c>
      <c r="W319" s="45">
        <f t="shared" si="115"/>
        <v>20.349815886375591</v>
      </c>
      <c r="X319" s="4">
        <f t="shared" si="116"/>
        <v>0.85079488173710738</v>
      </c>
      <c r="Y319" s="4">
        <f t="shared" si="117"/>
        <v>8.9810865537891513E-2</v>
      </c>
      <c r="Z319" s="4">
        <f t="shared" si="118"/>
        <v>5.9394252725001075E-2</v>
      </c>
      <c r="AA319" s="4">
        <f t="shared" si="119"/>
        <v>0</v>
      </c>
      <c r="AB319" s="31">
        <v>0</v>
      </c>
      <c r="AC319" s="31">
        <v>20846</v>
      </c>
      <c r="AD319" s="31">
        <v>232110</v>
      </c>
      <c r="AE319" s="31">
        <v>230905</v>
      </c>
      <c r="AF319" s="31">
        <v>0</v>
      </c>
      <c r="AG319" s="31">
        <v>230905</v>
      </c>
      <c r="AH319" s="31">
        <v>0</v>
      </c>
      <c r="AI319" s="31">
        <v>230905</v>
      </c>
      <c r="AJ319" s="45">
        <f t="shared" si="120"/>
        <v>20.244169735227075</v>
      </c>
      <c r="AK319" s="31">
        <v>0</v>
      </c>
      <c r="AL319" s="31">
        <v>0</v>
      </c>
      <c r="AM319" s="31">
        <v>0</v>
      </c>
      <c r="AN319" s="31">
        <v>0</v>
      </c>
      <c r="AO319" s="31">
        <v>0</v>
      </c>
      <c r="AP319" s="31">
        <v>5913</v>
      </c>
      <c r="AQ319" s="31">
        <v>5913</v>
      </c>
      <c r="AR319" s="31">
        <v>236818</v>
      </c>
      <c r="AS319" s="46">
        <f t="shared" si="121"/>
        <v>20.762581097667894</v>
      </c>
      <c r="AT319" s="31">
        <v>0</v>
      </c>
      <c r="AU319" s="31">
        <v>0</v>
      </c>
      <c r="AV319" s="31">
        <v>0</v>
      </c>
      <c r="AW319" s="31">
        <v>0</v>
      </c>
      <c r="AX319" s="31">
        <v>0</v>
      </c>
      <c r="AY319" s="31">
        <v>0</v>
      </c>
      <c r="AZ319" s="31">
        <v>0</v>
      </c>
      <c r="BA319" s="31">
        <v>0</v>
      </c>
      <c r="BB319" s="31">
        <v>0</v>
      </c>
      <c r="BC319" s="33" t="s">
        <v>25</v>
      </c>
      <c r="BD319" s="47">
        <v>23996</v>
      </c>
      <c r="BE319" s="47">
        <v>24197</v>
      </c>
      <c r="BF319" s="45">
        <f t="shared" si="122"/>
        <v>2.121427318954936</v>
      </c>
      <c r="BG319" s="30">
        <v>600</v>
      </c>
      <c r="BH319" s="30">
        <v>600</v>
      </c>
      <c r="BI319" s="30">
        <v>0</v>
      </c>
      <c r="BJ319" s="30">
        <v>863</v>
      </c>
      <c r="BK319" s="30">
        <v>867</v>
      </c>
      <c r="BL319" s="30">
        <v>0</v>
      </c>
      <c r="BM319" s="30">
        <v>0</v>
      </c>
      <c r="BN319" s="30">
        <v>0</v>
      </c>
      <c r="BO319" s="30">
        <v>51</v>
      </c>
      <c r="BP319" s="30">
        <v>0</v>
      </c>
      <c r="BQ319" s="30">
        <v>51</v>
      </c>
      <c r="BR319" s="47">
        <v>25459</v>
      </c>
      <c r="BS319" s="47">
        <v>25664</v>
      </c>
      <c r="BT319" s="1">
        <f t="shared" si="123"/>
        <v>2.2500438365772402</v>
      </c>
      <c r="BU319" s="30">
        <v>40</v>
      </c>
      <c r="BV319" s="30">
        <v>0</v>
      </c>
      <c r="BW319" s="47">
        <v>2866</v>
      </c>
      <c r="BX319" s="52">
        <f t="shared" si="124"/>
        <v>0.25127126073996142</v>
      </c>
      <c r="BY319" s="47">
        <v>8501</v>
      </c>
      <c r="BZ319" s="47">
        <v>0</v>
      </c>
      <c r="CA319" s="47">
        <v>18153</v>
      </c>
      <c r="CB319" s="47">
        <v>0</v>
      </c>
      <c r="CC319" s="47">
        <v>26654</v>
      </c>
      <c r="CD319" s="55">
        <f t="shared" si="125"/>
        <v>2.3368402595125373</v>
      </c>
      <c r="CE319" s="3">
        <f t="shared" si="126"/>
        <v>9781.2844036697243</v>
      </c>
      <c r="CF319" s="55">
        <f t="shared" si="127"/>
        <v>15.632844574780059</v>
      </c>
      <c r="CG319" s="55">
        <f t="shared" si="128"/>
        <v>1.6259379003233088</v>
      </c>
      <c r="CH319" s="55">
        <f t="shared" si="129"/>
        <v>1.0385754364089776</v>
      </c>
      <c r="CI319" s="30">
        <v>45</v>
      </c>
      <c r="CJ319" s="30">
        <v>0</v>
      </c>
      <c r="CK319" s="30">
        <v>53</v>
      </c>
      <c r="CL319" s="30">
        <v>98</v>
      </c>
      <c r="CM319" s="30">
        <v>929</v>
      </c>
      <c r="CN319" s="30">
        <v>0</v>
      </c>
      <c r="CO319" s="30">
        <v>591</v>
      </c>
      <c r="CP319" s="30">
        <v>1520</v>
      </c>
      <c r="CQ319" s="1">
        <f t="shared" si="137"/>
        <v>0.13326319480974924</v>
      </c>
      <c r="CR319" s="47">
        <v>16393</v>
      </c>
      <c r="CS319" s="55">
        <f t="shared" si="130"/>
        <v>1.4372260213922496</v>
      </c>
      <c r="CT319" s="59">
        <v>2236</v>
      </c>
      <c r="CU319" s="29" t="s">
        <v>25</v>
      </c>
      <c r="CV319" s="29" t="s">
        <v>25</v>
      </c>
      <c r="CW319" s="29" t="s">
        <v>25</v>
      </c>
      <c r="CX319" s="35">
        <v>1</v>
      </c>
      <c r="CY319" s="49">
        <f>C319/CX319</f>
        <v>11406</v>
      </c>
      <c r="CZ319" s="35">
        <v>0</v>
      </c>
      <c r="DA319" s="35">
        <v>1.7250000000000001</v>
      </c>
      <c r="DB319" s="35">
        <v>2.7250000000000001</v>
      </c>
      <c r="DC319" s="49">
        <f t="shared" si="131"/>
        <v>4185.6880733944954</v>
      </c>
      <c r="DD319" s="30">
        <v>88</v>
      </c>
      <c r="DE319" s="31">
        <v>44736</v>
      </c>
      <c r="DF319" s="35">
        <v>40</v>
      </c>
      <c r="DG319" s="29" t="s">
        <v>25</v>
      </c>
      <c r="DH319" s="29" t="s">
        <v>25</v>
      </c>
      <c r="DI319" s="29" t="s">
        <v>25</v>
      </c>
      <c r="DJ319" s="47">
        <v>144</v>
      </c>
      <c r="DK319" s="47">
        <v>48</v>
      </c>
      <c r="DL319" s="47">
        <v>16</v>
      </c>
      <c r="DM319" s="47">
        <v>6956</v>
      </c>
      <c r="DN319" s="47">
        <v>530</v>
      </c>
      <c r="DO319" s="47">
        <v>1014</v>
      </c>
      <c r="DP319" s="29" t="s">
        <v>2028</v>
      </c>
      <c r="DQ319" s="47">
        <v>0</v>
      </c>
      <c r="DR319" s="47">
        <v>1705</v>
      </c>
      <c r="DS319" s="30">
        <v>52</v>
      </c>
      <c r="DT319" s="30">
        <v>35</v>
      </c>
      <c r="DU319" s="30">
        <v>35</v>
      </c>
      <c r="DV319" s="30">
        <v>35</v>
      </c>
      <c r="DX319" s="2">
        <f t="shared" si="132"/>
        <v>1705</v>
      </c>
      <c r="DY319" s="33" t="s">
        <v>2186</v>
      </c>
      <c r="DZ319" s="33" t="s">
        <v>858</v>
      </c>
      <c r="EA319" s="33" t="s">
        <v>2031</v>
      </c>
      <c r="EB319" s="33" t="s">
        <v>2027</v>
      </c>
      <c r="EC319" s="36">
        <v>244</v>
      </c>
      <c r="ED319" s="29" t="s">
        <v>857</v>
      </c>
      <c r="EE319" s="29" t="s">
        <v>18</v>
      </c>
      <c r="EF319" s="37">
        <v>41548</v>
      </c>
      <c r="EG319" s="37">
        <v>41912</v>
      </c>
      <c r="EH319" s="29" t="s">
        <v>857</v>
      </c>
      <c r="EI319" s="55">
        <f t="shared" si="133"/>
        <v>0.74530948623531479</v>
      </c>
      <c r="EJ319" s="54">
        <f t="shared" si="134"/>
        <v>0</v>
      </c>
      <c r="EK319" s="55">
        <f t="shared" si="135"/>
        <v>1.5915307732772226</v>
      </c>
      <c r="EL319" s="54">
        <f t="shared" si="136"/>
        <v>0</v>
      </c>
    </row>
    <row r="320" spans="1:142" ht="43.2" x14ac:dyDescent="0.3">
      <c r="A320" s="29" t="s">
        <v>859</v>
      </c>
      <c r="B320" s="29"/>
      <c r="C320" s="30">
        <v>9339</v>
      </c>
      <c r="D320" s="30">
        <v>0</v>
      </c>
      <c r="E320" s="30">
        <v>0</v>
      </c>
      <c r="F320" s="30">
        <v>4800</v>
      </c>
      <c r="H320" s="2">
        <f t="shared" si="139"/>
        <v>4800</v>
      </c>
      <c r="I320" s="1">
        <f t="shared" si="138"/>
        <v>0.51397365884998392</v>
      </c>
      <c r="J320" s="31">
        <v>45000</v>
      </c>
      <c r="K320" s="31">
        <v>7180</v>
      </c>
      <c r="L320" s="31">
        <v>52180</v>
      </c>
      <c r="M320" s="45">
        <f t="shared" si="113"/>
        <v>5.5873219830817007</v>
      </c>
      <c r="N320" s="31">
        <v>2500</v>
      </c>
      <c r="O320" s="31">
        <v>0</v>
      </c>
      <c r="P320" s="31">
        <v>0</v>
      </c>
      <c r="Q320" s="31">
        <v>2500</v>
      </c>
      <c r="R320" s="45">
        <f t="shared" si="114"/>
        <v>0.26769461398436661</v>
      </c>
      <c r="S320" s="31">
        <v>30030</v>
      </c>
      <c r="T320" s="31">
        <v>84710</v>
      </c>
      <c r="U320" s="31">
        <v>0</v>
      </c>
      <c r="V320" s="31">
        <v>84710</v>
      </c>
      <c r="W320" s="45">
        <f t="shared" si="115"/>
        <v>9.0705643002462786</v>
      </c>
      <c r="X320" s="4">
        <f t="shared" si="116"/>
        <v>0.61598394522488487</v>
      </c>
      <c r="Y320" s="4">
        <f t="shared" si="117"/>
        <v>2.9512454255695902E-2</v>
      </c>
      <c r="Z320" s="4">
        <f t="shared" si="118"/>
        <v>0.3545036005194192</v>
      </c>
      <c r="AA320" s="4">
        <f t="shared" si="119"/>
        <v>0</v>
      </c>
      <c r="AB320" s="31">
        <v>0</v>
      </c>
      <c r="AC320" s="31">
        <v>2500</v>
      </c>
      <c r="AD320" s="31">
        <v>84710</v>
      </c>
      <c r="AE320" s="31">
        <v>84710</v>
      </c>
      <c r="AF320" s="31">
        <v>75030</v>
      </c>
      <c r="AG320" s="31">
        <v>16500</v>
      </c>
      <c r="AH320" s="31">
        <v>0</v>
      </c>
      <c r="AI320" s="31">
        <v>91530</v>
      </c>
      <c r="AJ320" s="45">
        <f t="shared" si="120"/>
        <v>9.8008352071956306</v>
      </c>
      <c r="AK320" s="31">
        <v>0</v>
      </c>
      <c r="AL320" s="31">
        <v>0</v>
      </c>
      <c r="AM320" s="31">
        <v>0</v>
      </c>
      <c r="AN320" s="31">
        <v>0</v>
      </c>
      <c r="AO320" s="31">
        <v>0</v>
      </c>
      <c r="AP320" s="31">
        <v>1500</v>
      </c>
      <c r="AQ320" s="31">
        <v>1500</v>
      </c>
      <c r="AR320" s="31">
        <v>93030</v>
      </c>
      <c r="AS320" s="46">
        <f t="shared" si="121"/>
        <v>9.9614519755862521</v>
      </c>
      <c r="AT320" s="31">
        <v>93030</v>
      </c>
      <c r="AU320" s="31">
        <v>0</v>
      </c>
      <c r="AV320" s="31">
        <v>0</v>
      </c>
      <c r="AW320" s="31">
        <v>0</v>
      </c>
      <c r="AX320" s="31">
        <v>0</v>
      </c>
      <c r="AY320" s="31">
        <v>0</v>
      </c>
      <c r="AZ320" s="31">
        <v>0</v>
      </c>
      <c r="BA320" s="31">
        <v>0</v>
      </c>
      <c r="BB320" s="31">
        <v>93030</v>
      </c>
      <c r="BC320" s="33" t="s">
        <v>25</v>
      </c>
      <c r="BD320" s="47">
        <v>62545</v>
      </c>
      <c r="BE320" s="47">
        <v>64545</v>
      </c>
      <c r="BF320" s="45">
        <f t="shared" si="122"/>
        <v>6.9113395438483778</v>
      </c>
      <c r="BG320" s="30">
        <v>2100</v>
      </c>
      <c r="BH320" s="30">
        <v>2100</v>
      </c>
      <c r="BI320" s="30">
        <v>0</v>
      </c>
      <c r="BJ320" s="30">
        <v>1500</v>
      </c>
      <c r="BK320" s="30">
        <v>1550</v>
      </c>
      <c r="BL320" s="30">
        <v>0</v>
      </c>
      <c r="BM320" s="30">
        <v>0</v>
      </c>
      <c r="BN320" s="30">
        <v>0</v>
      </c>
      <c r="BO320" s="30">
        <v>51</v>
      </c>
      <c r="BP320" s="30">
        <v>0</v>
      </c>
      <c r="BQ320" s="30">
        <v>51</v>
      </c>
      <c r="BR320" s="47">
        <v>66145</v>
      </c>
      <c r="BS320" s="47">
        <v>68195</v>
      </c>
      <c r="BT320" s="1">
        <f t="shared" si="123"/>
        <v>7.302173680265553</v>
      </c>
      <c r="BU320" s="30">
        <v>60</v>
      </c>
      <c r="BV320" s="30">
        <v>0</v>
      </c>
      <c r="BW320" s="47">
        <v>15000</v>
      </c>
      <c r="BX320" s="52">
        <f t="shared" si="124"/>
        <v>1.6061676839061998</v>
      </c>
      <c r="BY320" s="47">
        <v>21500</v>
      </c>
      <c r="BZ320" s="47">
        <v>0</v>
      </c>
      <c r="CA320" s="47">
        <v>82855</v>
      </c>
      <c r="CB320" s="47">
        <v>0</v>
      </c>
      <c r="CC320" s="47">
        <v>104355</v>
      </c>
      <c r="CD320" s="55">
        <f t="shared" si="125"/>
        <v>11.174108576935431</v>
      </c>
      <c r="CE320" s="3">
        <f t="shared" si="126"/>
        <v>69570</v>
      </c>
      <c r="CF320" s="55">
        <f t="shared" si="127"/>
        <v>69.569999999999993</v>
      </c>
      <c r="CG320" s="55">
        <f t="shared" si="128"/>
        <v>1.2342108998013057</v>
      </c>
      <c r="CH320" s="55">
        <f t="shared" si="129"/>
        <v>1.5302441527971258</v>
      </c>
      <c r="CI320" s="30">
        <v>8</v>
      </c>
      <c r="CJ320" s="30">
        <v>0</v>
      </c>
      <c r="CK320" s="30">
        <v>0</v>
      </c>
      <c r="CL320" s="30">
        <v>8</v>
      </c>
      <c r="CM320" s="30">
        <v>250</v>
      </c>
      <c r="CN320" s="30">
        <v>0</v>
      </c>
      <c r="CO320" s="30">
        <v>0</v>
      </c>
      <c r="CP320" s="30">
        <v>250</v>
      </c>
      <c r="CQ320" s="1">
        <f t="shared" si="137"/>
        <v>2.6769461398436663E-2</v>
      </c>
      <c r="CR320" s="47">
        <v>84552</v>
      </c>
      <c r="CS320" s="55">
        <f t="shared" si="130"/>
        <v>9.0536460006424679</v>
      </c>
      <c r="CT320" s="59">
        <v>3523</v>
      </c>
      <c r="CU320" s="29" t="s">
        <v>25</v>
      </c>
      <c r="CV320" s="29" t="s">
        <v>25</v>
      </c>
      <c r="CW320" s="29" t="s">
        <v>25</v>
      </c>
      <c r="CX320" s="35">
        <v>0</v>
      </c>
      <c r="CY320" s="49">
        <v>0</v>
      </c>
      <c r="CZ320" s="35">
        <v>1</v>
      </c>
      <c r="DA320" s="35">
        <v>0.5</v>
      </c>
      <c r="DB320" s="35">
        <v>1.5</v>
      </c>
      <c r="DC320" s="49">
        <f t="shared" si="131"/>
        <v>6226</v>
      </c>
      <c r="DD320" s="30">
        <v>8500</v>
      </c>
      <c r="DE320" s="31">
        <v>32000</v>
      </c>
      <c r="DF320" s="35">
        <v>40</v>
      </c>
      <c r="DG320" s="29" t="s">
        <v>25</v>
      </c>
      <c r="DH320" s="29" t="s">
        <v>26</v>
      </c>
      <c r="DI320" s="29" t="s">
        <v>26</v>
      </c>
      <c r="DJ320" s="47">
        <v>0</v>
      </c>
      <c r="DK320" s="47">
        <v>0</v>
      </c>
      <c r="DL320" s="47">
        <v>6</v>
      </c>
      <c r="DM320" s="47">
        <v>25253</v>
      </c>
      <c r="DN320" s="47">
        <v>6</v>
      </c>
      <c r="DO320" s="47">
        <v>0</v>
      </c>
      <c r="DP320" s="29" t="s">
        <v>2028</v>
      </c>
      <c r="DQ320" s="47">
        <v>0</v>
      </c>
      <c r="DR320" s="47">
        <v>1500</v>
      </c>
      <c r="DS320" s="30">
        <v>50</v>
      </c>
      <c r="DT320" s="30">
        <v>30</v>
      </c>
      <c r="DU320" s="30">
        <v>30</v>
      </c>
      <c r="DV320" s="30">
        <v>30</v>
      </c>
      <c r="DX320" s="2">
        <f t="shared" si="132"/>
        <v>1500</v>
      </c>
      <c r="DY320" s="33" t="s">
        <v>2182</v>
      </c>
      <c r="DZ320" s="33" t="s">
        <v>861</v>
      </c>
      <c r="EA320" s="33" t="s">
        <v>2030</v>
      </c>
      <c r="EB320" s="33" t="s">
        <v>2027</v>
      </c>
      <c r="EC320" s="36">
        <v>245</v>
      </c>
      <c r="ED320" s="29" t="s">
        <v>860</v>
      </c>
      <c r="EE320" s="29" t="s">
        <v>101</v>
      </c>
      <c r="EF320" s="37">
        <v>41548</v>
      </c>
      <c r="EG320" s="37">
        <v>41912</v>
      </c>
      <c r="EH320" s="29" t="s">
        <v>860</v>
      </c>
      <c r="EI320" s="55">
        <f t="shared" si="133"/>
        <v>2.302173680265553</v>
      </c>
      <c r="EJ320" s="54">
        <f t="shared" si="134"/>
        <v>0</v>
      </c>
      <c r="EK320" s="55">
        <f t="shared" si="135"/>
        <v>8.8719348966698792</v>
      </c>
      <c r="EL320" s="54">
        <f t="shared" si="136"/>
        <v>0</v>
      </c>
    </row>
    <row r="321" spans="1:142" ht="28.8" x14ac:dyDescent="0.3">
      <c r="A321" s="29" t="s">
        <v>4</v>
      </c>
      <c r="B321" s="29"/>
      <c r="C321" s="30">
        <v>60872</v>
      </c>
      <c r="D321" s="30">
        <v>0</v>
      </c>
      <c r="E321" s="30">
        <v>0</v>
      </c>
      <c r="F321" s="30">
        <v>17000</v>
      </c>
      <c r="H321" s="2">
        <f t="shared" si="139"/>
        <v>17000</v>
      </c>
      <c r="I321" s="1">
        <f t="shared" si="138"/>
        <v>0.2792745433039821</v>
      </c>
      <c r="J321" s="31">
        <v>382740</v>
      </c>
      <c r="K321" s="31">
        <v>214032</v>
      </c>
      <c r="L321" s="31">
        <v>596772</v>
      </c>
      <c r="M321" s="45">
        <f t="shared" si="113"/>
        <v>9.8037192798002373</v>
      </c>
      <c r="N321" s="31">
        <v>86269</v>
      </c>
      <c r="O321" s="31">
        <v>11856</v>
      </c>
      <c r="P321" s="31">
        <v>7277</v>
      </c>
      <c r="Q321" s="31">
        <v>105402</v>
      </c>
      <c r="R321" s="45">
        <f t="shared" si="114"/>
        <v>1.7315350243133132</v>
      </c>
      <c r="S321" s="31">
        <v>118654</v>
      </c>
      <c r="T321" s="31">
        <v>820828</v>
      </c>
      <c r="U321" s="31">
        <v>0</v>
      </c>
      <c r="V321" s="31">
        <v>820828</v>
      </c>
      <c r="W321" s="45">
        <f t="shared" si="115"/>
        <v>13.484492048889473</v>
      </c>
      <c r="X321" s="4">
        <f t="shared" si="116"/>
        <v>0.72703660206523169</v>
      </c>
      <c r="Y321" s="4">
        <f t="shared" si="117"/>
        <v>0.12840936225372429</v>
      </c>
      <c r="Z321" s="4">
        <f t="shared" si="118"/>
        <v>0.14455403568104402</v>
      </c>
      <c r="AA321" s="4">
        <f t="shared" si="119"/>
        <v>0</v>
      </c>
      <c r="AB321" s="31">
        <v>0</v>
      </c>
      <c r="AC321" s="31">
        <v>105402</v>
      </c>
      <c r="AD321" s="31">
        <v>820828</v>
      </c>
      <c r="AE321" s="31">
        <v>813124</v>
      </c>
      <c r="AF321" s="31">
        <v>813124</v>
      </c>
      <c r="AG321" s="31">
        <v>0</v>
      </c>
      <c r="AH321" s="31">
        <v>0</v>
      </c>
      <c r="AI321" s="31">
        <v>813124</v>
      </c>
      <c r="AJ321" s="45">
        <f t="shared" si="120"/>
        <v>13.357931397029834</v>
      </c>
      <c r="AK321" s="31">
        <v>0</v>
      </c>
      <c r="AL321" s="31">
        <v>0</v>
      </c>
      <c r="AM321" s="31">
        <v>0</v>
      </c>
      <c r="AN321" s="31">
        <v>0</v>
      </c>
      <c r="AO321" s="31">
        <v>0</v>
      </c>
      <c r="AP321" s="31">
        <v>7704</v>
      </c>
      <c r="AQ321" s="31">
        <v>7704</v>
      </c>
      <c r="AR321" s="31">
        <v>820828</v>
      </c>
      <c r="AS321" s="46">
        <f t="shared" si="121"/>
        <v>13.484492048889473</v>
      </c>
      <c r="AT321" s="31">
        <v>0</v>
      </c>
      <c r="AU321" s="31">
        <v>0</v>
      </c>
      <c r="AV321" s="31">
        <v>0</v>
      </c>
      <c r="AW321" s="31">
        <v>0</v>
      </c>
      <c r="AX321" s="31">
        <v>0</v>
      </c>
      <c r="AY321" s="31">
        <v>0</v>
      </c>
      <c r="AZ321" s="31">
        <v>0</v>
      </c>
      <c r="BA321" s="31">
        <v>0</v>
      </c>
      <c r="BB321" s="31">
        <v>0</v>
      </c>
      <c r="BC321" s="33" t="s">
        <v>25</v>
      </c>
      <c r="BD321" s="47">
        <v>57873</v>
      </c>
      <c r="BE321" s="47">
        <v>65420</v>
      </c>
      <c r="BF321" s="45">
        <f t="shared" si="122"/>
        <v>1.0747141542909713</v>
      </c>
      <c r="BG321" s="30">
        <v>1685</v>
      </c>
      <c r="BH321" s="30">
        <v>1773</v>
      </c>
      <c r="BI321" s="30">
        <v>2990</v>
      </c>
      <c r="BJ321" s="30">
        <v>3762</v>
      </c>
      <c r="BK321" s="30">
        <v>4087</v>
      </c>
      <c r="BL321" s="30">
        <v>0</v>
      </c>
      <c r="BM321" s="30">
        <v>6974</v>
      </c>
      <c r="BN321" s="30">
        <v>6</v>
      </c>
      <c r="BO321" s="30">
        <v>51</v>
      </c>
      <c r="BP321" s="30">
        <v>1</v>
      </c>
      <c r="BQ321" s="30">
        <v>58</v>
      </c>
      <c r="BR321" s="47">
        <v>63320</v>
      </c>
      <c r="BS321" s="47">
        <v>81250</v>
      </c>
      <c r="BT321" s="1">
        <f t="shared" si="123"/>
        <v>1.3347680378499145</v>
      </c>
      <c r="BU321" s="30">
        <v>108</v>
      </c>
      <c r="BV321" s="30">
        <v>0</v>
      </c>
      <c r="BW321" s="47">
        <v>24515</v>
      </c>
      <c r="BX321" s="52">
        <f t="shared" si="124"/>
        <v>0.40273031935865422</v>
      </c>
      <c r="BY321" s="47">
        <v>110645</v>
      </c>
      <c r="BZ321" s="47">
        <v>2593</v>
      </c>
      <c r="CA321" s="47">
        <v>98896</v>
      </c>
      <c r="CB321" s="47">
        <v>9459</v>
      </c>
      <c r="CC321" s="47">
        <v>221593</v>
      </c>
      <c r="CD321" s="55">
        <f t="shared" si="125"/>
        <v>3.6403108161387832</v>
      </c>
      <c r="CE321" s="3">
        <f t="shared" si="126"/>
        <v>23956</v>
      </c>
      <c r="CF321" s="55">
        <f t="shared" si="127"/>
        <v>88.495607028753994</v>
      </c>
      <c r="CG321" s="55">
        <f t="shared" si="128"/>
        <v>1.5724514270305558</v>
      </c>
      <c r="CH321" s="55">
        <f t="shared" si="129"/>
        <v>2.5789661538461539</v>
      </c>
      <c r="CI321" s="30">
        <v>164</v>
      </c>
      <c r="CJ321" s="30">
        <v>7</v>
      </c>
      <c r="CK321" s="30">
        <v>13</v>
      </c>
      <c r="CL321" s="30">
        <v>184</v>
      </c>
      <c r="CM321" s="30">
        <v>6520</v>
      </c>
      <c r="CN321" s="30">
        <v>218</v>
      </c>
      <c r="CO321" s="30">
        <v>283</v>
      </c>
      <c r="CP321" s="30">
        <v>7021</v>
      </c>
      <c r="CQ321" s="1">
        <f t="shared" si="137"/>
        <v>0.11534038638454462</v>
      </c>
      <c r="CR321" s="47">
        <v>140922</v>
      </c>
      <c r="CS321" s="55">
        <f t="shared" si="130"/>
        <v>2.3150545406755159</v>
      </c>
      <c r="CT321" s="59">
        <v>42853</v>
      </c>
      <c r="CU321" s="29" t="s">
        <v>25</v>
      </c>
      <c r="CV321" s="29" t="s">
        <v>25</v>
      </c>
      <c r="CW321" s="29" t="s">
        <v>25</v>
      </c>
      <c r="CX321" s="35">
        <v>4</v>
      </c>
      <c r="CY321" s="49">
        <f>C321/CX321</f>
        <v>15218</v>
      </c>
      <c r="CZ321" s="35">
        <v>0</v>
      </c>
      <c r="DA321" s="35">
        <v>5.25</v>
      </c>
      <c r="DB321" s="35">
        <v>9.25</v>
      </c>
      <c r="DC321" s="49">
        <f t="shared" si="131"/>
        <v>6580.7567567567567</v>
      </c>
      <c r="DD321" s="30">
        <v>1685</v>
      </c>
      <c r="DE321" s="31">
        <v>85000</v>
      </c>
      <c r="DF321" s="35">
        <v>40</v>
      </c>
      <c r="DG321" s="29" t="s">
        <v>25</v>
      </c>
      <c r="DH321" s="29" t="s">
        <v>25</v>
      </c>
      <c r="DI321" s="29" t="s">
        <v>25</v>
      </c>
      <c r="DJ321" s="47">
        <v>186</v>
      </c>
      <c r="DK321" s="47">
        <v>158</v>
      </c>
      <c r="DL321" s="47">
        <v>18</v>
      </c>
      <c r="DM321" s="47">
        <v>25774</v>
      </c>
      <c r="DN321" s="47">
        <v>700</v>
      </c>
      <c r="DO321" s="47">
        <v>17509</v>
      </c>
      <c r="DP321" s="29" t="s">
        <v>25</v>
      </c>
      <c r="DQ321" s="47">
        <v>128838</v>
      </c>
      <c r="DR321" s="47">
        <v>2504</v>
      </c>
      <c r="DS321" s="30">
        <v>52</v>
      </c>
      <c r="DT321" s="30">
        <v>50</v>
      </c>
      <c r="DU321" s="30">
        <v>50</v>
      </c>
      <c r="DV321" s="30">
        <v>50</v>
      </c>
      <c r="DX321" s="2">
        <f t="shared" si="132"/>
        <v>2504</v>
      </c>
      <c r="DY321" s="33" t="s">
        <v>2181</v>
      </c>
      <c r="DZ321" s="33" t="s">
        <v>863</v>
      </c>
      <c r="EA321" s="33" t="s">
        <v>2030</v>
      </c>
      <c r="EB321" s="33" t="s">
        <v>2027</v>
      </c>
      <c r="EC321" s="36">
        <v>246</v>
      </c>
      <c r="ED321" s="29" t="s">
        <v>862</v>
      </c>
      <c r="EE321" s="29" t="s">
        <v>91</v>
      </c>
      <c r="EF321" s="37">
        <v>41548</v>
      </c>
      <c r="EG321" s="37">
        <v>41912</v>
      </c>
      <c r="EH321" s="29" t="s">
        <v>862</v>
      </c>
      <c r="EI321" s="55">
        <f t="shared" si="133"/>
        <v>1.8176665790511237</v>
      </c>
      <c r="EJ321" s="54">
        <f t="shared" si="134"/>
        <v>4.2597581811013273E-2</v>
      </c>
      <c r="EK321" s="55">
        <f t="shared" si="135"/>
        <v>1.624655013799448</v>
      </c>
      <c r="EL321" s="54">
        <f t="shared" si="136"/>
        <v>0.15539164147719806</v>
      </c>
    </row>
    <row r="322" spans="1:142" ht="28.8" x14ac:dyDescent="0.3">
      <c r="A322" s="29" t="s">
        <v>2060</v>
      </c>
      <c r="B322" s="29"/>
      <c r="C322" s="30">
        <v>1131</v>
      </c>
      <c r="D322" s="30">
        <v>0</v>
      </c>
      <c r="E322" s="30">
        <v>0</v>
      </c>
      <c r="F322" s="30">
        <v>723</v>
      </c>
      <c r="H322" s="2">
        <f t="shared" si="139"/>
        <v>723</v>
      </c>
      <c r="I322" s="1">
        <f t="shared" si="138"/>
        <v>0.63925729442970824</v>
      </c>
      <c r="J322" s="31">
        <v>12806</v>
      </c>
      <c r="K322" s="31">
        <v>896</v>
      </c>
      <c r="L322" s="31">
        <v>13702</v>
      </c>
      <c r="M322" s="45">
        <f t="shared" si="113"/>
        <v>12.114942528735632</v>
      </c>
      <c r="N322" s="31">
        <v>1649</v>
      </c>
      <c r="O322" s="31">
        <v>0</v>
      </c>
      <c r="P322" s="31">
        <v>0</v>
      </c>
      <c r="Q322" s="31">
        <v>1649</v>
      </c>
      <c r="R322" s="45">
        <f t="shared" si="114"/>
        <v>1.458001768346596</v>
      </c>
      <c r="S322" s="31">
        <v>12461</v>
      </c>
      <c r="T322" s="31">
        <v>27812</v>
      </c>
      <c r="U322" s="31">
        <v>0</v>
      </c>
      <c r="V322" s="31">
        <v>27812</v>
      </c>
      <c r="W322" s="45">
        <f t="shared" si="115"/>
        <v>24.590627763041557</v>
      </c>
      <c r="X322" s="4">
        <f t="shared" si="116"/>
        <v>0.49266503667481665</v>
      </c>
      <c r="Y322" s="4">
        <f t="shared" si="117"/>
        <v>5.9290953545232276E-2</v>
      </c>
      <c r="Z322" s="4">
        <f t="shared" si="118"/>
        <v>0.44804400977995112</v>
      </c>
      <c r="AA322" s="4">
        <f t="shared" si="119"/>
        <v>0</v>
      </c>
      <c r="AB322" s="31">
        <v>0</v>
      </c>
      <c r="AC322" s="31">
        <v>1649</v>
      </c>
      <c r="AD322" s="31">
        <v>25312</v>
      </c>
      <c r="AE322" s="31">
        <v>18243</v>
      </c>
      <c r="AF322" s="31">
        <v>0</v>
      </c>
      <c r="AG322" s="31">
        <v>18243</v>
      </c>
      <c r="AH322" s="31">
        <v>0</v>
      </c>
      <c r="AI322" s="31">
        <v>18243</v>
      </c>
      <c r="AJ322" s="45">
        <f t="shared" si="120"/>
        <v>16.129973474801062</v>
      </c>
      <c r="AK322" s="31">
        <v>0</v>
      </c>
      <c r="AL322" s="31">
        <v>0</v>
      </c>
      <c r="AM322" s="31">
        <v>0</v>
      </c>
      <c r="AN322" s="31">
        <v>0</v>
      </c>
      <c r="AO322" s="31">
        <v>2500</v>
      </c>
      <c r="AP322" s="31">
        <v>0</v>
      </c>
      <c r="AQ322" s="31">
        <v>2500</v>
      </c>
      <c r="AR322" s="31">
        <v>20743</v>
      </c>
      <c r="AS322" s="46">
        <f t="shared" si="121"/>
        <v>18.340406719717066</v>
      </c>
      <c r="AT322" s="31">
        <v>0</v>
      </c>
      <c r="AU322" s="31">
        <v>0</v>
      </c>
      <c r="AV322" s="31">
        <v>0</v>
      </c>
      <c r="AW322" s="31">
        <v>0</v>
      </c>
      <c r="AX322" s="31">
        <v>0</v>
      </c>
      <c r="AY322" s="31">
        <v>0</v>
      </c>
      <c r="AZ322" s="31">
        <v>25000</v>
      </c>
      <c r="BA322" s="31">
        <v>0</v>
      </c>
      <c r="BB322" s="31">
        <v>25000</v>
      </c>
      <c r="BC322" s="33" t="s">
        <v>25</v>
      </c>
      <c r="BD322" s="47">
        <v>5323</v>
      </c>
      <c r="BE322" s="47">
        <v>5348</v>
      </c>
      <c r="BF322" s="45">
        <f t="shared" si="122"/>
        <v>4.7285587975243146</v>
      </c>
      <c r="BG322" s="30">
        <v>43</v>
      </c>
      <c r="BH322" s="30">
        <v>43</v>
      </c>
      <c r="BI322" s="30">
        <v>4419</v>
      </c>
      <c r="BJ322" s="30">
        <v>726</v>
      </c>
      <c r="BK322" s="30">
        <v>729</v>
      </c>
      <c r="BL322" s="30">
        <v>0</v>
      </c>
      <c r="BM322" s="30">
        <v>0</v>
      </c>
      <c r="BN322" s="30">
        <v>0</v>
      </c>
      <c r="BO322" s="30">
        <v>0</v>
      </c>
      <c r="BP322" s="30">
        <v>0</v>
      </c>
      <c r="BQ322" s="30">
        <v>0</v>
      </c>
      <c r="BR322" s="47">
        <v>6092</v>
      </c>
      <c r="BS322" s="47">
        <v>10539</v>
      </c>
      <c r="BT322" s="1">
        <f t="shared" si="123"/>
        <v>9.3183023872679041</v>
      </c>
      <c r="BU322" s="30">
        <v>5</v>
      </c>
      <c r="BV322" s="30">
        <v>0</v>
      </c>
      <c r="BW322" s="47">
        <v>213</v>
      </c>
      <c r="BX322" s="52">
        <f t="shared" si="124"/>
        <v>0.1883289124668435</v>
      </c>
      <c r="BY322" s="47">
        <v>858</v>
      </c>
      <c r="BZ322" s="47">
        <v>0</v>
      </c>
      <c r="CA322" s="47">
        <v>1978</v>
      </c>
      <c r="CB322" s="47">
        <v>0</v>
      </c>
      <c r="CC322" s="47">
        <v>2836</v>
      </c>
      <c r="CD322" s="55">
        <f t="shared" si="125"/>
        <v>2.5075154730327145</v>
      </c>
      <c r="CE322" s="3">
        <f t="shared" si="126"/>
        <v>3545</v>
      </c>
      <c r="CF322" s="55">
        <f t="shared" si="127"/>
        <v>2.3476821192052979</v>
      </c>
      <c r="CG322" s="55">
        <f t="shared" si="128"/>
        <v>2.6554307116104869</v>
      </c>
      <c r="CH322" s="55">
        <f t="shared" si="129"/>
        <v>0.26909573963374134</v>
      </c>
      <c r="CI322" s="30">
        <v>63</v>
      </c>
      <c r="CJ322" s="30">
        <v>0</v>
      </c>
      <c r="CK322" s="30">
        <v>6</v>
      </c>
      <c r="CL322" s="30">
        <v>69</v>
      </c>
      <c r="CM322" s="30">
        <v>590</v>
      </c>
      <c r="CN322" s="30">
        <v>0</v>
      </c>
      <c r="CO322" s="30">
        <v>30</v>
      </c>
      <c r="CP322" s="30">
        <v>620</v>
      </c>
      <c r="CQ322" s="1">
        <f t="shared" si="137"/>
        <v>0.54818744473916892</v>
      </c>
      <c r="CR322" s="47">
        <v>1068</v>
      </c>
      <c r="CS322" s="55">
        <f t="shared" si="130"/>
        <v>0.9442970822281167</v>
      </c>
      <c r="CT322" s="59">
        <v>7224</v>
      </c>
      <c r="CU322" s="29" t="s">
        <v>25</v>
      </c>
      <c r="CV322" s="29" t="s">
        <v>25</v>
      </c>
      <c r="CW322" s="29" t="s">
        <v>25</v>
      </c>
      <c r="CX322" s="35">
        <v>0</v>
      </c>
      <c r="CY322" s="49">
        <v>0</v>
      </c>
      <c r="CZ322" s="35">
        <v>0.8</v>
      </c>
      <c r="DA322" s="35">
        <v>0</v>
      </c>
      <c r="DB322" s="35">
        <v>0.8</v>
      </c>
      <c r="DC322" s="49">
        <f t="shared" si="131"/>
        <v>1413.75</v>
      </c>
      <c r="DD322" s="30">
        <v>1446</v>
      </c>
      <c r="DE322" s="31">
        <v>12480</v>
      </c>
      <c r="DF322" s="35">
        <v>20</v>
      </c>
      <c r="DG322" s="29" t="s">
        <v>25</v>
      </c>
      <c r="DH322" s="29" t="s">
        <v>26</v>
      </c>
      <c r="DI322" s="29" t="s">
        <v>26</v>
      </c>
      <c r="DJ322" s="47">
        <v>0</v>
      </c>
      <c r="DK322" s="47">
        <v>0</v>
      </c>
      <c r="DL322" s="47">
        <v>4</v>
      </c>
      <c r="DM322" s="47">
        <v>143</v>
      </c>
      <c r="DN322" s="47">
        <v>5</v>
      </c>
      <c r="DO322" s="47">
        <v>164</v>
      </c>
      <c r="DP322" s="29" t="s">
        <v>25</v>
      </c>
      <c r="DQ322" s="47">
        <v>3099</v>
      </c>
      <c r="DR322" s="47">
        <v>1208</v>
      </c>
      <c r="DS322" s="30">
        <v>52</v>
      </c>
      <c r="DT322" s="30">
        <v>24</v>
      </c>
      <c r="DU322" s="30">
        <v>24</v>
      </c>
      <c r="DV322" s="30">
        <v>24</v>
      </c>
      <c r="DX322" s="2">
        <f t="shared" si="132"/>
        <v>1208</v>
      </c>
      <c r="DY322" s="33" t="s">
        <v>2183</v>
      </c>
      <c r="DZ322" s="33" t="s">
        <v>28</v>
      </c>
      <c r="EA322" s="33" t="s">
        <v>2032</v>
      </c>
      <c r="EB322" s="33" t="s">
        <v>2027</v>
      </c>
      <c r="EC322" s="36">
        <v>653</v>
      </c>
      <c r="ED322" s="29" t="s">
        <v>2200</v>
      </c>
      <c r="EE322" s="29" t="s">
        <v>56</v>
      </c>
      <c r="EF322" s="37">
        <v>41640</v>
      </c>
      <c r="EG322" s="37">
        <v>42004</v>
      </c>
      <c r="EH322" s="29" t="s">
        <v>2200</v>
      </c>
      <c r="EI322" s="55">
        <f t="shared" si="133"/>
        <v>0.75862068965517238</v>
      </c>
      <c r="EJ322" s="54">
        <f t="shared" si="134"/>
        <v>0</v>
      </c>
      <c r="EK322" s="55">
        <f t="shared" si="135"/>
        <v>1.7488947833775419</v>
      </c>
      <c r="EL322" s="54">
        <f t="shared" si="136"/>
        <v>0</v>
      </c>
    </row>
    <row r="323" spans="1:142" ht="28.8" x14ac:dyDescent="0.3">
      <c r="A323" s="29" t="s">
        <v>864</v>
      </c>
      <c r="B323" s="29"/>
      <c r="C323" s="30">
        <v>1819</v>
      </c>
      <c r="D323" s="30">
        <v>0</v>
      </c>
      <c r="E323" s="30">
        <v>0</v>
      </c>
      <c r="F323" s="30">
        <v>5040</v>
      </c>
      <c r="H323" s="2">
        <f t="shared" si="139"/>
        <v>5040</v>
      </c>
      <c r="I323" s="1">
        <f t="shared" si="138"/>
        <v>2.7707531610775149</v>
      </c>
      <c r="J323" s="31">
        <v>67080</v>
      </c>
      <c r="K323" s="31">
        <v>16297</v>
      </c>
      <c r="L323" s="31">
        <v>83377</v>
      </c>
      <c r="M323" s="45">
        <f t="shared" si="113"/>
        <v>45.836723474436504</v>
      </c>
      <c r="N323" s="31">
        <v>1524</v>
      </c>
      <c r="O323" s="31">
        <v>0</v>
      </c>
      <c r="P323" s="31">
        <v>629</v>
      </c>
      <c r="Q323" s="31">
        <v>2153</v>
      </c>
      <c r="R323" s="45">
        <f t="shared" si="114"/>
        <v>1.1836173721825178</v>
      </c>
      <c r="S323" s="31">
        <v>36432</v>
      </c>
      <c r="T323" s="31">
        <v>121962</v>
      </c>
      <c r="U323" s="31">
        <v>0</v>
      </c>
      <c r="V323" s="31">
        <v>121962</v>
      </c>
      <c r="W323" s="45">
        <f t="shared" si="115"/>
        <v>67.048927982407918</v>
      </c>
      <c r="X323" s="4">
        <f t="shared" si="116"/>
        <v>0.68363096702251525</v>
      </c>
      <c r="Y323" s="4">
        <f t="shared" si="117"/>
        <v>1.7653039471310736E-2</v>
      </c>
      <c r="Z323" s="4">
        <f t="shared" si="118"/>
        <v>0.29871599350617406</v>
      </c>
      <c r="AA323" s="4">
        <f t="shared" si="119"/>
        <v>0</v>
      </c>
      <c r="AB323" s="31">
        <v>1418</v>
      </c>
      <c r="AC323" s="31">
        <v>1629</v>
      </c>
      <c r="AD323" s="31">
        <v>111409</v>
      </c>
      <c r="AE323" s="31">
        <v>90394</v>
      </c>
      <c r="AF323" s="31">
        <v>122794</v>
      </c>
      <c r="AG323" s="31">
        <v>0</v>
      </c>
      <c r="AH323" s="31">
        <v>0</v>
      </c>
      <c r="AI323" s="31">
        <v>122794</v>
      </c>
      <c r="AJ323" s="45">
        <f t="shared" si="120"/>
        <v>67.506322155030233</v>
      </c>
      <c r="AK323" s="31">
        <v>0</v>
      </c>
      <c r="AL323" s="31">
        <v>0</v>
      </c>
      <c r="AM323" s="31">
        <v>0</v>
      </c>
      <c r="AN323" s="31">
        <v>0</v>
      </c>
      <c r="AO323" s="31">
        <v>0</v>
      </c>
      <c r="AP323" s="31">
        <v>27108</v>
      </c>
      <c r="AQ323" s="31">
        <v>27108</v>
      </c>
      <c r="AR323" s="31">
        <v>149902</v>
      </c>
      <c r="AS323" s="46">
        <f t="shared" si="121"/>
        <v>82.409015942825732</v>
      </c>
      <c r="AT323" s="31">
        <v>0</v>
      </c>
      <c r="AU323" s="31">
        <v>0</v>
      </c>
      <c r="AV323" s="31">
        <v>0</v>
      </c>
      <c r="AW323" s="31">
        <v>0</v>
      </c>
      <c r="AX323" s="31">
        <v>0</v>
      </c>
      <c r="AY323" s="31">
        <v>0</v>
      </c>
      <c r="AZ323" s="31">
        <v>52513</v>
      </c>
      <c r="BA323" s="31">
        <v>0</v>
      </c>
      <c r="BB323" s="31">
        <v>52513</v>
      </c>
      <c r="BC323" s="33" t="s">
        <v>25</v>
      </c>
      <c r="BD323" s="47">
        <v>17623</v>
      </c>
      <c r="BE323" s="47">
        <v>18151</v>
      </c>
      <c r="BF323" s="45">
        <f t="shared" si="122"/>
        <v>9.9785596481583294</v>
      </c>
      <c r="BG323" s="30">
        <v>621</v>
      </c>
      <c r="BH323" s="30">
        <v>641</v>
      </c>
      <c r="BI323" s="30">
        <v>0</v>
      </c>
      <c r="BJ323" s="30">
        <v>3406</v>
      </c>
      <c r="BK323" s="30">
        <v>3415</v>
      </c>
      <c r="BL323" s="30">
        <v>0</v>
      </c>
      <c r="BM323" s="30">
        <v>57</v>
      </c>
      <c r="BN323" s="30">
        <v>0</v>
      </c>
      <c r="BO323" s="30">
        <v>51</v>
      </c>
      <c r="BP323" s="30">
        <v>0</v>
      </c>
      <c r="BQ323" s="30">
        <v>51</v>
      </c>
      <c r="BR323" s="47">
        <v>21650</v>
      </c>
      <c r="BS323" s="47">
        <v>22264</v>
      </c>
      <c r="BT323" s="1">
        <f t="shared" si="123"/>
        <v>12.239692138537658</v>
      </c>
      <c r="BU323" s="30">
        <v>27</v>
      </c>
      <c r="BV323" s="30">
        <v>0</v>
      </c>
      <c r="BW323" s="47">
        <v>450</v>
      </c>
      <c r="BX323" s="52">
        <f t="shared" si="124"/>
        <v>0.24738867509620671</v>
      </c>
      <c r="BY323" s="47">
        <v>3493</v>
      </c>
      <c r="BZ323" s="47">
        <v>4</v>
      </c>
      <c r="CA323" s="47">
        <v>10962</v>
      </c>
      <c r="CB323" s="47">
        <v>65</v>
      </c>
      <c r="CC323" s="47">
        <v>14524</v>
      </c>
      <c r="CD323" s="55">
        <f t="shared" si="125"/>
        <v>7.9846069268829023</v>
      </c>
      <c r="CE323" s="3">
        <f t="shared" si="126"/>
        <v>4841.333333333333</v>
      </c>
      <c r="CF323" s="55">
        <f t="shared" si="127"/>
        <v>6.6501831501831505</v>
      </c>
      <c r="CG323" s="55">
        <f t="shared" si="128"/>
        <v>0.78359859724844894</v>
      </c>
      <c r="CH323" s="55">
        <f t="shared" si="129"/>
        <v>0.64925440172475746</v>
      </c>
      <c r="CI323" s="30">
        <v>87</v>
      </c>
      <c r="CJ323" s="30">
        <v>4</v>
      </c>
      <c r="CK323" s="30">
        <v>271</v>
      </c>
      <c r="CL323" s="30">
        <v>362</v>
      </c>
      <c r="CM323" s="30">
        <v>901</v>
      </c>
      <c r="CN323" s="30">
        <v>20</v>
      </c>
      <c r="CO323" s="30">
        <v>1454</v>
      </c>
      <c r="CP323" s="30">
        <v>2375</v>
      </c>
      <c r="CQ323" s="1">
        <f t="shared" si="137"/>
        <v>1.3056624518966464</v>
      </c>
      <c r="CR323" s="47">
        <v>18535</v>
      </c>
      <c r="CS323" s="55">
        <f t="shared" si="130"/>
        <v>10.189664650907092</v>
      </c>
      <c r="CT323" s="59">
        <v>3322</v>
      </c>
      <c r="CU323" s="29" t="s">
        <v>25</v>
      </c>
      <c r="CV323" s="29" t="s">
        <v>25</v>
      </c>
      <c r="CW323" s="29" t="s">
        <v>25</v>
      </c>
      <c r="CX323" s="35">
        <v>0</v>
      </c>
      <c r="CY323" s="49">
        <v>0</v>
      </c>
      <c r="CZ323" s="35">
        <v>1</v>
      </c>
      <c r="DA323" s="35">
        <v>2</v>
      </c>
      <c r="DB323" s="35">
        <v>3</v>
      </c>
      <c r="DC323" s="49">
        <f t="shared" si="131"/>
        <v>606.33333333333337</v>
      </c>
      <c r="DD323" s="30">
        <v>127</v>
      </c>
      <c r="DE323" s="31">
        <v>30000</v>
      </c>
      <c r="DF323" s="35">
        <v>40</v>
      </c>
      <c r="DG323" s="29" t="s">
        <v>25</v>
      </c>
      <c r="DH323" s="29" t="s">
        <v>25</v>
      </c>
      <c r="DI323" s="29" t="s">
        <v>25</v>
      </c>
      <c r="DJ323" s="47">
        <v>44</v>
      </c>
      <c r="DK323" s="47">
        <v>46</v>
      </c>
      <c r="DL323" s="47">
        <v>6</v>
      </c>
      <c r="DM323" s="47">
        <v>4669</v>
      </c>
      <c r="DN323" s="47">
        <v>71</v>
      </c>
      <c r="DO323" s="47">
        <v>634</v>
      </c>
      <c r="DP323" s="29" t="s">
        <v>2028</v>
      </c>
      <c r="DQ323" s="47">
        <v>0</v>
      </c>
      <c r="DR323" s="47">
        <v>2184</v>
      </c>
      <c r="DS323" s="30">
        <v>52</v>
      </c>
      <c r="DT323" s="30">
        <v>44</v>
      </c>
      <c r="DU323" s="30">
        <v>44</v>
      </c>
      <c r="DV323" s="30">
        <v>44</v>
      </c>
      <c r="DX323" s="2">
        <f t="shared" si="132"/>
        <v>2184</v>
      </c>
      <c r="DY323" s="33" t="s">
        <v>2183</v>
      </c>
      <c r="DZ323" s="33" t="s">
        <v>867</v>
      </c>
      <c r="EA323" s="33" t="s">
        <v>2030</v>
      </c>
      <c r="EB323" s="33" t="s">
        <v>2027</v>
      </c>
      <c r="EC323" s="36">
        <v>247</v>
      </c>
      <c r="ED323" s="29" t="s">
        <v>865</v>
      </c>
      <c r="EE323" s="29" t="s">
        <v>866</v>
      </c>
      <c r="EF323" s="37">
        <v>41548</v>
      </c>
      <c r="EG323" s="37">
        <v>41912</v>
      </c>
      <c r="EH323" s="29" t="s">
        <v>865</v>
      </c>
      <c r="EI323" s="55">
        <f t="shared" si="133"/>
        <v>1.920285871357889</v>
      </c>
      <c r="EJ323" s="54">
        <f t="shared" si="134"/>
        <v>2.1990104452996153E-3</v>
      </c>
      <c r="EK323" s="55">
        <f t="shared" si="135"/>
        <v>6.0263881253435958</v>
      </c>
      <c r="EL323" s="54">
        <f t="shared" si="136"/>
        <v>3.5733919736118745E-2</v>
      </c>
    </row>
    <row r="324" spans="1:142" ht="43.2" x14ac:dyDescent="0.3">
      <c r="A324" s="29" t="s">
        <v>351</v>
      </c>
      <c r="B324" s="29"/>
      <c r="C324" s="30">
        <v>10811</v>
      </c>
      <c r="D324" s="30">
        <v>0</v>
      </c>
      <c r="E324" s="30">
        <v>0</v>
      </c>
      <c r="F324" s="30">
        <v>5186</v>
      </c>
      <c r="H324" s="2">
        <f t="shared" si="139"/>
        <v>5186</v>
      </c>
      <c r="I324" s="1">
        <f t="shared" si="138"/>
        <v>0.47969660530940711</v>
      </c>
      <c r="J324" s="31">
        <v>78453</v>
      </c>
      <c r="K324" s="31">
        <v>6313</v>
      </c>
      <c r="L324" s="31">
        <v>84766</v>
      </c>
      <c r="M324" s="45">
        <f t="shared" ref="M324:M387" si="140">L324/C324</f>
        <v>7.8407177874387202</v>
      </c>
      <c r="N324" s="31">
        <v>8689</v>
      </c>
      <c r="O324" s="31">
        <v>1350</v>
      </c>
      <c r="P324" s="31">
        <v>2904</v>
      </c>
      <c r="Q324" s="31">
        <v>12943</v>
      </c>
      <c r="R324" s="45">
        <f t="shared" ref="R324:R387" si="141">Q324/C324</f>
        <v>1.1972065488853945</v>
      </c>
      <c r="S324" s="31">
        <v>28169</v>
      </c>
      <c r="T324" s="31">
        <v>125878</v>
      </c>
      <c r="U324" s="31">
        <v>0</v>
      </c>
      <c r="V324" s="31">
        <v>125878</v>
      </c>
      <c r="W324" s="45">
        <f t="shared" ref="W324:W387" si="142">V324/C324</f>
        <v>11.643511238553325</v>
      </c>
      <c r="X324" s="4">
        <f t="shared" ref="X324:X387" si="143">L324/V324</f>
        <v>0.67339805208217485</v>
      </c>
      <c r="Y324" s="4">
        <f t="shared" ref="Y324:Y387" si="144">Q324/V324</f>
        <v>0.10282177981855448</v>
      </c>
      <c r="Z324" s="4">
        <f t="shared" ref="Z324:Z387" si="145">S324/V324</f>
        <v>0.22378016809927073</v>
      </c>
      <c r="AA324" s="4">
        <f t="shared" ref="AA324:AA387" si="146">U324/V324</f>
        <v>0</v>
      </c>
      <c r="AB324" s="31">
        <v>0</v>
      </c>
      <c r="AC324" s="31">
        <v>12943</v>
      </c>
      <c r="AD324" s="31">
        <v>125878</v>
      </c>
      <c r="AE324" s="31">
        <v>125878</v>
      </c>
      <c r="AF324" s="31">
        <v>1300</v>
      </c>
      <c r="AG324" s="31">
        <v>35713</v>
      </c>
      <c r="AH324" s="31">
        <v>0</v>
      </c>
      <c r="AI324" s="31">
        <v>37013</v>
      </c>
      <c r="AJ324" s="45">
        <f t="shared" ref="AJ324:AJ387" si="147">AI324/C324</f>
        <v>3.4236425862547404</v>
      </c>
      <c r="AK324" s="31">
        <v>0</v>
      </c>
      <c r="AL324" s="31">
        <v>0</v>
      </c>
      <c r="AM324" s="31">
        <v>0</v>
      </c>
      <c r="AN324" s="31">
        <v>0</v>
      </c>
      <c r="AO324" s="31">
        <v>0</v>
      </c>
      <c r="AP324" s="31">
        <v>2002</v>
      </c>
      <c r="AQ324" s="31">
        <v>2002</v>
      </c>
      <c r="AR324" s="31">
        <v>39015</v>
      </c>
      <c r="AS324" s="46">
        <f t="shared" ref="AS324:AS387" si="148">AR324/C324</f>
        <v>3.6088243455739524</v>
      </c>
      <c r="AT324" s="31">
        <v>0</v>
      </c>
      <c r="AU324" s="31">
        <v>0</v>
      </c>
      <c r="AV324" s="31">
        <v>0</v>
      </c>
      <c r="AW324" s="31">
        <v>0</v>
      </c>
      <c r="AX324" s="31">
        <v>0</v>
      </c>
      <c r="AY324" s="31">
        <v>0</v>
      </c>
      <c r="AZ324" s="31">
        <v>0</v>
      </c>
      <c r="BA324" s="31">
        <v>0</v>
      </c>
      <c r="BB324" s="31">
        <v>0</v>
      </c>
      <c r="BC324" s="33" t="s">
        <v>25</v>
      </c>
      <c r="BD324" s="47">
        <v>15141</v>
      </c>
      <c r="BE324" s="47">
        <v>16753</v>
      </c>
      <c r="BF324" s="45">
        <f t="shared" ref="BF324:BF387" si="149">BE324/C324</f>
        <v>1.5496253815558227</v>
      </c>
      <c r="BG324" s="30">
        <v>353</v>
      </c>
      <c r="BH324" s="30">
        <v>353</v>
      </c>
      <c r="BI324" s="30">
        <v>0</v>
      </c>
      <c r="BJ324" s="30">
        <v>1253</v>
      </c>
      <c r="BK324" s="30">
        <v>1253</v>
      </c>
      <c r="BL324" s="30">
        <v>0</v>
      </c>
      <c r="BM324" s="30">
        <v>62</v>
      </c>
      <c r="BN324" s="30">
        <v>1</v>
      </c>
      <c r="BO324" s="30">
        <v>0</v>
      </c>
      <c r="BP324" s="30">
        <v>0</v>
      </c>
      <c r="BQ324" s="30">
        <v>1</v>
      </c>
      <c r="BR324" s="47">
        <v>16747</v>
      </c>
      <c r="BS324" s="47">
        <v>18422</v>
      </c>
      <c r="BT324" s="1">
        <f t="shared" ref="BT324:BT387" si="150">BS324/C324</f>
        <v>1.7040051799093516</v>
      </c>
      <c r="BU324" s="30">
        <v>21</v>
      </c>
      <c r="BV324" s="30">
        <v>0</v>
      </c>
      <c r="BW324" s="47">
        <v>1100</v>
      </c>
      <c r="BX324" s="52">
        <f t="shared" ref="BX324:BX387" si="151">BW324/C324</f>
        <v>0.1017482194061604</v>
      </c>
      <c r="BY324" s="47">
        <v>2032</v>
      </c>
      <c r="BZ324" s="47">
        <v>0</v>
      </c>
      <c r="CA324" s="47">
        <v>10250</v>
      </c>
      <c r="CB324" s="47">
        <v>0</v>
      </c>
      <c r="CC324" s="47">
        <v>12282</v>
      </c>
      <c r="CD324" s="55">
        <f t="shared" ref="CD324:CD387" si="152">CC324/C324</f>
        <v>1.1360651188604201</v>
      </c>
      <c r="CE324" s="3">
        <f t="shared" ref="CE324:CE387" si="153">CC324/DB324</f>
        <v>4094</v>
      </c>
      <c r="CF324" s="55">
        <f t="shared" ref="CF324:CF387" si="154">CC324/DX324</f>
        <v>4.9325301204819274</v>
      </c>
      <c r="CG324" s="55">
        <f t="shared" ref="CG324:CG387" si="155">CC324/CR324</f>
        <v>2.0310897965933519</v>
      </c>
      <c r="CH324" s="55">
        <f t="shared" ref="CH324:CH387" si="156">(BY324+CA324)/BS324</f>
        <v>0.66670285528172835</v>
      </c>
      <c r="CI324" s="30">
        <v>84</v>
      </c>
      <c r="CJ324" s="30">
        <v>4</v>
      </c>
      <c r="CK324" s="30">
        <v>25</v>
      </c>
      <c r="CL324" s="30">
        <v>113</v>
      </c>
      <c r="CM324" s="30">
        <v>1386</v>
      </c>
      <c r="CN324" s="30">
        <v>48</v>
      </c>
      <c r="CO324" s="30">
        <v>240</v>
      </c>
      <c r="CP324" s="30">
        <v>1674</v>
      </c>
      <c r="CQ324" s="1">
        <f t="shared" si="137"/>
        <v>0.15484229025992044</v>
      </c>
      <c r="CR324" s="47">
        <v>6047</v>
      </c>
      <c r="CS324" s="55">
        <f t="shared" ref="CS324:CS387" si="157">CR324/C324</f>
        <v>0.55933771159004719</v>
      </c>
      <c r="CT324" s="59">
        <v>2126</v>
      </c>
      <c r="CU324" s="29" t="s">
        <v>25</v>
      </c>
      <c r="CV324" s="29" t="s">
        <v>25</v>
      </c>
      <c r="CW324" s="29" t="s">
        <v>25</v>
      </c>
      <c r="CX324" s="35">
        <v>1</v>
      </c>
      <c r="CY324" s="49">
        <f>C324/CX324</f>
        <v>10811</v>
      </c>
      <c r="CZ324" s="35">
        <v>0</v>
      </c>
      <c r="DA324" s="35">
        <v>2</v>
      </c>
      <c r="DB324" s="35">
        <v>3</v>
      </c>
      <c r="DC324" s="49">
        <f t="shared" ref="DC324:DC387" si="158">C324/DB324</f>
        <v>3603.6666666666665</v>
      </c>
      <c r="DD324" s="30">
        <v>495</v>
      </c>
      <c r="DE324" s="31">
        <v>57117</v>
      </c>
      <c r="DF324" s="35">
        <v>40</v>
      </c>
      <c r="DG324" s="29" t="s">
        <v>25</v>
      </c>
      <c r="DH324" s="29" t="s">
        <v>26</v>
      </c>
      <c r="DI324" s="29" t="s">
        <v>26</v>
      </c>
      <c r="DJ324" s="47">
        <v>12</v>
      </c>
      <c r="DK324" s="47">
        <v>130</v>
      </c>
      <c r="DL324" s="47">
        <v>15</v>
      </c>
      <c r="DM324" s="47">
        <v>2998</v>
      </c>
      <c r="DN324" s="47">
        <v>827</v>
      </c>
      <c r="DO324" s="47">
        <v>208</v>
      </c>
      <c r="DP324" s="29" t="s">
        <v>2028</v>
      </c>
      <c r="DQ324" s="47">
        <v>0</v>
      </c>
      <c r="DR324" s="47">
        <v>2490</v>
      </c>
      <c r="DS324" s="30">
        <v>52</v>
      </c>
      <c r="DT324" s="30">
        <v>57</v>
      </c>
      <c r="DU324" s="30">
        <v>57</v>
      </c>
      <c r="DV324" s="30">
        <v>30</v>
      </c>
      <c r="DX324" s="2">
        <f t="shared" ref="DX324:DX387" si="159">DR324+DW324</f>
        <v>2490</v>
      </c>
      <c r="DY324" s="33" t="s">
        <v>2187</v>
      </c>
      <c r="DZ324" s="33" t="s">
        <v>1626</v>
      </c>
      <c r="EA324" s="33" t="s">
        <v>2032</v>
      </c>
      <c r="EB324" s="33" t="s">
        <v>2027</v>
      </c>
      <c r="EC324" s="36">
        <v>548</v>
      </c>
      <c r="ED324" s="29" t="s">
        <v>1625</v>
      </c>
      <c r="EE324" s="29" t="s">
        <v>653</v>
      </c>
      <c r="EF324" s="37">
        <v>41548</v>
      </c>
      <c r="EG324" s="37">
        <v>41912</v>
      </c>
      <c r="EH324" s="29" t="s">
        <v>1625</v>
      </c>
      <c r="EI324" s="55">
        <f t="shared" ref="EI324:EI387" si="160">BY324/C324</f>
        <v>0.18795671075756173</v>
      </c>
      <c r="EJ324" s="54">
        <f t="shared" ref="EJ324:EJ387" si="161">BZ324/C324</f>
        <v>0</v>
      </c>
      <c r="EK324" s="55">
        <f t="shared" ref="EK324:EK387" si="162">CA324/C324</f>
        <v>0.94810840810285824</v>
      </c>
      <c r="EL324" s="54">
        <f t="shared" ref="EL324:EL387" si="163">CB324/C324</f>
        <v>0</v>
      </c>
    </row>
    <row r="325" spans="1:142" ht="57.6" x14ac:dyDescent="0.3">
      <c r="A325" s="29" t="s">
        <v>868</v>
      </c>
      <c r="B325" s="29"/>
      <c r="C325" s="30">
        <v>5827</v>
      </c>
      <c r="D325" s="30">
        <v>0</v>
      </c>
      <c r="E325" s="30">
        <v>0</v>
      </c>
      <c r="F325" s="30">
        <v>4400</v>
      </c>
      <c r="H325" s="2">
        <f t="shared" si="139"/>
        <v>4400</v>
      </c>
      <c r="I325" s="1">
        <f t="shared" si="138"/>
        <v>0.75510554316114642</v>
      </c>
      <c r="J325" s="31">
        <v>39026</v>
      </c>
      <c r="K325" s="31">
        <v>2756</v>
      </c>
      <c r="L325" s="31">
        <v>41782</v>
      </c>
      <c r="M325" s="45">
        <f t="shared" si="140"/>
        <v>7.1704135918997771</v>
      </c>
      <c r="N325" s="31">
        <v>9399</v>
      </c>
      <c r="O325" s="31">
        <v>0</v>
      </c>
      <c r="P325" s="31">
        <v>0</v>
      </c>
      <c r="Q325" s="31">
        <v>9399</v>
      </c>
      <c r="R325" s="45">
        <f t="shared" si="141"/>
        <v>1.6130084091299124</v>
      </c>
      <c r="S325" s="31">
        <v>37806</v>
      </c>
      <c r="T325" s="31">
        <v>88987</v>
      </c>
      <c r="U325" s="31">
        <v>0</v>
      </c>
      <c r="V325" s="31">
        <v>88987</v>
      </c>
      <c r="W325" s="45">
        <f t="shared" si="142"/>
        <v>15.271494765745667</v>
      </c>
      <c r="X325" s="4">
        <f t="shared" si="143"/>
        <v>0.46952925708249521</v>
      </c>
      <c r="Y325" s="4">
        <f t="shared" si="144"/>
        <v>0.10562216953038084</v>
      </c>
      <c r="Z325" s="4">
        <f t="shared" si="145"/>
        <v>0.42484857338712395</v>
      </c>
      <c r="AA325" s="4">
        <f t="shared" si="146"/>
        <v>0</v>
      </c>
      <c r="AB325" s="31">
        <v>0</v>
      </c>
      <c r="AC325" s="31">
        <v>3026</v>
      </c>
      <c r="AD325" s="31">
        <v>77593</v>
      </c>
      <c r="AE325" s="31">
        <v>40875</v>
      </c>
      <c r="AF325" s="31">
        <v>40875</v>
      </c>
      <c r="AG325" s="31">
        <v>0</v>
      </c>
      <c r="AH325" s="31">
        <v>0</v>
      </c>
      <c r="AI325" s="31">
        <v>40875</v>
      </c>
      <c r="AJ325" s="45">
        <f t="shared" si="147"/>
        <v>7.0147588810708772</v>
      </c>
      <c r="AK325" s="31">
        <v>0</v>
      </c>
      <c r="AL325" s="31">
        <v>0</v>
      </c>
      <c r="AM325" s="31">
        <v>2500</v>
      </c>
      <c r="AN325" s="31">
        <v>2500</v>
      </c>
      <c r="AO325" s="31">
        <v>5181</v>
      </c>
      <c r="AP325" s="31">
        <v>26105</v>
      </c>
      <c r="AQ325" s="31">
        <v>31286</v>
      </c>
      <c r="AR325" s="31">
        <v>74661</v>
      </c>
      <c r="AS325" s="46">
        <f t="shared" si="148"/>
        <v>12.812939763171443</v>
      </c>
      <c r="AT325" s="31">
        <v>0</v>
      </c>
      <c r="AU325" s="31">
        <v>0</v>
      </c>
      <c r="AV325" s="31">
        <v>0</v>
      </c>
      <c r="AW325" s="31">
        <v>0</v>
      </c>
      <c r="AX325" s="31">
        <v>0</v>
      </c>
      <c r="AY325" s="31">
        <v>0</v>
      </c>
      <c r="AZ325" s="31">
        <v>0</v>
      </c>
      <c r="BA325" s="31">
        <v>0</v>
      </c>
      <c r="BB325" s="31">
        <v>0</v>
      </c>
      <c r="BC325" s="33" t="s">
        <v>25</v>
      </c>
      <c r="BD325" s="47">
        <v>14521</v>
      </c>
      <c r="BE325" s="47">
        <v>14728</v>
      </c>
      <c r="BF325" s="45">
        <f t="shared" si="149"/>
        <v>2.5275441908357648</v>
      </c>
      <c r="BG325" s="30">
        <v>364</v>
      </c>
      <c r="BH325" s="30">
        <v>368</v>
      </c>
      <c r="BI325" s="30">
        <v>0</v>
      </c>
      <c r="BJ325" s="30">
        <v>24</v>
      </c>
      <c r="BK325" s="30">
        <v>24</v>
      </c>
      <c r="BL325" s="30">
        <v>0</v>
      </c>
      <c r="BM325" s="30">
        <v>0</v>
      </c>
      <c r="BN325" s="30">
        <v>0</v>
      </c>
      <c r="BO325" s="30">
        <v>51</v>
      </c>
      <c r="BP325" s="30">
        <v>0</v>
      </c>
      <c r="BQ325" s="30">
        <v>51</v>
      </c>
      <c r="BR325" s="47">
        <v>14909</v>
      </c>
      <c r="BS325" s="47">
        <v>15120</v>
      </c>
      <c r="BT325" s="1">
        <f t="shared" si="150"/>
        <v>2.5948172301355759</v>
      </c>
      <c r="BU325" s="30">
        <v>12</v>
      </c>
      <c r="BV325" s="30">
        <v>0</v>
      </c>
      <c r="BW325" s="47">
        <v>936</v>
      </c>
      <c r="BX325" s="52">
        <f t="shared" si="151"/>
        <v>0.16063154281791658</v>
      </c>
      <c r="BY325" s="47">
        <v>1598</v>
      </c>
      <c r="BZ325" s="47">
        <v>0</v>
      </c>
      <c r="CA325" s="47">
        <v>11197</v>
      </c>
      <c r="CB325" s="47">
        <v>0</v>
      </c>
      <c r="CC325" s="47">
        <v>12795</v>
      </c>
      <c r="CD325" s="55">
        <f t="shared" si="152"/>
        <v>2.1958125965333792</v>
      </c>
      <c r="CE325" s="3">
        <f t="shared" si="153"/>
        <v>7010.9589041095896</v>
      </c>
      <c r="CF325" s="55">
        <f t="shared" si="154"/>
        <v>6.8975741239892185</v>
      </c>
      <c r="CG325" s="55">
        <f t="shared" si="155"/>
        <v>1.162864673270926</v>
      </c>
      <c r="CH325" s="55">
        <f t="shared" si="156"/>
        <v>0.84623015873015872</v>
      </c>
      <c r="CI325" s="30">
        <v>26</v>
      </c>
      <c r="CJ325" s="30">
        <v>0</v>
      </c>
      <c r="CK325" s="30">
        <v>3</v>
      </c>
      <c r="CL325" s="30">
        <v>29</v>
      </c>
      <c r="CM325" s="30">
        <v>155</v>
      </c>
      <c r="CN325" s="30">
        <v>0</v>
      </c>
      <c r="CO325" s="30">
        <v>33</v>
      </c>
      <c r="CP325" s="30">
        <v>188</v>
      </c>
      <c r="CQ325" s="1">
        <f t="shared" ref="CQ325:CQ388" si="164">CP325/C325</f>
        <v>3.2263600480521709E-2</v>
      </c>
      <c r="CR325" s="47">
        <v>11003</v>
      </c>
      <c r="CS325" s="55">
        <f t="shared" si="157"/>
        <v>1.888278702591385</v>
      </c>
      <c r="CT325" s="59">
        <v>2154</v>
      </c>
      <c r="CU325" s="29" t="s">
        <v>25</v>
      </c>
      <c r="CV325" s="29" t="s">
        <v>25</v>
      </c>
      <c r="CW325" s="29" t="s">
        <v>25</v>
      </c>
      <c r="CX325" s="35">
        <v>0.82499999999999996</v>
      </c>
      <c r="CY325" s="49">
        <f>C325/CX325</f>
        <v>7063.030303030303</v>
      </c>
      <c r="CZ325" s="35">
        <v>1</v>
      </c>
      <c r="DA325" s="35">
        <v>0</v>
      </c>
      <c r="DB325" s="35">
        <v>1.825</v>
      </c>
      <c r="DC325" s="49">
        <f t="shared" si="158"/>
        <v>3192.8767123287671</v>
      </c>
      <c r="DD325" s="30">
        <v>350</v>
      </c>
      <c r="DE325" s="31">
        <v>20000</v>
      </c>
      <c r="DF325" s="35">
        <v>33</v>
      </c>
      <c r="DG325" s="29" t="s">
        <v>25</v>
      </c>
      <c r="DH325" s="29" t="s">
        <v>25</v>
      </c>
      <c r="DI325" s="29" t="s">
        <v>25</v>
      </c>
      <c r="DJ325" s="47">
        <v>0</v>
      </c>
      <c r="DK325" s="47">
        <v>0</v>
      </c>
      <c r="DL325" s="47">
        <v>9</v>
      </c>
      <c r="DM325" s="47">
        <v>4565</v>
      </c>
      <c r="DN325" s="47">
        <v>490</v>
      </c>
      <c r="DO325" s="47">
        <v>489</v>
      </c>
      <c r="DP325" s="29" t="s">
        <v>25</v>
      </c>
      <c r="DQ325" s="47">
        <v>3409</v>
      </c>
      <c r="DR325" s="47">
        <v>1855</v>
      </c>
      <c r="DS325" s="30">
        <v>52</v>
      </c>
      <c r="DT325" s="30">
        <v>37</v>
      </c>
      <c r="DU325" s="30">
        <v>37</v>
      </c>
      <c r="DV325" s="30">
        <v>37</v>
      </c>
      <c r="DX325" s="2">
        <f t="shared" si="159"/>
        <v>1855</v>
      </c>
      <c r="DY325" s="33" t="s">
        <v>2186</v>
      </c>
      <c r="DZ325" s="33" t="s">
        <v>871</v>
      </c>
      <c r="EA325" s="33" t="s">
        <v>2032</v>
      </c>
      <c r="EB325" s="33" t="s">
        <v>2027</v>
      </c>
      <c r="EC325" s="36">
        <v>248</v>
      </c>
      <c r="ED325" s="29" t="s">
        <v>869</v>
      </c>
      <c r="EE325" s="29" t="s">
        <v>870</v>
      </c>
      <c r="EF325" s="37">
        <v>41548</v>
      </c>
      <c r="EG325" s="37">
        <v>41912</v>
      </c>
      <c r="EH325" s="29" t="s">
        <v>869</v>
      </c>
      <c r="EI325" s="55">
        <f t="shared" si="160"/>
        <v>0.27424060408443451</v>
      </c>
      <c r="EJ325" s="54">
        <f t="shared" si="161"/>
        <v>0</v>
      </c>
      <c r="EK325" s="55">
        <f t="shared" si="162"/>
        <v>1.9215719924489445</v>
      </c>
      <c r="EL325" s="54">
        <f t="shared" si="163"/>
        <v>0</v>
      </c>
    </row>
    <row r="326" spans="1:142" ht="28.8" x14ac:dyDescent="0.3">
      <c r="A326" s="29" t="s">
        <v>872</v>
      </c>
      <c r="B326" s="29"/>
      <c r="C326" s="30">
        <v>59704</v>
      </c>
      <c r="D326" s="30">
        <v>0</v>
      </c>
      <c r="E326" s="30">
        <v>0</v>
      </c>
      <c r="F326" s="30">
        <v>14700</v>
      </c>
      <c r="H326" s="2">
        <f t="shared" si="139"/>
        <v>14700</v>
      </c>
      <c r="I326" s="1">
        <f t="shared" si="138"/>
        <v>0.24621465898432265</v>
      </c>
      <c r="J326" s="31">
        <v>223714</v>
      </c>
      <c r="K326" s="31">
        <v>55892</v>
      </c>
      <c r="L326" s="31">
        <v>279606</v>
      </c>
      <c r="M326" s="45">
        <f t="shared" si="140"/>
        <v>4.6832038054401712</v>
      </c>
      <c r="N326" s="31">
        <v>74709</v>
      </c>
      <c r="O326" s="31">
        <v>24818</v>
      </c>
      <c r="P326" s="31">
        <v>4842</v>
      </c>
      <c r="Q326" s="31">
        <v>104369</v>
      </c>
      <c r="R326" s="45">
        <f t="shared" si="141"/>
        <v>1.7481073294921614</v>
      </c>
      <c r="S326" s="31">
        <v>99251</v>
      </c>
      <c r="T326" s="31">
        <v>483226</v>
      </c>
      <c r="U326" s="31">
        <v>0</v>
      </c>
      <c r="V326" s="31">
        <v>483226</v>
      </c>
      <c r="W326" s="45">
        <f t="shared" si="142"/>
        <v>8.0936955647862785</v>
      </c>
      <c r="X326" s="4">
        <f t="shared" si="143"/>
        <v>0.57862366677289712</v>
      </c>
      <c r="Y326" s="4">
        <f t="shared" si="144"/>
        <v>0.2159838253736347</v>
      </c>
      <c r="Z326" s="4">
        <f t="shared" si="145"/>
        <v>0.20539250785346816</v>
      </c>
      <c r="AA326" s="4">
        <f t="shared" si="146"/>
        <v>0</v>
      </c>
      <c r="AB326" s="31">
        <v>0</v>
      </c>
      <c r="AC326" s="31">
        <v>104369</v>
      </c>
      <c r="AD326" s="31">
        <v>483226</v>
      </c>
      <c r="AE326" s="31">
        <v>475621</v>
      </c>
      <c r="AF326" s="31">
        <v>470829</v>
      </c>
      <c r="AG326" s="31">
        <v>44000</v>
      </c>
      <c r="AH326" s="31">
        <v>0</v>
      </c>
      <c r="AI326" s="31">
        <v>514829</v>
      </c>
      <c r="AJ326" s="45">
        <f t="shared" si="147"/>
        <v>8.6230235830095143</v>
      </c>
      <c r="AK326" s="31">
        <v>0</v>
      </c>
      <c r="AL326" s="31">
        <v>0</v>
      </c>
      <c r="AM326" s="31">
        <v>0</v>
      </c>
      <c r="AN326" s="31">
        <v>0</v>
      </c>
      <c r="AO326" s="31">
        <v>0</v>
      </c>
      <c r="AP326" s="31">
        <v>15676</v>
      </c>
      <c r="AQ326" s="31">
        <v>15676</v>
      </c>
      <c r="AR326" s="31">
        <v>530505</v>
      </c>
      <c r="AS326" s="46">
        <f t="shared" si="148"/>
        <v>8.8855855554066725</v>
      </c>
      <c r="AT326" s="31">
        <v>0</v>
      </c>
      <c r="AU326" s="31">
        <v>0</v>
      </c>
      <c r="AV326" s="31">
        <v>0</v>
      </c>
      <c r="AW326" s="31">
        <v>0</v>
      </c>
      <c r="AX326" s="31">
        <v>0</v>
      </c>
      <c r="AY326" s="31">
        <v>0</v>
      </c>
      <c r="AZ326" s="31">
        <v>0</v>
      </c>
      <c r="BA326" s="31">
        <v>0</v>
      </c>
      <c r="BB326" s="31">
        <v>0</v>
      </c>
      <c r="BC326" s="33" t="s">
        <v>25</v>
      </c>
      <c r="BD326" s="47">
        <v>50328</v>
      </c>
      <c r="BE326" s="47">
        <v>52432</v>
      </c>
      <c r="BF326" s="45">
        <f t="shared" si="149"/>
        <v>0.87819911563714326</v>
      </c>
      <c r="BG326" s="30">
        <v>1462</v>
      </c>
      <c r="BH326" s="30">
        <v>1486</v>
      </c>
      <c r="BI326" s="30">
        <v>2</v>
      </c>
      <c r="BJ326" s="30">
        <v>1198</v>
      </c>
      <c r="BK326" s="30">
        <v>1443</v>
      </c>
      <c r="BL326" s="30">
        <v>0</v>
      </c>
      <c r="BM326" s="30">
        <v>37</v>
      </c>
      <c r="BN326" s="30">
        <v>12</v>
      </c>
      <c r="BO326" s="30">
        <v>51</v>
      </c>
      <c r="BP326" s="30">
        <v>0</v>
      </c>
      <c r="BQ326" s="30">
        <v>63</v>
      </c>
      <c r="BR326" s="47">
        <v>52988</v>
      </c>
      <c r="BS326" s="47">
        <v>55412</v>
      </c>
      <c r="BT326" s="1">
        <f t="shared" si="150"/>
        <v>0.92811201929518961</v>
      </c>
      <c r="BU326" s="30">
        <v>80</v>
      </c>
      <c r="BV326" s="30">
        <v>0</v>
      </c>
      <c r="BW326" s="47">
        <v>1290</v>
      </c>
      <c r="BX326" s="52">
        <f t="shared" si="151"/>
        <v>2.1606592523114029E-2</v>
      </c>
      <c r="BY326" s="47">
        <v>15500</v>
      </c>
      <c r="BZ326" s="47">
        <v>1</v>
      </c>
      <c r="CA326" s="47">
        <v>43190</v>
      </c>
      <c r="CB326" s="47">
        <v>654</v>
      </c>
      <c r="CC326" s="47">
        <v>59345</v>
      </c>
      <c r="CD326" s="55">
        <f t="shared" si="152"/>
        <v>0.99398700254589312</v>
      </c>
      <c r="CE326" s="3">
        <f t="shared" si="153"/>
        <v>8157.3883161512022</v>
      </c>
      <c r="CF326" s="55">
        <f t="shared" si="154"/>
        <v>23.001937984496124</v>
      </c>
      <c r="CG326" s="55">
        <f t="shared" si="155"/>
        <v>0.69045153634047307</v>
      </c>
      <c r="CH326" s="55">
        <f t="shared" si="156"/>
        <v>1.0591568613296758</v>
      </c>
      <c r="CI326" s="30">
        <v>176</v>
      </c>
      <c r="CJ326" s="30">
        <v>0</v>
      </c>
      <c r="CK326" s="30">
        <v>31</v>
      </c>
      <c r="CL326" s="30">
        <v>207</v>
      </c>
      <c r="CM326" s="30">
        <v>4553</v>
      </c>
      <c r="CN326" s="30">
        <v>0</v>
      </c>
      <c r="CO326" s="30">
        <v>160</v>
      </c>
      <c r="CP326" s="30">
        <v>4713</v>
      </c>
      <c r="CQ326" s="1">
        <f t="shared" si="164"/>
        <v>7.893943454374916E-2</v>
      </c>
      <c r="CR326" s="47">
        <v>85951</v>
      </c>
      <c r="CS326" s="55">
        <f t="shared" si="157"/>
        <v>1.4396187860109875</v>
      </c>
      <c r="CT326" s="59">
        <v>24000</v>
      </c>
      <c r="CU326" s="29" t="s">
        <v>25</v>
      </c>
      <c r="CV326" s="29" t="s">
        <v>25</v>
      </c>
      <c r="CW326" s="29" t="s">
        <v>25</v>
      </c>
      <c r="CX326" s="35">
        <v>2</v>
      </c>
      <c r="CY326" s="49">
        <f>C326/CX326</f>
        <v>29852</v>
      </c>
      <c r="CZ326" s="35">
        <v>0</v>
      </c>
      <c r="DA326" s="35">
        <v>5.2750000000000004</v>
      </c>
      <c r="DB326" s="35">
        <v>7.2750000000000004</v>
      </c>
      <c r="DC326" s="49">
        <f t="shared" si="158"/>
        <v>8206.7353951890036</v>
      </c>
      <c r="DD326" s="30">
        <v>0</v>
      </c>
      <c r="DE326" s="31">
        <v>59565</v>
      </c>
      <c r="DF326" s="35">
        <v>40</v>
      </c>
      <c r="DG326" s="29" t="s">
        <v>25</v>
      </c>
      <c r="DH326" s="29" t="s">
        <v>26</v>
      </c>
      <c r="DI326" s="29" t="s">
        <v>26</v>
      </c>
      <c r="DJ326" s="47">
        <v>212</v>
      </c>
      <c r="DK326" s="47">
        <v>0</v>
      </c>
      <c r="DL326" s="47">
        <v>14</v>
      </c>
      <c r="DM326" s="47">
        <v>10661</v>
      </c>
      <c r="DN326" s="47">
        <v>1600</v>
      </c>
      <c r="DO326" s="47">
        <v>3500</v>
      </c>
      <c r="DP326" s="29" t="s">
        <v>2028</v>
      </c>
      <c r="DQ326" s="47">
        <v>0</v>
      </c>
      <c r="DR326" s="47">
        <v>2580</v>
      </c>
      <c r="DS326" s="30">
        <v>52</v>
      </c>
      <c r="DT326" s="30">
        <v>52</v>
      </c>
      <c r="DU326" s="30">
        <v>52</v>
      </c>
      <c r="DV326" s="30">
        <v>52</v>
      </c>
      <c r="DX326" s="2">
        <f t="shared" si="159"/>
        <v>2580</v>
      </c>
      <c r="DY326" s="33" t="s">
        <v>2182</v>
      </c>
      <c r="DZ326" s="33" t="s">
        <v>875</v>
      </c>
      <c r="EA326" s="33" t="s">
        <v>2030</v>
      </c>
      <c r="EB326" s="33" t="s">
        <v>2027</v>
      </c>
      <c r="EC326" s="36">
        <v>249</v>
      </c>
      <c r="ED326" s="29" t="s">
        <v>873</v>
      </c>
      <c r="EE326" s="29" t="s">
        <v>874</v>
      </c>
      <c r="EF326" s="37">
        <v>41640</v>
      </c>
      <c r="EG326" s="37">
        <v>42004</v>
      </c>
      <c r="EH326" s="29" t="s">
        <v>873</v>
      </c>
      <c r="EI326" s="55">
        <f t="shared" si="160"/>
        <v>0.25961409620795928</v>
      </c>
      <c r="EJ326" s="54">
        <f t="shared" si="161"/>
        <v>1.6749296529545759E-5</v>
      </c>
      <c r="EK326" s="55">
        <f t="shared" si="162"/>
        <v>0.72340211711108138</v>
      </c>
      <c r="EL326" s="54">
        <f t="shared" si="163"/>
        <v>1.0954039930322927E-2</v>
      </c>
    </row>
    <row r="327" spans="1:142" ht="28.8" x14ac:dyDescent="0.3">
      <c r="A327" s="29" t="s">
        <v>1575</v>
      </c>
      <c r="B327" s="29"/>
      <c r="C327" s="30">
        <v>2990</v>
      </c>
      <c r="D327" s="30">
        <v>0</v>
      </c>
      <c r="E327" s="30">
        <v>0</v>
      </c>
      <c r="F327" s="30">
        <v>5760</v>
      </c>
      <c r="H327" s="2">
        <f t="shared" si="139"/>
        <v>5760</v>
      </c>
      <c r="I327" s="1">
        <f t="shared" si="138"/>
        <v>1.9264214046822743</v>
      </c>
      <c r="J327" s="31">
        <v>20221</v>
      </c>
      <c r="K327" s="31">
        <v>1547</v>
      </c>
      <c r="L327" s="31">
        <v>21768</v>
      </c>
      <c r="M327" s="45">
        <f t="shared" si="140"/>
        <v>7.2802675585284282</v>
      </c>
      <c r="N327" s="31">
        <v>5487</v>
      </c>
      <c r="O327" s="31">
        <v>1848</v>
      </c>
      <c r="P327" s="31">
        <v>799</v>
      </c>
      <c r="Q327" s="31">
        <v>8134</v>
      </c>
      <c r="R327" s="45">
        <f t="shared" si="141"/>
        <v>2.7204013377926421</v>
      </c>
      <c r="S327" s="31">
        <v>19569</v>
      </c>
      <c r="T327" s="31">
        <v>49471</v>
      </c>
      <c r="U327" s="31">
        <v>0</v>
      </c>
      <c r="V327" s="31">
        <v>49471</v>
      </c>
      <c r="W327" s="45">
        <f t="shared" si="142"/>
        <v>16.545484949832776</v>
      </c>
      <c r="X327" s="4">
        <f t="shared" si="143"/>
        <v>0.44001536253562695</v>
      </c>
      <c r="Y327" s="4">
        <f t="shared" si="144"/>
        <v>0.16441955893351662</v>
      </c>
      <c r="Z327" s="4">
        <f t="shared" si="145"/>
        <v>0.39556507853085648</v>
      </c>
      <c r="AA327" s="4">
        <f t="shared" si="146"/>
        <v>0</v>
      </c>
      <c r="AB327" s="31">
        <v>1075</v>
      </c>
      <c r="AC327" s="31">
        <v>8134</v>
      </c>
      <c r="AD327" s="31">
        <v>28000</v>
      </c>
      <c r="AE327" s="31">
        <v>8000</v>
      </c>
      <c r="AF327" s="31">
        <v>3000</v>
      </c>
      <c r="AG327" s="31">
        <v>5000</v>
      </c>
      <c r="AH327" s="31">
        <v>0</v>
      </c>
      <c r="AI327" s="31">
        <v>8000</v>
      </c>
      <c r="AJ327" s="45">
        <f t="shared" si="147"/>
        <v>2.6755852842809364</v>
      </c>
      <c r="AK327" s="31">
        <v>0</v>
      </c>
      <c r="AL327" s="31">
        <v>0</v>
      </c>
      <c r="AM327" s="31">
        <v>0</v>
      </c>
      <c r="AN327" s="31">
        <v>0</v>
      </c>
      <c r="AO327" s="31">
        <v>24000</v>
      </c>
      <c r="AP327" s="31">
        <v>30435</v>
      </c>
      <c r="AQ327" s="31">
        <v>54435</v>
      </c>
      <c r="AR327" s="31">
        <v>62435</v>
      </c>
      <c r="AS327" s="46">
        <f t="shared" si="148"/>
        <v>20.881270903010034</v>
      </c>
      <c r="AT327" s="31">
        <v>0</v>
      </c>
      <c r="AU327" s="31">
        <v>0</v>
      </c>
      <c r="AV327" s="31">
        <v>0</v>
      </c>
      <c r="AW327" s="31">
        <v>0</v>
      </c>
      <c r="AX327" s="31">
        <v>0</v>
      </c>
      <c r="AY327" s="31">
        <v>0</v>
      </c>
      <c r="AZ327" s="31">
        <v>0</v>
      </c>
      <c r="BA327" s="31">
        <v>0</v>
      </c>
      <c r="BB327" s="31">
        <v>0</v>
      </c>
      <c r="BC327" s="33" t="s">
        <v>25</v>
      </c>
      <c r="BD327" s="47">
        <v>18863</v>
      </c>
      <c r="BE327" s="47">
        <v>18955</v>
      </c>
      <c r="BF327" s="45">
        <f t="shared" si="149"/>
        <v>6.3394648829431439</v>
      </c>
      <c r="BG327" s="30">
        <v>210</v>
      </c>
      <c r="BH327" s="30">
        <v>215</v>
      </c>
      <c r="BI327" s="30">
        <v>0</v>
      </c>
      <c r="BJ327" s="30">
        <v>773</v>
      </c>
      <c r="BK327" s="30">
        <v>798</v>
      </c>
      <c r="BL327" s="30">
        <v>0</v>
      </c>
      <c r="BM327" s="30">
        <v>0</v>
      </c>
      <c r="BN327" s="30">
        <v>0</v>
      </c>
      <c r="BO327" s="30">
        <v>51</v>
      </c>
      <c r="BP327" s="30">
        <v>4</v>
      </c>
      <c r="BQ327" s="30">
        <v>55</v>
      </c>
      <c r="BR327" s="47">
        <v>19846</v>
      </c>
      <c r="BS327" s="47">
        <v>19968</v>
      </c>
      <c r="BT327" s="1">
        <f t="shared" si="150"/>
        <v>6.678260869565217</v>
      </c>
      <c r="BU327" s="30">
        <v>5</v>
      </c>
      <c r="BV327" s="30">
        <v>0</v>
      </c>
      <c r="BW327" s="47">
        <v>170</v>
      </c>
      <c r="BX327" s="52">
        <f t="shared" si="151"/>
        <v>5.6856187290969896E-2</v>
      </c>
      <c r="BY327" s="47">
        <v>2064</v>
      </c>
      <c r="BZ327" s="47">
        <v>0</v>
      </c>
      <c r="CA327" s="47">
        <v>4913</v>
      </c>
      <c r="CB327" s="47">
        <v>0</v>
      </c>
      <c r="CC327" s="47">
        <v>6977</v>
      </c>
      <c r="CD327" s="55">
        <f t="shared" si="152"/>
        <v>2.3334448160535115</v>
      </c>
      <c r="CE327" s="3">
        <f t="shared" si="153"/>
        <v>5581.6</v>
      </c>
      <c r="CF327" s="55">
        <f t="shared" si="154"/>
        <v>7.3287815126050422</v>
      </c>
      <c r="CG327" s="55">
        <f t="shared" si="155"/>
        <v>1.7908110882956878</v>
      </c>
      <c r="CH327" s="55">
        <f t="shared" si="156"/>
        <v>0.34940905448717946</v>
      </c>
      <c r="CI327" s="30">
        <v>2</v>
      </c>
      <c r="CJ327" s="30">
        <v>3</v>
      </c>
      <c r="CK327" s="30">
        <v>5</v>
      </c>
      <c r="CL327" s="30">
        <v>10</v>
      </c>
      <c r="CM327" s="30">
        <v>20</v>
      </c>
      <c r="CN327" s="30">
        <v>21</v>
      </c>
      <c r="CO327" s="30">
        <v>131</v>
      </c>
      <c r="CP327" s="30">
        <v>172</v>
      </c>
      <c r="CQ327" s="1">
        <f t="shared" si="164"/>
        <v>5.7525083612040132E-2</v>
      </c>
      <c r="CR327" s="47">
        <v>3896</v>
      </c>
      <c r="CS327" s="55">
        <f t="shared" si="157"/>
        <v>1.303010033444816</v>
      </c>
      <c r="CT327" s="59">
        <v>280</v>
      </c>
      <c r="CU327" s="29" t="s">
        <v>25</v>
      </c>
      <c r="CV327" s="29" t="s">
        <v>25</v>
      </c>
      <c r="CW327" s="29" t="s">
        <v>25</v>
      </c>
      <c r="CX327" s="35">
        <v>0</v>
      </c>
      <c r="CY327" s="49">
        <v>0</v>
      </c>
      <c r="CZ327" s="35">
        <v>0.5</v>
      </c>
      <c r="DA327" s="35">
        <v>0.75</v>
      </c>
      <c r="DB327" s="35">
        <v>1.25</v>
      </c>
      <c r="DC327" s="49">
        <f t="shared" si="158"/>
        <v>2392</v>
      </c>
      <c r="DD327" s="30">
        <v>60</v>
      </c>
      <c r="DE327" s="31">
        <v>11868</v>
      </c>
      <c r="DF327" s="35">
        <v>20</v>
      </c>
      <c r="DG327" s="29" t="s">
        <v>25</v>
      </c>
      <c r="DH327" s="29" t="s">
        <v>25</v>
      </c>
      <c r="DI327" s="29" t="s">
        <v>25</v>
      </c>
      <c r="DJ327" s="47">
        <v>161</v>
      </c>
      <c r="DK327" s="47">
        <v>0</v>
      </c>
      <c r="DL327" s="47">
        <v>5</v>
      </c>
      <c r="DM327" s="47">
        <v>855</v>
      </c>
      <c r="DN327" s="47">
        <v>7</v>
      </c>
      <c r="DO327" s="47">
        <v>102</v>
      </c>
      <c r="DP327" s="29" t="s">
        <v>25</v>
      </c>
      <c r="DQ327" s="47">
        <v>902</v>
      </c>
      <c r="DR327" s="47">
        <v>952</v>
      </c>
      <c r="DS327" s="30">
        <v>51</v>
      </c>
      <c r="DT327" s="30">
        <v>20</v>
      </c>
      <c r="DU327" s="30">
        <v>20</v>
      </c>
      <c r="DV327" s="30">
        <v>20</v>
      </c>
      <c r="DX327" s="2">
        <f t="shared" si="159"/>
        <v>952</v>
      </c>
      <c r="DY327" s="33" t="s">
        <v>2186</v>
      </c>
      <c r="DZ327" s="33" t="s">
        <v>1577</v>
      </c>
      <c r="EA327" s="33" t="s">
        <v>2032</v>
      </c>
      <c r="EB327" s="33" t="s">
        <v>2027</v>
      </c>
      <c r="EC327" s="36">
        <v>518</v>
      </c>
      <c r="ED327" s="29" t="s">
        <v>1576</v>
      </c>
      <c r="EE327" s="29" t="s">
        <v>1315</v>
      </c>
      <c r="EF327" s="37">
        <v>41456</v>
      </c>
      <c r="EG327" s="37">
        <v>41820</v>
      </c>
      <c r="EH327" s="29" t="s">
        <v>1576</v>
      </c>
      <c r="EI327" s="55">
        <f t="shared" si="160"/>
        <v>0.69030100334448163</v>
      </c>
      <c r="EJ327" s="54">
        <f t="shared" si="161"/>
        <v>0</v>
      </c>
      <c r="EK327" s="55">
        <f t="shared" si="162"/>
        <v>1.6431438127090301</v>
      </c>
      <c r="EL327" s="54">
        <f t="shared" si="163"/>
        <v>0</v>
      </c>
    </row>
    <row r="328" spans="1:142" ht="43.2" x14ac:dyDescent="0.3">
      <c r="A328" s="29" t="s">
        <v>876</v>
      </c>
      <c r="B328" s="29"/>
      <c r="C328" s="30">
        <v>4128</v>
      </c>
      <c r="D328" s="30">
        <v>0</v>
      </c>
      <c r="E328" s="30">
        <v>0</v>
      </c>
      <c r="F328" s="30">
        <v>5000</v>
      </c>
      <c r="H328" s="2">
        <f t="shared" si="139"/>
        <v>5000</v>
      </c>
      <c r="I328" s="1">
        <f t="shared" si="138"/>
        <v>1.2112403100775193</v>
      </c>
      <c r="J328" s="31">
        <v>48920</v>
      </c>
      <c r="K328" s="31">
        <v>30247</v>
      </c>
      <c r="L328" s="31">
        <v>79167</v>
      </c>
      <c r="M328" s="45">
        <f t="shared" si="140"/>
        <v>19.178052325581394</v>
      </c>
      <c r="N328" s="31">
        <v>14430</v>
      </c>
      <c r="O328" s="31">
        <v>5280</v>
      </c>
      <c r="P328" s="31">
        <v>6777</v>
      </c>
      <c r="Q328" s="31">
        <v>26487</v>
      </c>
      <c r="R328" s="45">
        <f t="shared" si="141"/>
        <v>6.4164244186046515</v>
      </c>
      <c r="S328" s="31">
        <v>30772</v>
      </c>
      <c r="T328" s="31">
        <v>136426</v>
      </c>
      <c r="U328" s="31">
        <v>0</v>
      </c>
      <c r="V328" s="31">
        <v>136426</v>
      </c>
      <c r="W328" s="45">
        <f t="shared" si="142"/>
        <v>33.048934108527135</v>
      </c>
      <c r="X328" s="4">
        <f t="shared" si="143"/>
        <v>0.58029261284505884</v>
      </c>
      <c r="Y328" s="4">
        <f t="shared" si="144"/>
        <v>0.19414920909504055</v>
      </c>
      <c r="Z328" s="4">
        <f t="shared" si="145"/>
        <v>0.22555817805990061</v>
      </c>
      <c r="AA328" s="4">
        <f t="shared" si="146"/>
        <v>0</v>
      </c>
      <c r="AB328" s="31">
        <v>13328</v>
      </c>
      <c r="AC328" s="31">
        <v>26487</v>
      </c>
      <c r="AD328" s="31">
        <v>130038</v>
      </c>
      <c r="AE328" s="31">
        <v>98732</v>
      </c>
      <c r="AF328" s="31">
        <v>2000</v>
      </c>
      <c r="AG328" s="31">
        <v>96732</v>
      </c>
      <c r="AH328" s="31">
        <v>0</v>
      </c>
      <c r="AI328" s="31">
        <v>98732</v>
      </c>
      <c r="AJ328" s="45">
        <f t="shared" si="147"/>
        <v>23.91763565891473</v>
      </c>
      <c r="AK328" s="31">
        <v>0</v>
      </c>
      <c r="AL328" s="31">
        <v>0</v>
      </c>
      <c r="AM328" s="31">
        <v>0</v>
      </c>
      <c r="AN328" s="31">
        <v>0</v>
      </c>
      <c r="AO328" s="31">
        <v>96456</v>
      </c>
      <c r="AP328" s="31">
        <v>14725</v>
      </c>
      <c r="AQ328" s="31">
        <v>111181</v>
      </c>
      <c r="AR328" s="31">
        <v>209913</v>
      </c>
      <c r="AS328" s="46">
        <f t="shared" si="148"/>
        <v>50.851017441860463</v>
      </c>
      <c r="AT328" s="31">
        <v>0</v>
      </c>
      <c r="AU328" s="31">
        <v>0</v>
      </c>
      <c r="AV328" s="31">
        <v>0</v>
      </c>
      <c r="AW328" s="31">
        <v>0</v>
      </c>
      <c r="AX328" s="31">
        <v>0</v>
      </c>
      <c r="AY328" s="31">
        <v>0</v>
      </c>
      <c r="AZ328" s="31">
        <v>0</v>
      </c>
      <c r="BA328" s="31">
        <v>0</v>
      </c>
      <c r="BB328" s="31">
        <v>0</v>
      </c>
      <c r="BC328" s="33" t="s">
        <v>25</v>
      </c>
      <c r="BD328" s="47">
        <v>9594</v>
      </c>
      <c r="BE328" s="47">
        <v>9684</v>
      </c>
      <c r="BF328" s="45">
        <f t="shared" si="149"/>
        <v>2.3459302325581395</v>
      </c>
      <c r="BG328" s="30">
        <v>622</v>
      </c>
      <c r="BH328" s="30">
        <v>644</v>
      </c>
      <c r="BI328" s="30">
        <v>576</v>
      </c>
      <c r="BJ328" s="30">
        <v>2103</v>
      </c>
      <c r="BK328" s="30">
        <v>2138</v>
      </c>
      <c r="BL328" s="30">
        <v>4</v>
      </c>
      <c r="BM328" s="30">
        <v>326</v>
      </c>
      <c r="BN328" s="30">
        <v>0</v>
      </c>
      <c r="BO328" s="30">
        <v>51</v>
      </c>
      <c r="BP328" s="30">
        <v>0</v>
      </c>
      <c r="BQ328" s="30">
        <v>51</v>
      </c>
      <c r="BR328" s="47">
        <v>12319</v>
      </c>
      <c r="BS328" s="47">
        <v>13372</v>
      </c>
      <c r="BT328" s="1">
        <f t="shared" si="150"/>
        <v>3.239341085271318</v>
      </c>
      <c r="BU328" s="30">
        <v>21</v>
      </c>
      <c r="BV328" s="30">
        <v>0</v>
      </c>
      <c r="BW328" s="47">
        <v>2912</v>
      </c>
      <c r="BX328" s="52">
        <f t="shared" si="151"/>
        <v>0.70542635658914732</v>
      </c>
      <c r="BY328" s="47">
        <v>4890</v>
      </c>
      <c r="BZ328" s="47">
        <v>10</v>
      </c>
      <c r="CA328" s="47">
        <v>23137</v>
      </c>
      <c r="CB328" s="47">
        <v>1715</v>
      </c>
      <c r="CC328" s="47">
        <v>29752</v>
      </c>
      <c r="CD328" s="55">
        <f t="shared" si="152"/>
        <v>7.2073643410852712</v>
      </c>
      <c r="CE328" s="3">
        <f t="shared" si="153"/>
        <v>14876</v>
      </c>
      <c r="CF328" s="55">
        <f t="shared" si="154"/>
        <v>15.336082474226805</v>
      </c>
      <c r="CG328" s="55">
        <f t="shared" si="155"/>
        <v>0.73594379993568659</v>
      </c>
      <c r="CH328" s="55">
        <f t="shared" si="156"/>
        <v>2.0959467544122048</v>
      </c>
      <c r="CI328" s="30">
        <v>107</v>
      </c>
      <c r="CJ328" s="30">
        <v>0</v>
      </c>
      <c r="CK328" s="30">
        <v>358</v>
      </c>
      <c r="CL328" s="30">
        <v>465</v>
      </c>
      <c r="CM328" s="30">
        <v>1198</v>
      </c>
      <c r="CN328" s="30">
        <v>0</v>
      </c>
      <c r="CO328" s="30">
        <v>1952</v>
      </c>
      <c r="CP328" s="30">
        <v>3150</v>
      </c>
      <c r="CQ328" s="1">
        <f t="shared" si="164"/>
        <v>0.76308139534883723</v>
      </c>
      <c r="CR328" s="47">
        <v>40427</v>
      </c>
      <c r="CS328" s="55">
        <f t="shared" si="157"/>
        <v>9.793362403100776</v>
      </c>
      <c r="CT328" s="59">
        <v>2392</v>
      </c>
      <c r="CU328" s="29" t="s">
        <v>25</v>
      </c>
      <c r="CV328" s="29" t="s">
        <v>25</v>
      </c>
      <c r="CW328" s="29" t="s">
        <v>25</v>
      </c>
      <c r="CX328" s="35">
        <v>0</v>
      </c>
      <c r="CY328" s="49">
        <v>0</v>
      </c>
      <c r="CZ328" s="35">
        <v>1</v>
      </c>
      <c r="DA328" s="35">
        <v>1</v>
      </c>
      <c r="DB328" s="35">
        <v>2</v>
      </c>
      <c r="DC328" s="49">
        <f t="shared" si="158"/>
        <v>2064</v>
      </c>
      <c r="DD328" s="30">
        <v>1331</v>
      </c>
      <c r="DE328" s="31">
        <v>26520</v>
      </c>
      <c r="DF328" s="35">
        <v>40</v>
      </c>
      <c r="DG328" s="29" t="s">
        <v>25</v>
      </c>
      <c r="DH328" s="29" t="s">
        <v>25</v>
      </c>
      <c r="DI328" s="29" t="s">
        <v>25</v>
      </c>
      <c r="DJ328" s="47">
        <v>48</v>
      </c>
      <c r="DK328" s="47">
        <v>136</v>
      </c>
      <c r="DL328" s="47">
        <v>15</v>
      </c>
      <c r="DM328" s="47">
        <v>4890</v>
      </c>
      <c r="DN328" s="47">
        <v>244</v>
      </c>
      <c r="DO328" s="47">
        <v>1526</v>
      </c>
      <c r="DP328" s="29" t="s">
        <v>25</v>
      </c>
      <c r="DQ328" s="47">
        <v>3766</v>
      </c>
      <c r="DR328" s="47">
        <v>1940</v>
      </c>
      <c r="DS328" s="30">
        <v>52</v>
      </c>
      <c r="DT328" s="30">
        <v>40</v>
      </c>
      <c r="DU328" s="30">
        <v>40</v>
      </c>
      <c r="DV328" s="30">
        <v>40</v>
      </c>
      <c r="DX328" s="2">
        <f t="shared" si="159"/>
        <v>1940</v>
      </c>
      <c r="DY328" s="33" t="s">
        <v>2179</v>
      </c>
      <c r="DZ328" s="33" t="s">
        <v>878</v>
      </c>
      <c r="EA328" s="33" t="s">
        <v>2031</v>
      </c>
      <c r="EB328" s="33" t="s">
        <v>2027</v>
      </c>
      <c r="EC328" s="36">
        <v>250</v>
      </c>
      <c r="ED328" s="29" t="s">
        <v>877</v>
      </c>
      <c r="EE328" s="29" t="s">
        <v>876</v>
      </c>
      <c r="EF328" s="37">
        <v>41640</v>
      </c>
      <c r="EG328" s="37">
        <v>42004</v>
      </c>
      <c r="EH328" s="29" t="s">
        <v>877</v>
      </c>
      <c r="EI328" s="55">
        <f t="shared" si="160"/>
        <v>1.1845930232558139</v>
      </c>
      <c r="EJ328" s="54">
        <f t="shared" si="161"/>
        <v>2.4224806201550387E-3</v>
      </c>
      <c r="EK328" s="55">
        <f t="shared" si="162"/>
        <v>5.6048934108527133</v>
      </c>
      <c r="EL328" s="54">
        <f t="shared" si="163"/>
        <v>0.41545542635658916</v>
      </c>
    </row>
    <row r="329" spans="1:142" ht="28.8" x14ac:dyDescent="0.3">
      <c r="A329" s="29" t="s">
        <v>879</v>
      </c>
      <c r="B329" s="29"/>
      <c r="C329" s="30">
        <v>1196</v>
      </c>
      <c r="D329" s="30">
        <v>0</v>
      </c>
      <c r="E329" s="30">
        <v>0</v>
      </c>
      <c r="F329" s="30">
        <v>2160</v>
      </c>
      <c r="H329" s="2">
        <f t="shared" si="139"/>
        <v>2160</v>
      </c>
      <c r="I329" s="1">
        <f t="shared" si="138"/>
        <v>1.806020066889632</v>
      </c>
      <c r="J329" s="31">
        <v>14430</v>
      </c>
      <c r="K329" s="31">
        <v>9000</v>
      </c>
      <c r="L329" s="31">
        <v>23430</v>
      </c>
      <c r="M329" s="45">
        <f t="shared" si="140"/>
        <v>19.590301003344482</v>
      </c>
      <c r="N329" s="31">
        <v>6475</v>
      </c>
      <c r="O329" s="31">
        <v>800</v>
      </c>
      <c r="P329" s="31">
        <v>0</v>
      </c>
      <c r="Q329" s="31">
        <v>7275</v>
      </c>
      <c r="R329" s="45">
        <f t="shared" si="141"/>
        <v>6.0827759197324411</v>
      </c>
      <c r="S329" s="31">
        <v>25155</v>
      </c>
      <c r="T329" s="31">
        <v>55860</v>
      </c>
      <c r="U329" s="31">
        <v>0</v>
      </c>
      <c r="V329" s="31">
        <v>55860</v>
      </c>
      <c r="W329" s="45">
        <f t="shared" si="142"/>
        <v>46.705685618729099</v>
      </c>
      <c r="X329" s="4">
        <f t="shared" si="143"/>
        <v>0.41944146079484423</v>
      </c>
      <c r="Y329" s="4">
        <f t="shared" si="144"/>
        <v>0.13023630504833511</v>
      </c>
      <c r="Z329" s="4">
        <f t="shared" si="145"/>
        <v>0.4503222341568206</v>
      </c>
      <c r="AA329" s="4">
        <f t="shared" si="146"/>
        <v>0</v>
      </c>
      <c r="AB329" s="31">
        <v>0</v>
      </c>
      <c r="AC329" s="31">
        <v>600</v>
      </c>
      <c r="AD329" s="31">
        <v>23721</v>
      </c>
      <c r="AE329" s="31">
        <v>19930</v>
      </c>
      <c r="AF329" s="31">
        <v>5500</v>
      </c>
      <c r="AG329" s="31">
        <v>14430</v>
      </c>
      <c r="AH329" s="31">
        <v>0</v>
      </c>
      <c r="AI329" s="31">
        <v>19930</v>
      </c>
      <c r="AJ329" s="45">
        <f t="shared" si="147"/>
        <v>16.663879598662206</v>
      </c>
      <c r="AK329" s="31">
        <v>0</v>
      </c>
      <c r="AL329" s="31">
        <v>0</v>
      </c>
      <c r="AM329" s="31">
        <v>0</v>
      </c>
      <c r="AN329" s="31">
        <v>0</v>
      </c>
      <c r="AO329" s="31">
        <v>13857</v>
      </c>
      <c r="AP329" s="31">
        <v>5492</v>
      </c>
      <c r="AQ329" s="31">
        <v>19349</v>
      </c>
      <c r="AR329" s="31">
        <v>39279</v>
      </c>
      <c r="AS329" s="46">
        <f t="shared" si="148"/>
        <v>32.841973244147155</v>
      </c>
      <c r="AT329" s="31">
        <v>0</v>
      </c>
      <c r="AU329" s="31">
        <v>0</v>
      </c>
      <c r="AV329" s="31">
        <v>0</v>
      </c>
      <c r="AW329" s="31">
        <v>0</v>
      </c>
      <c r="AX329" s="31">
        <v>0</v>
      </c>
      <c r="AY329" s="31">
        <v>0</v>
      </c>
      <c r="AZ329" s="31">
        <v>0</v>
      </c>
      <c r="BA329" s="31">
        <v>0</v>
      </c>
      <c r="BB329" s="31">
        <v>0</v>
      </c>
      <c r="BC329" s="33" t="s">
        <v>25</v>
      </c>
      <c r="BD329" s="47">
        <v>10368</v>
      </c>
      <c r="BE329" s="47">
        <v>10493</v>
      </c>
      <c r="BF329" s="45">
        <f t="shared" si="149"/>
        <v>8.773411371237458</v>
      </c>
      <c r="BG329" s="30">
        <v>280</v>
      </c>
      <c r="BH329" s="30">
        <v>282</v>
      </c>
      <c r="BI329" s="30">
        <v>0</v>
      </c>
      <c r="BJ329" s="30">
        <v>1140</v>
      </c>
      <c r="BK329" s="30">
        <v>1155</v>
      </c>
      <c r="BL329" s="30">
        <v>0</v>
      </c>
      <c r="BM329" s="30">
        <v>0</v>
      </c>
      <c r="BN329" s="30">
        <v>0</v>
      </c>
      <c r="BO329" s="30">
        <v>51</v>
      </c>
      <c r="BP329" s="30">
        <v>0</v>
      </c>
      <c r="BQ329" s="30">
        <v>51</v>
      </c>
      <c r="BR329" s="47">
        <v>11788</v>
      </c>
      <c r="BS329" s="47">
        <v>11930</v>
      </c>
      <c r="BT329" s="1">
        <f t="shared" si="150"/>
        <v>9.9749163879598655</v>
      </c>
      <c r="BU329" s="30">
        <v>5</v>
      </c>
      <c r="BV329" s="30">
        <v>0</v>
      </c>
      <c r="BW329" s="47">
        <v>925</v>
      </c>
      <c r="BX329" s="52">
        <f t="shared" si="151"/>
        <v>0.77341137123745818</v>
      </c>
      <c r="BY329" s="47">
        <v>1370</v>
      </c>
      <c r="BZ329" s="47">
        <v>0</v>
      </c>
      <c r="CA329" s="47">
        <v>6037</v>
      </c>
      <c r="CB329" s="47">
        <v>0</v>
      </c>
      <c r="CC329" s="47">
        <v>7407</v>
      </c>
      <c r="CD329" s="55">
        <f t="shared" si="152"/>
        <v>6.1931438127090299</v>
      </c>
      <c r="CE329" s="3">
        <f t="shared" si="153"/>
        <v>9876</v>
      </c>
      <c r="CF329" s="55">
        <f t="shared" si="154"/>
        <v>6.1931438127090299</v>
      </c>
      <c r="CG329" s="55">
        <f t="shared" si="155"/>
        <v>1.0271806961586465</v>
      </c>
      <c r="CH329" s="55">
        <f t="shared" si="156"/>
        <v>0.62087175188600163</v>
      </c>
      <c r="CI329" s="30">
        <v>6</v>
      </c>
      <c r="CJ329" s="30">
        <v>2</v>
      </c>
      <c r="CK329" s="30">
        <v>5</v>
      </c>
      <c r="CL329" s="30">
        <v>13</v>
      </c>
      <c r="CM329" s="30">
        <v>338</v>
      </c>
      <c r="CN329" s="30">
        <v>48</v>
      </c>
      <c r="CO329" s="30">
        <v>62</v>
      </c>
      <c r="CP329" s="30">
        <v>448</v>
      </c>
      <c r="CQ329" s="1">
        <f t="shared" si="164"/>
        <v>0.37458193979933108</v>
      </c>
      <c r="CR329" s="47">
        <v>7211</v>
      </c>
      <c r="CS329" s="55">
        <f t="shared" si="157"/>
        <v>6.0292642140468224</v>
      </c>
      <c r="CT329" s="59">
        <v>989</v>
      </c>
      <c r="CU329" s="29" t="s">
        <v>25</v>
      </c>
      <c r="CV329" s="29" t="s">
        <v>25</v>
      </c>
      <c r="CW329" s="29" t="s">
        <v>25</v>
      </c>
      <c r="CX329" s="35">
        <v>0</v>
      </c>
      <c r="CY329" s="49">
        <v>0</v>
      </c>
      <c r="CZ329" s="35">
        <v>0.75</v>
      </c>
      <c r="DA329" s="35">
        <v>0</v>
      </c>
      <c r="DB329" s="35">
        <v>0.75</v>
      </c>
      <c r="DC329" s="49">
        <f t="shared" si="158"/>
        <v>1594.6666666666667</v>
      </c>
      <c r="DD329" s="30">
        <v>156</v>
      </c>
      <c r="DE329" s="31">
        <v>14430</v>
      </c>
      <c r="DF329" s="35">
        <v>30</v>
      </c>
      <c r="DG329" s="29" t="s">
        <v>25</v>
      </c>
      <c r="DH329" s="29" t="s">
        <v>25</v>
      </c>
      <c r="DI329" s="29" t="s">
        <v>25</v>
      </c>
      <c r="DJ329" s="47">
        <v>0</v>
      </c>
      <c r="DK329" s="47">
        <v>0</v>
      </c>
      <c r="DL329" s="47">
        <v>8</v>
      </c>
      <c r="DM329" s="47">
        <v>1204</v>
      </c>
      <c r="DN329" s="47">
        <v>55</v>
      </c>
      <c r="DO329" s="47">
        <v>260</v>
      </c>
      <c r="DP329" s="29" t="s">
        <v>2028</v>
      </c>
      <c r="DQ329" s="47">
        <v>0</v>
      </c>
      <c r="DR329" s="47">
        <v>1196</v>
      </c>
      <c r="DS329" s="30">
        <v>52</v>
      </c>
      <c r="DT329" s="30">
        <v>23</v>
      </c>
      <c r="DU329" s="30">
        <v>23</v>
      </c>
      <c r="DV329" s="30">
        <v>23</v>
      </c>
      <c r="DX329" s="2">
        <f t="shared" si="159"/>
        <v>1196</v>
      </c>
      <c r="DY329" s="33" t="s">
        <v>2178</v>
      </c>
      <c r="DZ329" s="33" t="s">
        <v>882</v>
      </c>
      <c r="EA329" s="33" t="s">
        <v>2031</v>
      </c>
      <c r="EB329" s="33" t="s">
        <v>2027</v>
      </c>
      <c r="EC329" s="36">
        <v>251</v>
      </c>
      <c r="ED329" s="29" t="s">
        <v>880</v>
      </c>
      <c r="EE329" s="29" t="s">
        <v>881</v>
      </c>
      <c r="EF329" s="37">
        <v>41548</v>
      </c>
      <c r="EG329" s="37">
        <v>41912</v>
      </c>
      <c r="EH329" s="29" t="s">
        <v>880</v>
      </c>
      <c r="EI329" s="55">
        <f t="shared" si="160"/>
        <v>1.1454849498327759</v>
      </c>
      <c r="EJ329" s="54">
        <f t="shared" si="161"/>
        <v>0</v>
      </c>
      <c r="EK329" s="55">
        <f t="shared" si="162"/>
        <v>5.0476588628762542</v>
      </c>
      <c r="EL329" s="54">
        <f t="shared" si="163"/>
        <v>0</v>
      </c>
    </row>
    <row r="330" spans="1:142" ht="28.8" x14ac:dyDescent="0.3">
      <c r="A330" s="29" t="s">
        <v>74</v>
      </c>
      <c r="B330" s="29"/>
      <c r="C330" s="30">
        <v>6741</v>
      </c>
      <c r="D330" s="30">
        <v>0</v>
      </c>
      <c r="E330" s="30">
        <v>0</v>
      </c>
      <c r="F330" s="30">
        <v>2501</v>
      </c>
      <c r="H330" s="2">
        <f t="shared" si="139"/>
        <v>2501</v>
      </c>
      <c r="I330" s="1">
        <f t="shared" si="138"/>
        <v>0.37101320278890371</v>
      </c>
      <c r="J330" s="31">
        <v>25686</v>
      </c>
      <c r="K330" s="31">
        <v>4030</v>
      </c>
      <c r="L330" s="31">
        <v>29716</v>
      </c>
      <c r="M330" s="45">
        <f t="shared" si="140"/>
        <v>4.4082480344162587</v>
      </c>
      <c r="N330" s="31">
        <v>3535</v>
      </c>
      <c r="O330" s="31">
        <v>0</v>
      </c>
      <c r="P330" s="31">
        <v>0</v>
      </c>
      <c r="Q330" s="31">
        <v>3535</v>
      </c>
      <c r="R330" s="45">
        <f t="shared" si="141"/>
        <v>0.5244029075804777</v>
      </c>
      <c r="S330" s="31">
        <v>31461</v>
      </c>
      <c r="T330" s="31">
        <v>64712</v>
      </c>
      <c r="U330" s="31">
        <v>0</v>
      </c>
      <c r="V330" s="31">
        <v>64712</v>
      </c>
      <c r="W330" s="45">
        <f t="shared" si="142"/>
        <v>9.5997626464916177</v>
      </c>
      <c r="X330" s="4">
        <f t="shared" si="143"/>
        <v>0.45920385708987516</v>
      </c>
      <c r="Y330" s="4">
        <f t="shared" si="144"/>
        <v>5.4626653480034613E-2</v>
      </c>
      <c r="Z330" s="4">
        <f t="shared" si="145"/>
        <v>0.48616948943009025</v>
      </c>
      <c r="AA330" s="4">
        <f t="shared" si="146"/>
        <v>0</v>
      </c>
      <c r="AB330" s="31">
        <v>763</v>
      </c>
      <c r="AC330" s="31">
        <v>3535</v>
      </c>
      <c r="AD330" s="31">
        <v>62861</v>
      </c>
      <c r="AE330" s="31">
        <v>25000</v>
      </c>
      <c r="AF330" s="31">
        <v>24000</v>
      </c>
      <c r="AG330" s="31">
        <v>1000</v>
      </c>
      <c r="AH330" s="31">
        <v>0</v>
      </c>
      <c r="AI330" s="31">
        <v>25000</v>
      </c>
      <c r="AJ330" s="45">
        <f t="shared" si="147"/>
        <v>3.7086485684616526</v>
      </c>
      <c r="AK330" s="31">
        <v>0</v>
      </c>
      <c r="AL330" s="31">
        <v>0</v>
      </c>
      <c r="AM330" s="31">
        <v>0</v>
      </c>
      <c r="AN330" s="31">
        <v>0</v>
      </c>
      <c r="AO330" s="31">
        <v>13000</v>
      </c>
      <c r="AP330" s="31">
        <v>36792</v>
      </c>
      <c r="AQ330" s="31">
        <v>49792</v>
      </c>
      <c r="AR330" s="31">
        <v>74792</v>
      </c>
      <c r="AS330" s="46">
        <f t="shared" si="148"/>
        <v>11.095089749295356</v>
      </c>
      <c r="AT330" s="31">
        <v>0</v>
      </c>
      <c r="AU330" s="31">
        <v>0</v>
      </c>
      <c r="AV330" s="31">
        <v>0</v>
      </c>
      <c r="AW330" s="31">
        <v>0</v>
      </c>
      <c r="AX330" s="31">
        <v>0</v>
      </c>
      <c r="AY330" s="31">
        <v>0</v>
      </c>
      <c r="AZ330" s="31">
        <v>0</v>
      </c>
      <c r="BA330" s="31">
        <v>0</v>
      </c>
      <c r="BB330" s="31">
        <v>0</v>
      </c>
      <c r="BC330" s="33" t="s">
        <v>25</v>
      </c>
      <c r="BD330" s="47">
        <v>17319</v>
      </c>
      <c r="BE330" s="47">
        <v>17856</v>
      </c>
      <c r="BF330" s="45">
        <f t="shared" si="149"/>
        <v>2.6488651535380505</v>
      </c>
      <c r="BG330" s="30">
        <v>54</v>
      </c>
      <c r="BH330" s="30">
        <v>56</v>
      </c>
      <c r="BI330" s="30">
        <v>0</v>
      </c>
      <c r="BJ330" s="30">
        <v>358</v>
      </c>
      <c r="BK330" s="30">
        <v>362</v>
      </c>
      <c r="BL330" s="30">
        <v>0</v>
      </c>
      <c r="BM330" s="30">
        <v>0</v>
      </c>
      <c r="BN330" s="30">
        <v>0</v>
      </c>
      <c r="BO330" s="30">
        <v>51</v>
      </c>
      <c r="BP330" s="30">
        <v>0</v>
      </c>
      <c r="BQ330" s="30">
        <v>51</v>
      </c>
      <c r="BR330" s="47">
        <v>17731</v>
      </c>
      <c r="BS330" s="47">
        <v>18274</v>
      </c>
      <c r="BT330" s="1">
        <f t="shared" si="150"/>
        <v>2.7108737576027298</v>
      </c>
      <c r="BU330" s="30">
        <v>12</v>
      </c>
      <c r="BV330" s="30">
        <v>0</v>
      </c>
      <c r="BW330" s="47">
        <v>1902</v>
      </c>
      <c r="BX330" s="52">
        <f t="shared" si="151"/>
        <v>0.28215398308856254</v>
      </c>
      <c r="BY330" s="47">
        <v>2334</v>
      </c>
      <c r="BZ330" s="47">
        <v>0</v>
      </c>
      <c r="CA330" s="47">
        <v>4276</v>
      </c>
      <c r="CB330" s="47">
        <v>0</v>
      </c>
      <c r="CC330" s="47">
        <v>6610</v>
      </c>
      <c r="CD330" s="55">
        <f t="shared" si="152"/>
        <v>0.98056668150126092</v>
      </c>
      <c r="CE330" s="3">
        <f t="shared" si="153"/>
        <v>3147.6190476190477</v>
      </c>
      <c r="CF330" s="55">
        <f t="shared" si="154"/>
        <v>4.1055900621118013</v>
      </c>
      <c r="CG330" s="55">
        <f t="shared" si="155"/>
        <v>0.45119453924914676</v>
      </c>
      <c r="CH330" s="55">
        <f t="shared" si="156"/>
        <v>0.36171609937616284</v>
      </c>
      <c r="CI330" s="30">
        <v>62</v>
      </c>
      <c r="CJ330" s="30">
        <v>17</v>
      </c>
      <c r="CK330" s="30">
        <v>18</v>
      </c>
      <c r="CL330" s="30">
        <v>97</v>
      </c>
      <c r="CM330" s="30">
        <v>1664</v>
      </c>
      <c r="CN330" s="30">
        <v>88</v>
      </c>
      <c r="CO330" s="30">
        <v>698</v>
      </c>
      <c r="CP330" s="30">
        <v>2450</v>
      </c>
      <c r="CQ330" s="1">
        <f t="shared" si="164"/>
        <v>0.36344755970924197</v>
      </c>
      <c r="CR330" s="47">
        <v>14650</v>
      </c>
      <c r="CS330" s="55">
        <f t="shared" si="157"/>
        <v>2.1732680611185282</v>
      </c>
      <c r="CT330" s="59">
        <v>6179</v>
      </c>
      <c r="CU330" s="29" t="s">
        <v>25</v>
      </c>
      <c r="CV330" s="29" t="s">
        <v>25</v>
      </c>
      <c r="CW330" s="29" t="s">
        <v>25</v>
      </c>
      <c r="CX330" s="35">
        <v>0</v>
      </c>
      <c r="CY330" s="49">
        <v>0</v>
      </c>
      <c r="CZ330" s="35">
        <v>0.6</v>
      </c>
      <c r="DA330" s="35">
        <v>1.5</v>
      </c>
      <c r="DB330" s="35">
        <v>2.1</v>
      </c>
      <c r="DC330" s="49">
        <f t="shared" si="158"/>
        <v>3210</v>
      </c>
      <c r="DD330" s="30">
        <v>1005</v>
      </c>
      <c r="DE330" s="31">
        <v>10770</v>
      </c>
      <c r="DF330" s="35">
        <v>24</v>
      </c>
      <c r="DG330" s="29" t="s">
        <v>25</v>
      </c>
      <c r="DH330" s="29" t="s">
        <v>25</v>
      </c>
      <c r="DI330" s="29" t="s">
        <v>25</v>
      </c>
      <c r="DJ330" s="47">
        <v>12</v>
      </c>
      <c r="DK330" s="47">
        <v>5</v>
      </c>
      <c r="DL330" s="47">
        <v>15</v>
      </c>
      <c r="DM330" s="47">
        <v>3001</v>
      </c>
      <c r="DN330" s="47">
        <v>280</v>
      </c>
      <c r="DO330" s="47">
        <v>346</v>
      </c>
      <c r="DP330" s="29" t="s">
        <v>83</v>
      </c>
      <c r="DQ330" s="47">
        <v>0</v>
      </c>
      <c r="DR330" s="47">
        <v>1610</v>
      </c>
      <c r="DS330" s="30">
        <v>52</v>
      </c>
      <c r="DT330" s="30">
        <v>32</v>
      </c>
      <c r="DU330" s="30">
        <v>32</v>
      </c>
      <c r="DV330" s="30">
        <v>32</v>
      </c>
      <c r="DX330" s="2">
        <f t="shared" si="159"/>
        <v>1610</v>
      </c>
      <c r="DY330" s="33" t="s">
        <v>2180</v>
      </c>
      <c r="DZ330" s="33" t="s">
        <v>884</v>
      </c>
      <c r="EA330" s="33" t="s">
        <v>2032</v>
      </c>
      <c r="EB330" s="33" t="s">
        <v>2027</v>
      </c>
      <c r="EC330" s="36">
        <v>252</v>
      </c>
      <c r="ED330" s="29" t="s">
        <v>883</v>
      </c>
      <c r="EE330" s="29" t="s">
        <v>81</v>
      </c>
      <c r="EF330" s="37">
        <v>41640</v>
      </c>
      <c r="EG330" s="37">
        <v>42004</v>
      </c>
      <c r="EH330" s="29" t="s">
        <v>883</v>
      </c>
      <c r="EI330" s="55">
        <f t="shared" si="160"/>
        <v>0.34623943035157989</v>
      </c>
      <c r="EJ330" s="54">
        <f t="shared" si="161"/>
        <v>0</v>
      </c>
      <c r="EK330" s="55">
        <f t="shared" si="162"/>
        <v>0.63432725114968103</v>
      </c>
      <c r="EL330" s="54">
        <f t="shared" si="163"/>
        <v>0</v>
      </c>
    </row>
    <row r="331" spans="1:142" ht="28.8" x14ac:dyDescent="0.3">
      <c r="A331" s="29" t="s">
        <v>1525</v>
      </c>
      <c r="B331" s="29"/>
      <c r="C331" s="30">
        <v>1060</v>
      </c>
      <c r="D331" s="30">
        <v>0</v>
      </c>
      <c r="E331" s="30">
        <v>0</v>
      </c>
      <c r="F331" s="30">
        <v>2070</v>
      </c>
      <c r="H331" s="2">
        <f t="shared" si="139"/>
        <v>2070</v>
      </c>
      <c r="I331" s="1">
        <f t="shared" si="138"/>
        <v>1.9528301886792452</v>
      </c>
      <c r="J331" s="31">
        <v>8067</v>
      </c>
      <c r="K331" s="31">
        <v>1074</v>
      </c>
      <c r="L331" s="31">
        <v>9141</v>
      </c>
      <c r="M331" s="45">
        <f t="shared" si="140"/>
        <v>8.6235849056603779</v>
      </c>
      <c r="N331" s="31">
        <v>265</v>
      </c>
      <c r="O331" s="31">
        <v>0</v>
      </c>
      <c r="P331" s="31">
        <v>0</v>
      </c>
      <c r="Q331" s="31">
        <v>265</v>
      </c>
      <c r="R331" s="45">
        <f t="shared" si="141"/>
        <v>0.25</v>
      </c>
      <c r="S331" s="31">
        <v>5195</v>
      </c>
      <c r="T331" s="31">
        <v>14601</v>
      </c>
      <c r="U331" s="31">
        <v>0</v>
      </c>
      <c r="V331" s="31">
        <v>14601</v>
      </c>
      <c r="W331" s="45">
        <f t="shared" si="142"/>
        <v>13.774528301886793</v>
      </c>
      <c r="X331" s="4">
        <f t="shared" si="143"/>
        <v>0.62605301006780356</v>
      </c>
      <c r="Y331" s="4">
        <f t="shared" si="144"/>
        <v>1.814944181905349E-2</v>
      </c>
      <c r="Z331" s="4">
        <f t="shared" si="145"/>
        <v>0.35579754811314296</v>
      </c>
      <c r="AA331" s="4">
        <f t="shared" si="146"/>
        <v>0</v>
      </c>
      <c r="AB331" s="31">
        <v>0</v>
      </c>
      <c r="AC331" s="31">
        <v>265</v>
      </c>
      <c r="AD331" s="31">
        <v>14601</v>
      </c>
      <c r="AE331" s="31">
        <v>14336</v>
      </c>
      <c r="AF331" s="31">
        <v>14336</v>
      </c>
      <c r="AG331" s="31">
        <v>0</v>
      </c>
      <c r="AH331" s="31">
        <v>0</v>
      </c>
      <c r="AI331" s="31">
        <v>14336</v>
      </c>
      <c r="AJ331" s="45">
        <f t="shared" si="147"/>
        <v>13.524528301886793</v>
      </c>
      <c r="AK331" s="31">
        <v>0</v>
      </c>
      <c r="AL331" s="31">
        <v>0</v>
      </c>
      <c r="AM331" s="31">
        <v>0</v>
      </c>
      <c r="AN331" s="31">
        <v>0</v>
      </c>
      <c r="AO331" s="31">
        <v>0</v>
      </c>
      <c r="AP331" s="31">
        <v>432</v>
      </c>
      <c r="AQ331" s="31">
        <v>432</v>
      </c>
      <c r="AR331" s="31">
        <v>14768</v>
      </c>
      <c r="AS331" s="46">
        <f t="shared" si="148"/>
        <v>13.932075471698113</v>
      </c>
      <c r="AT331" s="31">
        <v>0</v>
      </c>
      <c r="AU331" s="31">
        <v>0</v>
      </c>
      <c r="AV331" s="31">
        <v>0</v>
      </c>
      <c r="AW331" s="31">
        <v>0</v>
      </c>
      <c r="AX331" s="31">
        <v>0</v>
      </c>
      <c r="AY331" s="31">
        <v>0</v>
      </c>
      <c r="AZ331" s="31">
        <v>0</v>
      </c>
      <c r="BA331" s="31">
        <v>0</v>
      </c>
      <c r="BB331" s="31">
        <v>0</v>
      </c>
      <c r="BC331" s="33" t="s">
        <v>25</v>
      </c>
      <c r="BD331" s="47">
        <v>11482</v>
      </c>
      <c r="BE331" s="47">
        <v>12994</v>
      </c>
      <c r="BF331" s="45">
        <f t="shared" si="149"/>
        <v>12.258490566037736</v>
      </c>
      <c r="BG331" s="30">
        <v>50</v>
      </c>
      <c r="BH331" s="30">
        <v>50</v>
      </c>
      <c r="BI331" s="30">
        <v>0</v>
      </c>
      <c r="BJ331" s="30">
        <v>190</v>
      </c>
      <c r="BK331" s="30">
        <v>190</v>
      </c>
      <c r="BL331" s="30">
        <v>0</v>
      </c>
      <c r="BM331" s="30">
        <v>0</v>
      </c>
      <c r="BN331" s="30">
        <v>0</v>
      </c>
      <c r="BO331" s="30">
        <v>51</v>
      </c>
      <c r="BP331" s="30">
        <v>1</v>
      </c>
      <c r="BQ331" s="30">
        <v>52</v>
      </c>
      <c r="BR331" s="47">
        <v>11722</v>
      </c>
      <c r="BS331" s="47">
        <v>13234</v>
      </c>
      <c r="BT331" s="1">
        <f t="shared" si="150"/>
        <v>12.484905660377358</v>
      </c>
      <c r="BU331" s="30">
        <v>6</v>
      </c>
      <c r="BV331" s="30">
        <v>0</v>
      </c>
      <c r="BW331" s="47">
        <v>2375</v>
      </c>
      <c r="BX331" s="52">
        <f t="shared" si="151"/>
        <v>2.2405660377358489</v>
      </c>
      <c r="BY331" s="47">
        <v>623</v>
      </c>
      <c r="BZ331" s="47">
        <v>0</v>
      </c>
      <c r="CA331" s="47">
        <v>3886</v>
      </c>
      <c r="CB331" s="47">
        <v>0</v>
      </c>
      <c r="CC331" s="47">
        <v>4509</v>
      </c>
      <c r="CD331" s="55">
        <f t="shared" si="152"/>
        <v>4.2537735849056606</v>
      </c>
      <c r="CE331" s="3">
        <f t="shared" si="153"/>
        <v>9018</v>
      </c>
      <c r="CF331" s="55">
        <f t="shared" si="154"/>
        <v>2.8234189104571072</v>
      </c>
      <c r="CG331" s="55">
        <f t="shared" si="155"/>
        <v>1.0684834123222748</v>
      </c>
      <c r="CH331" s="55">
        <f t="shared" si="156"/>
        <v>0.34071331419072087</v>
      </c>
      <c r="CI331" s="30">
        <v>25</v>
      </c>
      <c r="CJ331" s="30">
        <v>0</v>
      </c>
      <c r="CK331" s="30">
        <v>54</v>
      </c>
      <c r="CL331" s="30">
        <v>79</v>
      </c>
      <c r="CM331" s="30">
        <v>237</v>
      </c>
      <c r="CN331" s="30">
        <v>0</v>
      </c>
      <c r="CO331" s="30">
        <v>704</v>
      </c>
      <c r="CP331" s="30">
        <v>941</v>
      </c>
      <c r="CQ331" s="1">
        <f t="shared" si="164"/>
        <v>0.88773584905660374</v>
      </c>
      <c r="CR331" s="47">
        <v>4220</v>
      </c>
      <c r="CS331" s="55">
        <f t="shared" si="157"/>
        <v>3.9811320754716979</v>
      </c>
      <c r="CT331" s="59">
        <v>1386</v>
      </c>
      <c r="CU331" s="29" t="s">
        <v>25</v>
      </c>
      <c r="CV331" s="29" t="s">
        <v>25</v>
      </c>
      <c r="CW331" s="29" t="s">
        <v>25</v>
      </c>
      <c r="CX331" s="35">
        <v>0</v>
      </c>
      <c r="CY331" s="49">
        <v>0</v>
      </c>
      <c r="CZ331" s="35">
        <v>0.5</v>
      </c>
      <c r="DA331" s="35">
        <v>0</v>
      </c>
      <c r="DB331" s="35">
        <v>0.5</v>
      </c>
      <c r="DC331" s="49">
        <f t="shared" si="158"/>
        <v>2120</v>
      </c>
      <c r="DD331" s="30">
        <v>1570</v>
      </c>
      <c r="DE331" s="31">
        <v>8067</v>
      </c>
      <c r="DF331" s="35">
        <v>20</v>
      </c>
      <c r="DG331" s="29" t="s">
        <v>25</v>
      </c>
      <c r="DH331" s="29" t="s">
        <v>26</v>
      </c>
      <c r="DI331" s="29" t="s">
        <v>26</v>
      </c>
      <c r="DJ331" s="47">
        <v>0</v>
      </c>
      <c r="DK331" s="47">
        <v>0</v>
      </c>
      <c r="DL331" s="47">
        <v>4</v>
      </c>
      <c r="DM331" s="47">
        <v>1110</v>
      </c>
      <c r="DN331" s="47">
        <v>124</v>
      </c>
      <c r="DO331" s="47">
        <v>2374</v>
      </c>
      <c r="DP331" s="29" t="s">
        <v>2028</v>
      </c>
      <c r="DQ331" s="47">
        <v>0</v>
      </c>
      <c r="DR331" s="47">
        <v>1597</v>
      </c>
      <c r="DS331" s="30">
        <v>52</v>
      </c>
      <c r="DT331" s="30">
        <v>37</v>
      </c>
      <c r="DU331" s="30">
        <v>37</v>
      </c>
      <c r="DV331" s="30">
        <v>37</v>
      </c>
      <c r="DX331" s="2">
        <f t="shared" si="159"/>
        <v>1597</v>
      </c>
      <c r="DY331" s="33" t="s">
        <v>2182</v>
      </c>
      <c r="DZ331" s="33" t="s">
        <v>1527</v>
      </c>
      <c r="EA331" s="33" t="s">
        <v>2030</v>
      </c>
      <c r="EB331" s="33" t="s">
        <v>2027</v>
      </c>
      <c r="EC331" s="36">
        <v>491</v>
      </c>
      <c r="ED331" s="29" t="s">
        <v>1526</v>
      </c>
      <c r="EE331" s="29" t="s">
        <v>186</v>
      </c>
      <c r="EF331" s="37">
        <v>41365</v>
      </c>
      <c r="EG331" s="37">
        <v>41729</v>
      </c>
      <c r="EH331" s="29" t="s">
        <v>1526</v>
      </c>
      <c r="EI331" s="55">
        <f t="shared" si="160"/>
        <v>0.58773584905660381</v>
      </c>
      <c r="EJ331" s="54">
        <f t="shared" si="161"/>
        <v>0</v>
      </c>
      <c r="EK331" s="55">
        <f t="shared" si="162"/>
        <v>3.6660377358490566</v>
      </c>
      <c r="EL331" s="54">
        <f t="shared" si="163"/>
        <v>0</v>
      </c>
    </row>
    <row r="332" spans="1:142" ht="28.8" x14ac:dyDescent="0.3">
      <c r="A332" s="29" t="s">
        <v>885</v>
      </c>
      <c r="B332" s="29"/>
      <c r="C332" s="30">
        <v>212312</v>
      </c>
      <c r="D332" s="30">
        <v>2</v>
      </c>
      <c r="E332" s="30">
        <v>0</v>
      </c>
      <c r="F332" s="30">
        <v>123000</v>
      </c>
      <c r="G332">
        <v>22000</v>
      </c>
      <c r="H332" s="2">
        <f t="shared" si="139"/>
        <v>145000</v>
      </c>
      <c r="I332" s="1">
        <f t="shared" si="138"/>
        <v>0.68295715739100948</v>
      </c>
      <c r="J332" s="31">
        <v>2313683</v>
      </c>
      <c r="K332" s="31">
        <v>565443</v>
      </c>
      <c r="L332" s="31">
        <v>2879126</v>
      </c>
      <c r="M332" s="45">
        <f t="shared" si="140"/>
        <v>13.560825577452052</v>
      </c>
      <c r="N332" s="31">
        <v>171247</v>
      </c>
      <c r="O332" s="31">
        <v>76929</v>
      </c>
      <c r="P332" s="31">
        <v>36495</v>
      </c>
      <c r="Q332" s="31">
        <v>284671</v>
      </c>
      <c r="R332" s="45">
        <f t="shared" si="141"/>
        <v>1.3408144617355591</v>
      </c>
      <c r="S332" s="31">
        <v>943705</v>
      </c>
      <c r="T332" s="31">
        <v>4107502</v>
      </c>
      <c r="U332" s="31">
        <v>0</v>
      </c>
      <c r="V332" s="31">
        <v>4107502</v>
      </c>
      <c r="W332" s="45">
        <f t="shared" si="142"/>
        <v>19.34653717170956</v>
      </c>
      <c r="X332" s="4">
        <f t="shared" si="143"/>
        <v>0.70094329838427349</v>
      </c>
      <c r="Y332" s="4">
        <f t="shared" si="144"/>
        <v>6.9305139717521738E-2</v>
      </c>
      <c r="Z332" s="4">
        <f t="shared" si="145"/>
        <v>0.22975156189820481</v>
      </c>
      <c r="AA332" s="4">
        <f t="shared" si="146"/>
        <v>0</v>
      </c>
      <c r="AB332" s="31">
        <v>0</v>
      </c>
      <c r="AC332" s="31">
        <v>284671</v>
      </c>
      <c r="AD332" s="31">
        <v>4107502</v>
      </c>
      <c r="AE332" s="31">
        <v>4107502</v>
      </c>
      <c r="AF332" s="31">
        <v>4137445</v>
      </c>
      <c r="AG332" s="31">
        <v>14481</v>
      </c>
      <c r="AH332" s="31">
        <v>0</v>
      </c>
      <c r="AI332" s="31">
        <v>4151926</v>
      </c>
      <c r="AJ332" s="45">
        <f t="shared" si="147"/>
        <v>19.555776404536719</v>
      </c>
      <c r="AK332" s="31">
        <v>0</v>
      </c>
      <c r="AL332" s="31">
        <v>0</v>
      </c>
      <c r="AM332" s="31">
        <v>0</v>
      </c>
      <c r="AN332" s="31">
        <v>0</v>
      </c>
      <c r="AO332" s="31">
        <v>0</v>
      </c>
      <c r="AP332" s="31">
        <v>26050</v>
      </c>
      <c r="AQ332" s="31">
        <v>26050</v>
      </c>
      <c r="AR332" s="31">
        <v>4177976</v>
      </c>
      <c r="AS332" s="46">
        <f t="shared" si="148"/>
        <v>19.678473190399036</v>
      </c>
      <c r="AT332" s="31">
        <v>0</v>
      </c>
      <c r="AU332" s="31">
        <v>0</v>
      </c>
      <c r="AV332" s="31">
        <v>0</v>
      </c>
      <c r="AW332" s="31">
        <v>0</v>
      </c>
      <c r="AX332" s="31">
        <v>0</v>
      </c>
      <c r="AY332" s="31">
        <v>0</v>
      </c>
      <c r="AZ332" s="31">
        <v>0</v>
      </c>
      <c r="BA332" s="31">
        <v>0</v>
      </c>
      <c r="BB332" s="31">
        <v>0</v>
      </c>
      <c r="BC332" s="33" t="s">
        <v>25</v>
      </c>
      <c r="BD332" s="47">
        <v>249125</v>
      </c>
      <c r="BE332" s="47">
        <v>320011</v>
      </c>
      <c r="BF332" s="45">
        <f t="shared" si="149"/>
        <v>1.5072676061645125</v>
      </c>
      <c r="BG332" s="30">
        <v>7150</v>
      </c>
      <c r="BH332" s="30">
        <v>7559</v>
      </c>
      <c r="BI332" s="30">
        <v>2211</v>
      </c>
      <c r="BJ332" s="30">
        <v>10271</v>
      </c>
      <c r="BK332" s="30">
        <v>10857</v>
      </c>
      <c r="BL332" s="30">
        <v>0</v>
      </c>
      <c r="BM332" s="30">
        <v>46857</v>
      </c>
      <c r="BN332" s="30">
        <v>4</v>
      </c>
      <c r="BO332" s="30">
        <v>51</v>
      </c>
      <c r="BP332" s="30">
        <v>0</v>
      </c>
      <c r="BQ332" s="30">
        <v>55</v>
      </c>
      <c r="BR332" s="47">
        <v>266546</v>
      </c>
      <c r="BS332" s="47">
        <v>387499</v>
      </c>
      <c r="BT332" s="1">
        <f t="shared" si="150"/>
        <v>1.8251394174610951</v>
      </c>
      <c r="BU332" s="30">
        <v>234</v>
      </c>
      <c r="BV332" s="30">
        <v>0</v>
      </c>
      <c r="BW332" s="47">
        <v>66455</v>
      </c>
      <c r="BX332" s="52">
        <f t="shared" si="151"/>
        <v>0.31300633030634162</v>
      </c>
      <c r="BY332" s="47">
        <v>218535</v>
      </c>
      <c r="BZ332" s="47">
        <v>2011</v>
      </c>
      <c r="CA332" s="47">
        <v>261777</v>
      </c>
      <c r="CB332" s="47">
        <v>17247</v>
      </c>
      <c r="CC332" s="47">
        <v>499570</v>
      </c>
      <c r="CD332" s="55">
        <f t="shared" si="152"/>
        <v>2.3529993594332868</v>
      </c>
      <c r="CE332" s="3">
        <f t="shared" si="153"/>
        <v>6824.7267759562837</v>
      </c>
      <c r="CF332" s="55">
        <f t="shared" si="154"/>
        <v>48.174541947926713</v>
      </c>
      <c r="CG332" s="55">
        <f t="shared" si="155"/>
        <v>0.56696579048016804</v>
      </c>
      <c r="CH332" s="55">
        <f t="shared" si="156"/>
        <v>1.2395180374659032</v>
      </c>
      <c r="CI332" s="30">
        <v>833</v>
      </c>
      <c r="CJ332" s="30">
        <v>429</v>
      </c>
      <c r="CK332" s="30">
        <v>541</v>
      </c>
      <c r="CL332" s="30">
        <v>1803</v>
      </c>
      <c r="CM332" s="30">
        <v>25827</v>
      </c>
      <c r="CN332" s="30">
        <v>5433</v>
      </c>
      <c r="CO332" s="30">
        <v>4537</v>
      </c>
      <c r="CP332" s="30">
        <v>35797</v>
      </c>
      <c r="CQ332" s="1">
        <f t="shared" si="164"/>
        <v>0.16860563698707562</v>
      </c>
      <c r="CR332" s="47">
        <v>881129</v>
      </c>
      <c r="CS332" s="55">
        <f t="shared" si="157"/>
        <v>4.1501610836881566</v>
      </c>
      <c r="CT332" s="59">
        <v>72174</v>
      </c>
      <c r="CU332" s="29" t="s">
        <v>25</v>
      </c>
      <c r="CV332" s="29" t="s">
        <v>25</v>
      </c>
      <c r="CW332" s="29" t="s">
        <v>25</v>
      </c>
      <c r="CX332" s="35">
        <v>16.475000000000001</v>
      </c>
      <c r="CY332" s="49">
        <f>C332/CX332</f>
        <v>12886.919575113807</v>
      </c>
      <c r="CZ332" s="35">
        <v>0</v>
      </c>
      <c r="DA332" s="35">
        <v>56.725000000000001</v>
      </c>
      <c r="DB332" s="35">
        <v>73.2</v>
      </c>
      <c r="DC332" s="49">
        <f t="shared" si="158"/>
        <v>2900.4371584699452</v>
      </c>
      <c r="DD332" s="30">
        <v>2394</v>
      </c>
      <c r="DE332" s="31">
        <v>86896</v>
      </c>
      <c r="DF332" s="35">
        <v>40</v>
      </c>
      <c r="DG332" s="29" t="s">
        <v>25</v>
      </c>
      <c r="DH332" s="29" t="s">
        <v>25</v>
      </c>
      <c r="DI332" s="29" t="s">
        <v>25</v>
      </c>
      <c r="DJ332" s="47">
        <v>2444</v>
      </c>
      <c r="DK332" s="47">
        <v>1861</v>
      </c>
      <c r="DL332" s="47">
        <v>285</v>
      </c>
      <c r="DM332" s="47">
        <v>247859</v>
      </c>
      <c r="DN332" s="47">
        <v>573</v>
      </c>
      <c r="DO332" s="47">
        <v>66516</v>
      </c>
      <c r="DP332" s="29" t="s">
        <v>25</v>
      </c>
      <c r="DQ332" s="47">
        <v>291413</v>
      </c>
      <c r="DR332" s="47">
        <v>3726</v>
      </c>
      <c r="DS332" s="30">
        <v>52</v>
      </c>
      <c r="DT332" s="30">
        <v>74</v>
      </c>
      <c r="DU332" s="30">
        <v>74</v>
      </c>
      <c r="DV332" s="30">
        <v>74</v>
      </c>
      <c r="DW332">
        <f>VLOOKUP(EC332,branch!$I$4:$K$77,3,0)</f>
        <v>6644</v>
      </c>
      <c r="DX332" s="2">
        <f t="shared" si="159"/>
        <v>10370</v>
      </c>
      <c r="DY332" s="33" t="s">
        <v>2180</v>
      </c>
      <c r="DZ332" s="33" t="s">
        <v>887</v>
      </c>
      <c r="EA332" s="33" t="s">
        <v>2030</v>
      </c>
      <c r="EB332" s="33" t="s">
        <v>2027</v>
      </c>
      <c r="EC332" s="36">
        <v>254</v>
      </c>
      <c r="ED332" s="29" t="s">
        <v>886</v>
      </c>
      <c r="EE332" s="29" t="s">
        <v>35</v>
      </c>
      <c r="EF332" s="37">
        <v>41548</v>
      </c>
      <c r="EG332" s="37">
        <v>41912</v>
      </c>
      <c r="EH332" s="29" t="s">
        <v>886</v>
      </c>
      <c r="EI332" s="55">
        <f t="shared" si="160"/>
        <v>1.0293106371754777</v>
      </c>
      <c r="EJ332" s="54">
        <f t="shared" si="161"/>
        <v>9.471909265609103E-3</v>
      </c>
      <c r="EK332" s="55">
        <f t="shared" si="162"/>
        <v>1.2329825916575605</v>
      </c>
      <c r="EL332" s="54">
        <f t="shared" si="163"/>
        <v>8.1234221334639589E-2</v>
      </c>
    </row>
    <row r="333" spans="1:142" ht="28.8" x14ac:dyDescent="0.3">
      <c r="A333" s="29" t="s">
        <v>888</v>
      </c>
      <c r="B333" s="29"/>
      <c r="C333" s="30">
        <v>1520</v>
      </c>
      <c r="D333" s="30">
        <v>0</v>
      </c>
      <c r="E333" s="30">
        <v>0</v>
      </c>
      <c r="F333" s="30">
        <v>2000</v>
      </c>
      <c r="H333" s="2">
        <f t="shared" si="139"/>
        <v>2000</v>
      </c>
      <c r="I333" s="1">
        <f t="shared" si="138"/>
        <v>1.3157894736842106</v>
      </c>
      <c r="J333" s="31">
        <v>62648</v>
      </c>
      <c r="K333" s="31">
        <v>5950</v>
      </c>
      <c r="L333" s="31">
        <v>68598</v>
      </c>
      <c r="M333" s="45">
        <f t="shared" si="140"/>
        <v>45.130263157894738</v>
      </c>
      <c r="N333" s="31">
        <v>10000</v>
      </c>
      <c r="O333" s="31">
        <v>0</v>
      </c>
      <c r="P333" s="31">
        <v>0</v>
      </c>
      <c r="Q333" s="31">
        <v>10000</v>
      </c>
      <c r="R333" s="45">
        <f t="shared" si="141"/>
        <v>6.5789473684210522</v>
      </c>
      <c r="S333" s="31">
        <v>4730</v>
      </c>
      <c r="T333" s="31">
        <v>83328</v>
      </c>
      <c r="U333" s="31">
        <v>0</v>
      </c>
      <c r="V333" s="31">
        <v>83328</v>
      </c>
      <c r="W333" s="45">
        <f t="shared" si="142"/>
        <v>54.821052631578951</v>
      </c>
      <c r="X333" s="4">
        <f t="shared" si="143"/>
        <v>0.82322868663594473</v>
      </c>
      <c r="Y333" s="4">
        <f t="shared" si="144"/>
        <v>0.12000768049155146</v>
      </c>
      <c r="Z333" s="4">
        <f t="shared" si="145"/>
        <v>5.6763632872503841E-2</v>
      </c>
      <c r="AA333" s="4">
        <f t="shared" si="146"/>
        <v>0</v>
      </c>
      <c r="AB333" s="31">
        <v>0</v>
      </c>
      <c r="AC333" s="31">
        <v>10000</v>
      </c>
      <c r="AD333" s="31">
        <v>83328</v>
      </c>
      <c r="AE333" s="31">
        <v>81157</v>
      </c>
      <c r="AF333" s="31">
        <v>0</v>
      </c>
      <c r="AG333" s="31">
        <v>81157</v>
      </c>
      <c r="AH333" s="31">
        <v>0</v>
      </c>
      <c r="AI333" s="31">
        <v>81157</v>
      </c>
      <c r="AJ333" s="45">
        <f t="shared" si="147"/>
        <v>53.392763157894734</v>
      </c>
      <c r="AK333" s="31">
        <v>0</v>
      </c>
      <c r="AL333" s="31">
        <v>0</v>
      </c>
      <c r="AM333" s="31">
        <v>0</v>
      </c>
      <c r="AN333" s="31">
        <v>0</v>
      </c>
      <c r="AO333" s="31">
        <v>0</v>
      </c>
      <c r="AP333" s="31">
        <v>2925</v>
      </c>
      <c r="AQ333" s="31">
        <v>2925</v>
      </c>
      <c r="AR333" s="31">
        <v>84082</v>
      </c>
      <c r="AS333" s="46">
        <f t="shared" si="148"/>
        <v>55.317105263157892</v>
      </c>
      <c r="AT333" s="31">
        <v>0</v>
      </c>
      <c r="AU333" s="31">
        <v>0</v>
      </c>
      <c r="AV333" s="31">
        <v>0</v>
      </c>
      <c r="AW333" s="31">
        <v>0</v>
      </c>
      <c r="AX333" s="31">
        <v>0</v>
      </c>
      <c r="AY333" s="31">
        <v>0</v>
      </c>
      <c r="AZ333" s="31">
        <v>0</v>
      </c>
      <c r="BA333" s="31">
        <v>0</v>
      </c>
      <c r="BB333" s="31">
        <v>0</v>
      </c>
      <c r="BC333" s="33" t="s">
        <v>25</v>
      </c>
      <c r="BD333" s="47">
        <v>17300</v>
      </c>
      <c r="BE333" s="47">
        <v>17629</v>
      </c>
      <c r="BF333" s="45">
        <f t="shared" si="149"/>
        <v>11.598026315789474</v>
      </c>
      <c r="BG333" s="30">
        <v>1290</v>
      </c>
      <c r="BH333" s="30">
        <v>1311</v>
      </c>
      <c r="BI333" s="30">
        <v>0</v>
      </c>
      <c r="BJ333" s="30">
        <v>0</v>
      </c>
      <c r="BK333" s="30">
        <v>0</v>
      </c>
      <c r="BL333" s="30">
        <v>0</v>
      </c>
      <c r="BM333" s="30">
        <v>0</v>
      </c>
      <c r="BN333" s="30">
        <v>0</v>
      </c>
      <c r="BO333" s="30">
        <v>51</v>
      </c>
      <c r="BP333" s="30">
        <v>0</v>
      </c>
      <c r="BQ333" s="30">
        <v>51</v>
      </c>
      <c r="BR333" s="47">
        <v>18590</v>
      </c>
      <c r="BS333" s="47">
        <v>18940</v>
      </c>
      <c r="BT333" s="1">
        <f t="shared" si="150"/>
        <v>12.460526315789474</v>
      </c>
      <c r="BU333" s="30">
        <v>45</v>
      </c>
      <c r="BV333" s="30">
        <v>0</v>
      </c>
      <c r="BW333" s="47">
        <v>3729</v>
      </c>
      <c r="BX333" s="52">
        <f t="shared" si="151"/>
        <v>2.4532894736842104</v>
      </c>
      <c r="BY333" s="47">
        <v>9600</v>
      </c>
      <c r="BZ333" s="47">
        <v>0</v>
      </c>
      <c r="CA333" s="47">
        <v>8845</v>
      </c>
      <c r="CB333" s="47">
        <v>0</v>
      </c>
      <c r="CC333" s="47">
        <v>18445</v>
      </c>
      <c r="CD333" s="55">
        <f t="shared" si="152"/>
        <v>12.134868421052632</v>
      </c>
      <c r="CE333" s="3">
        <f t="shared" si="153"/>
        <v>10850</v>
      </c>
      <c r="CF333" s="55">
        <f t="shared" si="154"/>
        <v>9.3156565656565657</v>
      </c>
      <c r="CG333" s="55">
        <f t="shared" si="155"/>
        <v>0.47407921453722979</v>
      </c>
      <c r="CH333" s="55">
        <f t="shared" si="156"/>
        <v>0.97386483632523757</v>
      </c>
      <c r="CI333" s="30">
        <v>15</v>
      </c>
      <c r="CJ333" s="30">
        <v>0</v>
      </c>
      <c r="CK333" s="30">
        <v>0</v>
      </c>
      <c r="CL333" s="30">
        <v>15</v>
      </c>
      <c r="CM333" s="30">
        <v>366</v>
      </c>
      <c r="CN333" s="30">
        <v>0</v>
      </c>
      <c r="CO333" s="30">
        <v>0</v>
      </c>
      <c r="CP333" s="30">
        <v>366</v>
      </c>
      <c r="CQ333" s="1">
        <f t="shared" si="164"/>
        <v>0.24078947368421053</v>
      </c>
      <c r="CR333" s="47">
        <v>38907</v>
      </c>
      <c r="CS333" s="55">
        <f t="shared" si="157"/>
        <v>25.596710526315789</v>
      </c>
      <c r="CT333" s="59">
        <v>1588</v>
      </c>
      <c r="CU333" s="29" t="s">
        <v>25</v>
      </c>
      <c r="CV333" s="29" t="s">
        <v>25</v>
      </c>
      <c r="CW333" s="29" t="s">
        <v>25</v>
      </c>
      <c r="CX333" s="35">
        <v>0</v>
      </c>
      <c r="CY333" s="49">
        <v>0</v>
      </c>
      <c r="CZ333" s="35">
        <v>1</v>
      </c>
      <c r="DA333" s="35">
        <v>0.7</v>
      </c>
      <c r="DB333" s="35">
        <v>1.7</v>
      </c>
      <c r="DC333" s="49">
        <f t="shared" si="158"/>
        <v>894.11764705882354</v>
      </c>
      <c r="DD333" s="30">
        <v>52</v>
      </c>
      <c r="DE333" s="31">
        <v>48321</v>
      </c>
      <c r="DF333" s="35">
        <v>40</v>
      </c>
      <c r="DG333" s="29" t="s">
        <v>25</v>
      </c>
      <c r="DH333" s="29" t="s">
        <v>25</v>
      </c>
      <c r="DI333" s="29" t="s">
        <v>25</v>
      </c>
      <c r="DJ333" s="47">
        <v>121</v>
      </c>
      <c r="DK333" s="47">
        <v>42</v>
      </c>
      <c r="DL333" s="47">
        <v>11</v>
      </c>
      <c r="DM333" s="47">
        <v>9377</v>
      </c>
      <c r="DN333" s="47">
        <v>68</v>
      </c>
      <c r="DO333" s="47">
        <v>4250</v>
      </c>
      <c r="DP333" s="29" t="s">
        <v>2028</v>
      </c>
      <c r="DQ333" s="47">
        <v>0</v>
      </c>
      <c r="DR333" s="47">
        <v>1980</v>
      </c>
      <c r="DS333" s="30">
        <v>52</v>
      </c>
      <c r="DT333" s="30">
        <v>40</v>
      </c>
      <c r="DU333" s="30">
        <v>40</v>
      </c>
      <c r="DV333" s="30">
        <v>40</v>
      </c>
      <c r="DX333" s="2">
        <f t="shared" si="159"/>
        <v>1980</v>
      </c>
      <c r="DY333" s="33" t="s">
        <v>2178</v>
      </c>
      <c r="DZ333" s="33" t="s">
        <v>891</v>
      </c>
      <c r="EA333" s="33" t="s">
        <v>2031</v>
      </c>
      <c r="EB333" s="33" t="s">
        <v>2027</v>
      </c>
      <c r="EC333" s="36">
        <v>255</v>
      </c>
      <c r="ED333" s="29" t="s">
        <v>889</v>
      </c>
      <c r="EE333" s="29" t="s">
        <v>890</v>
      </c>
      <c r="EF333" s="37">
        <v>41640</v>
      </c>
      <c r="EG333" s="37">
        <v>42004</v>
      </c>
      <c r="EH333" s="29" t="s">
        <v>889</v>
      </c>
      <c r="EI333" s="55">
        <f t="shared" si="160"/>
        <v>6.3157894736842106</v>
      </c>
      <c r="EJ333" s="54">
        <f t="shared" si="161"/>
        <v>0</v>
      </c>
      <c r="EK333" s="55">
        <f t="shared" si="162"/>
        <v>5.8190789473684212</v>
      </c>
      <c r="EL333" s="54">
        <f t="shared" si="163"/>
        <v>0</v>
      </c>
    </row>
    <row r="334" spans="1:142" ht="43.2" x14ac:dyDescent="0.3">
      <c r="A334" s="29" t="s">
        <v>1530</v>
      </c>
      <c r="B334" s="29"/>
      <c r="C334" s="30">
        <v>7907</v>
      </c>
      <c r="D334" s="30">
        <v>0</v>
      </c>
      <c r="E334" s="30">
        <v>0</v>
      </c>
      <c r="F334" s="30">
        <v>3600</v>
      </c>
      <c r="H334" s="2">
        <f t="shared" si="139"/>
        <v>3600</v>
      </c>
      <c r="I334" s="1">
        <f t="shared" si="138"/>
        <v>0.45529277855065131</v>
      </c>
      <c r="J334" s="31">
        <v>11400</v>
      </c>
      <c r="K334" s="31">
        <v>844</v>
      </c>
      <c r="L334" s="31">
        <v>12244</v>
      </c>
      <c r="M334" s="45">
        <f t="shared" si="140"/>
        <v>1.5485013279372708</v>
      </c>
      <c r="N334" s="31">
        <v>4625</v>
      </c>
      <c r="O334" s="31">
        <v>712</v>
      </c>
      <c r="P334" s="31">
        <v>485</v>
      </c>
      <c r="Q334" s="31">
        <v>5822</v>
      </c>
      <c r="R334" s="45">
        <f t="shared" si="141"/>
        <v>0.7363095990894144</v>
      </c>
      <c r="S334" s="31">
        <v>12717</v>
      </c>
      <c r="T334" s="31">
        <v>30783</v>
      </c>
      <c r="U334" s="31">
        <v>0</v>
      </c>
      <c r="V334" s="31">
        <v>30783</v>
      </c>
      <c r="W334" s="45">
        <f t="shared" si="142"/>
        <v>3.8931326672568609</v>
      </c>
      <c r="X334" s="4">
        <f t="shared" si="143"/>
        <v>0.39775200597732513</v>
      </c>
      <c r="Y334" s="4">
        <f t="shared" si="144"/>
        <v>0.18913036416203749</v>
      </c>
      <c r="Z334" s="4">
        <f t="shared" si="145"/>
        <v>0.41311762986063738</v>
      </c>
      <c r="AA334" s="4">
        <f t="shared" si="146"/>
        <v>0</v>
      </c>
      <c r="AB334" s="31">
        <v>0</v>
      </c>
      <c r="AC334" s="31">
        <v>5822</v>
      </c>
      <c r="AD334" s="31">
        <v>30783</v>
      </c>
      <c r="AE334" s="31">
        <v>16750</v>
      </c>
      <c r="AF334" s="31">
        <v>11750</v>
      </c>
      <c r="AG334" s="31">
        <v>5000</v>
      </c>
      <c r="AH334" s="31">
        <v>0</v>
      </c>
      <c r="AI334" s="31">
        <v>16750</v>
      </c>
      <c r="AJ334" s="45">
        <f t="shared" si="147"/>
        <v>2.1183761224231694</v>
      </c>
      <c r="AK334" s="31">
        <v>0</v>
      </c>
      <c r="AL334" s="31">
        <v>0</v>
      </c>
      <c r="AM334" s="31">
        <v>0</v>
      </c>
      <c r="AN334" s="31">
        <v>0</v>
      </c>
      <c r="AO334" s="31">
        <v>0</v>
      </c>
      <c r="AP334" s="31">
        <v>0</v>
      </c>
      <c r="AQ334" s="31">
        <v>0</v>
      </c>
      <c r="AR334" s="31">
        <v>16750</v>
      </c>
      <c r="AS334" s="46">
        <f t="shared" si="148"/>
        <v>2.1183761224231694</v>
      </c>
      <c r="AT334" s="31">
        <v>0</v>
      </c>
      <c r="AU334" s="31">
        <v>0</v>
      </c>
      <c r="AV334" s="31">
        <v>0</v>
      </c>
      <c r="AW334" s="31">
        <v>0</v>
      </c>
      <c r="AX334" s="31">
        <v>0</v>
      </c>
      <c r="AY334" s="31">
        <v>0</v>
      </c>
      <c r="AZ334" s="31">
        <v>0</v>
      </c>
      <c r="BA334" s="31">
        <v>67174</v>
      </c>
      <c r="BB334" s="31">
        <v>67174</v>
      </c>
      <c r="BC334" s="33" t="s">
        <v>25</v>
      </c>
      <c r="BD334" s="47">
        <v>14749</v>
      </c>
      <c r="BE334" s="47">
        <v>15814</v>
      </c>
      <c r="BF334" s="45">
        <f t="shared" si="149"/>
        <v>2</v>
      </c>
      <c r="BG334" s="30">
        <v>735</v>
      </c>
      <c r="BH334" s="30">
        <v>735</v>
      </c>
      <c r="BI334" s="30">
        <v>0</v>
      </c>
      <c r="BJ334" s="30">
        <v>1312</v>
      </c>
      <c r="BK334" s="30">
        <v>1316</v>
      </c>
      <c r="BL334" s="30">
        <v>0</v>
      </c>
      <c r="BM334" s="30">
        <v>0</v>
      </c>
      <c r="BN334" s="30">
        <v>0</v>
      </c>
      <c r="BO334" s="30">
        <v>51</v>
      </c>
      <c r="BP334" s="30">
        <v>0</v>
      </c>
      <c r="BQ334" s="30">
        <v>51</v>
      </c>
      <c r="BR334" s="47">
        <v>16796</v>
      </c>
      <c r="BS334" s="47">
        <v>17865</v>
      </c>
      <c r="BT334" s="1">
        <f t="shared" si="150"/>
        <v>2.2593904135576071</v>
      </c>
      <c r="BU334" s="30">
        <v>16</v>
      </c>
      <c r="BV334" s="30">
        <v>0</v>
      </c>
      <c r="BW334" s="47">
        <v>197</v>
      </c>
      <c r="BX334" s="52">
        <f t="shared" si="151"/>
        <v>2.4914632604021752E-2</v>
      </c>
      <c r="BY334" s="47">
        <v>4239</v>
      </c>
      <c r="BZ334" s="47">
        <v>0</v>
      </c>
      <c r="CA334" s="47">
        <v>11875</v>
      </c>
      <c r="CB334" s="47">
        <v>0</v>
      </c>
      <c r="CC334" s="47">
        <v>16114</v>
      </c>
      <c r="CD334" s="55">
        <f t="shared" si="152"/>
        <v>2.0379410648792211</v>
      </c>
      <c r="CE334" s="3">
        <f t="shared" si="153"/>
        <v>32228</v>
      </c>
      <c r="CF334" s="55">
        <f t="shared" si="154"/>
        <v>15.49423076923077</v>
      </c>
      <c r="CG334" s="55">
        <f t="shared" si="155"/>
        <v>2.6843245044144592</v>
      </c>
      <c r="CH334" s="55">
        <f t="shared" si="156"/>
        <v>0.90198712566470751</v>
      </c>
      <c r="CI334" s="30">
        <v>63</v>
      </c>
      <c r="CJ334" s="30">
        <v>22</v>
      </c>
      <c r="CK334" s="30">
        <v>85</v>
      </c>
      <c r="CL334" s="30">
        <v>170</v>
      </c>
      <c r="CM334" s="30">
        <v>654</v>
      </c>
      <c r="CN334" s="30">
        <v>110</v>
      </c>
      <c r="CO334" s="30">
        <v>156</v>
      </c>
      <c r="CP334" s="30">
        <v>920</v>
      </c>
      <c r="CQ334" s="1">
        <f t="shared" si="164"/>
        <v>0.11635259896294423</v>
      </c>
      <c r="CR334" s="47">
        <v>6003</v>
      </c>
      <c r="CS334" s="55">
        <f t="shared" si="157"/>
        <v>0.75920070823321106</v>
      </c>
      <c r="CT334" s="59">
        <v>2025</v>
      </c>
      <c r="CU334" s="29" t="s">
        <v>25</v>
      </c>
      <c r="CV334" s="29" t="s">
        <v>25</v>
      </c>
      <c r="CW334" s="29" t="s">
        <v>25</v>
      </c>
      <c r="CX334" s="35">
        <v>0</v>
      </c>
      <c r="CY334" s="49">
        <v>0</v>
      </c>
      <c r="CZ334" s="35">
        <v>0.5</v>
      </c>
      <c r="DA334" s="35">
        <v>0</v>
      </c>
      <c r="DB334" s="35">
        <v>0.5</v>
      </c>
      <c r="DC334" s="49">
        <f t="shared" si="158"/>
        <v>15814</v>
      </c>
      <c r="DD334" s="30">
        <v>472</v>
      </c>
      <c r="DE334" s="31">
        <v>11400</v>
      </c>
      <c r="DF334" s="35">
        <v>20</v>
      </c>
      <c r="DG334" s="29" t="s">
        <v>25</v>
      </c>
      <c r="DH334" s="29" t="s">
        <v>25</v>
      </c>
      <c r="DI334" s="29" t="s">
        <v>25</v>
      </c>
      <c r="DJ334" s="47">
        <v>140</v>
      </c>
      <c r="DK334" s="47">
        <v>0</v>
      </c>
      <c r="DL334" s="47">
        <v>8</v>
      </c>
      <c r="DM334" s="47">
        <v>1401</v>
      </c>
      <c r="DN334" s="47">
        <v>35</v>
      </c>
      <c r="DO334" s="47">
        <v>115</v>
      </c>
      <c r="DP334" s="29" t="s">
        <v>2028</v>
      </c>
      <c r="DQ334" s="47">
        <v>0</v>
      </c>
      <c r="DR334" s="47">
        <v>1040</v>
      </c>
      <c r="DS334" s="30">
        <v>52</v>
      </c>
      <c r="DT334" s="30">
        <v>20</v>
      </c>
      <c r="DU334" s="30">
        <v>20</v>
      </c>
      <c r="DV334" s="30">
        <v>20</v>
      </c>
      <c r="DX334" s="2">
        <f t="shared" si="159"/>
        <v>1040</v>
      </c>
      <c r="DY334" s="33" t="s">
        <v>2186</v>
      </c>
      <c r="DZ334" s="33" t="s">
        <v>1532</v>
      </c>
      <c r="EA334" s="33" t="s">
        <v>2032</v>
      </c>
      <c r="EB334" s="33" t="s">
        <v>2027</v>
      </c>
      <c r="EC334" s="36">
        <v>493</v>
      </c>
      <c r="ED334" s="29" t="s">
        <v>1531</v>
      </c>
      <c r="EE334" s="29" t="s">
        <v>1315</v>
      </c>
      <c r="EF334" s="37">
        <v>41548</v>
      </c>
      <c r="EG334" s="37">
        <v>41912</v>
      </c>
      <c r="EH334" s="29" t="s">
        <v>1531</v>
      </c>
      <c r="EI334" s="55">
        <f t="shared" si="160"/>
        <v>0.53610724674339194</v>
      </c>
      <c r="EJ334" s="54">
        <f t="shared" si="161"/>
        <v>0</v>
      </c>
      <c r="EK334" s="55">
        <f t="shared" si="162"/>
        <v>1.5018338181358291</v>
      </c>
      <c r="EL334" s="54">
        <f t="shared" si="163"/>
        <v>0</v>
      </c>
    </row>
    <row r="335" spans="1:142" ht="28.8" x14ac:dyDescent="0.3">
      <c r="A335" s="29" t="s">
        <v>892</v>
      </c>
      <c r="B335" s="29"/>
      <c r="C335" s="30">
        <v>167956</v>
      </c>
      <c r="D335" s="30">
        <v>1</v>
      </c>
      <c r="E335" s="30">
        <v>0</v>
      </c>
      <c r="F335" s="30">
        <v>33000</v>
      </c>
      <c r="G335">
        <v>20000</v>
      </c>
      <c r="H335" s="2">
        <f t="shared" si="139"/>
        <v>53000</v>
      </c>
      <c r="I335" s="1">
        <f t="shared" si="138"/>
        <v>0.31555883683821956</v>
      </c>
      <c r="J335" s="31">
        <v>1384741</v>
      </c>
      <c r="K335" s="31">
        <v>800416</v>
      </c>
      <c r="L335" s="31">
        <v>2185157</v>
      </c>
      <c r="M335" s="45">
        <f t="shared" si="140"/>
        <v>13.010294362809308</v>
      </c>
      <c r="N335" s="31">
        <v>333747</v>
      </c>
      <c r="O335" s="31">
        <v>71953</v>
      </c>
      <c r="P335" s="31">
        <v>82485</v>
      </c>
      <c r="Q335" s="31">
        <v>488185</v>
      </c>
      <c r="R335" s="45">
        <f t="shared" si="141"/>
        <v>2.9066243539974757</v>
      </c>
      <c r="S335" s="31">
        <v>227131</v>
      </c>
      <c r="T335" s="31">
        <v>2900473</v>
      </c>
      <c r="U335" s="31">
        <v>0</v>
      </c>
      <c r="V335" s="31">
        <v>2900473</v>
      </c>
      <c r="W335" s="45">
        <f t="shared" si="142"/>
        <v>17.269243135106812</v>
      </c>
      <c r="X335" s="4">
        <f t="shared" si="143"/>
        <v>0.75337953499308563</v>
      </c>
      <c r="Y335" s="4">
        <f t="shared" si="144"/>
        <v>0.16831220287173851</v>
      </c>
      <c r="Z335" s="4">
        <f t="shared" si="145"/>
        <v>7.8308262135175888E-2</v>
      </c>
      <c r="AA335" s="4">
        <f t="shared" si="146"/>
        <v>0</v>
      </c>
      <c r="AB335" s="31">
        <v>0</v>
      </c>
      <c r="AC335" s="31">
        <v>488185</v>
      </c>
      <c r="AD335" s="31">
        <v>2900473</v>
      </c>
      <c r="AE335" s="31">
        <v>2900473</v>
      </c>
      <c r="AF335" s="31">
        <v>2876383</v>
      </c>
      <c r="AG335" s="31">
        <v>39667</v>
      </c>
      <c r="AH335" s="31">
        <v>0</v>
      </c>
      <c r="AI335" s="31">
        <v>2916050</v>
      </c>
      <c r="AJ335" s="45">
        <f t="shared" si="147"/>
        <v>17.361987663435663</v>
      </c>
      <c r="AK335" s="31">
        <v>0</v>
      </c>
      <c r="AL335" s="31">
        <v>0</v>
      </c>
      <c r="AM335" s="31">
        <v>0</v>
      </c>
      <c r="AN335" s="31">
        <v>0</v>
      </c>
      <c r="AO335" s="31">
        <v>0</v>
      </c>
      <c r="AP335" s="31">
        <v>0</v>
      </c>
      <c r="AQ335" s="31">
        <v>0</v>
      </c>
      <c r="AR335" s="31">
        <v>2916050</v>
      </c>
      <c r="AS335" s="46">
        <f t="shared" si="148"/>
        <v>17.361987663435663</v>
      </c>
      <c r="AT335" s="31">
        <v>0</v>
      </c>
      <c r="AU335" s="31">
        <v>0</v>
      </c>
      <c r="AV335" s="31">
        <v>0</v>
      </c>
      <c r="AW335" s="31">
        <v>0</v>
      </c>
      <c r="AX335" s="31">
        <v>0</v>
      </c>
      <c r="AY335" s="31">
        <v>0</v>
      </c>
      <c r="AZ335" s="31">
        <v>0</v>
      </c>
      <c r="BA335" s="31">
        <v>0</v>
      </c>
      <c r="BB335" s="31">
        <v>0</v>
      </c>
      <c r="BC335" s="33" t="s">
        <v>25</v>
      </c>
      <c r="BD335" s="47">
        <v>179314</v>
      </c>
      <c r="BE335" s="47">
        <v>201754</v>
      </c>
      <c r="BF335" s="45">
        <f t="shared" si="149"/>
        <v>1.2012312748577008</v>
      </c>
      <c r="BG335" s="30">
        <v>9975</v>
      </c>
      <c r="BH335" s="30">
        <v>10394</v>
      </c>
      <c r="BI335" s="30">
        <v>2224</v>
      </c>
      <c r="BJ335" s="30">
        <v>16701</v>
      </c>
      <c r="BK335" s="30">
        <v>21331</v>
      </c>
      <c r="BL335" s="30">
        <v>0</v>
      </c>
      <c r="BM335" s="30">
        <v>2321</v>
      </c>
      <c r="BN335" s="30">
        <v>4</v>
      </c>
      <c r="BO335" s="30">
        <v>51</v>
      </c>
      <c r="BP335" s="30">
        <v>0</v>
      </c>
      <c r="BQ335" s="30">
        <v>55</v>
      </c>
      <c r="BR335" s="47">
        <v>205990</v>
      </c>
      <c r="BS335" s="47">
        <v>238028</v>
      </c>
      <c r="BT335" s="1">
        <f t="shared" si="150"/>
        <v>1.4172045059420324</v>
      </c>
      <c r="BU335" s="30">
        <v>171</v>
      </c>
      <c r="BV335" s="30">
        <v>0</v>
      </c>
      <c r="BW335" s="47">
        <v>129981</v>
      </c>
      <c r="BX335" s="52">
        <f t="shared" si="151"/>
        <v>0.77389911643525688</v>
      </c>
      <c r="BY335" s="47">
        <v>541918</v>
      </c>
      <c r="BZ335" s="47">
        <v>0</v>
      </c>
      <c r="CA335" s="47">
        <v>615234</v>
      </c>
      <c r="CB335" s="47">
        <v>41248</v>
      </c>
      <c r="CC335" s="47">
        <v>1198400</v>
      </c>
      <c r="CD335" s="55">
        <f t="shared" si="152"/>
        <v>7.1352020767343829</v>
      </c>
      <c r="CE335" s="3">
        <f t="shared" si="153"/>
        <v>31808.891838088919</v>
      </c>
      <c r="CF335" s="55">
        <f t="shared" si="154"/>
        <v>188.13186813186815</v>
      </c>
      <c r="CG335" s="55">
        <f t="shared" si="155"/>
        <v>2.7973464423934304</v>
      </c>
      <c r="CH335" s="55">
        <f t="shared" si="156"/>
        <v>4.8614112625405417</v>
      </c>
      <c r="CI335" s="30">
        <v>671</v>
      </c>
      <c r="CJ335" s="30">
        <v>33</v>
      </c>
      <c r="CK335" s="30">
        <v>86</v>
      </c>
      <c r="CL335" s="30">
        <v>790</v>
      </c>
      <c r="CM335" s="30">
        <v>26476</v>
      </c>
      <c r="CN335" s="30">
        <v>258</v>
      </c>
      <c r="CO335" s="30">
        <v>1836</v>
      </c>
      <c r="CP335" s="30">
        <v>28570</v>
      </c>
      <c r="CQ335" s="1">
        <f t="shared" si="164"/>
        <v>0.17010407487675344</v>
      </c>
      <c r="CR335" s="47">
        <v>428406</v>
      </c>
      <c r="CS335" s="55">
        <f t="shared" si="157"/>
        <v>2.5507037557455523</v>
      </c>
      <c r="CT335" s="59">
        <v>114859</v>
      </c>
      <c r="CU335" s="29" t="s">
        <v>25</v>
      </c>
      <c r="CV335" s="29" t="s">
        <v>25</v>
      </c>
      <c r="CW335" s="29" t="s">
        <v>25</v>
      </c>
      <c r="CX335" s="35">
        <v>9</v>
      </c>
      <c r="CY335" s="49">
        <f>C335/CX335</f>
        <v>18661.777777777777</v>
      </c>
      <c r="CZ335" s="35">
        <v>0</v>
      </c>
      <c r="DA335" s="35">
        <v>28.675000000000001</v>
      </c>
      <c r="DB335" s="35">
        <v>37.674999999999997</v>
      </c>
      <c r="DC335" s="49">
        <f t="shared" si="158"/>
        <v>4458.0225613802259</v>
      </c>
      <c r="DD335" s="30">
        <v>1897</v>
      </c>
      <c r="DE335" s="31">
        <v>125778</v>
      </c>
      <c r="DF335" s="35">
        <v>40</v>
      </c>
      <c r="DG335" s="29" t="s">
        <v>25</v>
      </c>
      <c r="DH335" s="29" t="s">
        <v>25</v>
      </c>
      <c r="DI335" s="29" t="s">
        <v>25</v>
      </c>
      <c r="DJ335" s="47">
        <v>2417</v>
      </c>
      <c r="DK335" s="47">
        <v>1201</v>
      </c>
      <c r="DL335" s="47">
        <v>36</v>
      </c>
      <c r="DM335" s="47">
        <v>58472</v>
      </c>
      <c r="DN335" s="47">
        <v>5847</v>
      </c>
      <c r="DO335" s="47">
        <v>0</v>
      </c>
      <c r="DP335" s="29" t="s">
        <v>25</v>
      </c>
      <c r="DQ335" s="47">
        <v>206734</v>
      </c>
      <c r="DR335" s="47">
        <v>3234</v>
      </c>
      <c r="DS335" s="30">
        <v>52</v>
      </c>
      <c r="DT335" s="30">
        <v>64</v>
      </c>
      <c r="DU335" s="30">
        <v>64</v>
      </c>
      <c r="DV335" s="30">
        <v>64</v>
      </c>
      <c r="DW335">
        <f>VLOOKUP(EC335,branch!$I$4:$K$77,3,0)</f>
        <v>3136</v>
      </c>
      <c r="DX335" s="2">
        <f t="shared" si="159"/>
        <v>6370</v>
      </c>
      <c r="DY335" s="33" t="s">
        <v>2182</v>
      </c>
      <c r="DZ335" s="33" t="s">
        <v>894</v>
      </c>
      <c r="EA335" s="33" t="s">
        <v>2030</v>
      </c>
      <c r="EB335" s="33" t="s">
        <v>2027</v>
      </c>
      <c r="EC335" s="36">
        <v>256</v>
      </c>
      <c r="ED335" s="29" t="s">
        <v>893</v>
      </c>
      <c r="EE335" s="29" t="s">
        <v>51</v>
      </c>
      <c r="EF335" s="37">
        <v>41548</v>
      </c>
      <c r="EG335" s="37">
        <v>41912</v>
      </c>
      <c r="EH335" s="29" t="s">
        <v>893</v>
      </c>
      <c r="EI335" s="55">
        <f t="shared" si="160"/>
        <v>3.226547429088571</v>
      </c>
      <c r="EJ335" s="54">
        <f t="shared" si="161"/>
        <v>0</v>
      </c>
      <c r="EK335" s="55">
        <f t="shared" si="162"/>
        <v>3.6630665174212296</v>
      </c>
      <c r="EL335" s="54">
        <f t="shared" si="163"/>
        <v>0.24558813022458262</v>
      </c>
    </row>
    <row r="336" spans="1:142" ht="28.8" x14ac:dyDescent="0.3">
      <c r="A336" s="29" t="s">
        <v>895</v>
      </c>
      <c r="B336" s="29"/>
      <c r="C336" s="30">
        <v>968</v>
      </c>
      <c r="D336" s="30">
        <v>0</v>
      </c>
      <c r="E336" s="30">
        <v>0</v>
      </c>
      <c r="F336" s="30">
        <v>3500</v>
      </c>
      <c r="H336" s="2">
        <f t="shared" si="139"/>
        <v>3500</v>
      </c>
      <c r="I336" s="1">
        <f t="shared" si="138"/>
        <v>3.615702479338843</v>
      </c>
      <c r="J336" s="31">
        <v>25375</v>
      </c>
      <c r="K336" s="31">
        <v>5374</v>
      </c>
      <c r="L336" s="31">
        <v>30749</v>
      </c>
      <c r="M336" s="45">
        <f t="shared" si="140"/>
        <v>31.765495867768596</v>
      </c>
      <c r="N336" s="31">
        <v>13428</v>
      </c>
      <c r="O336" s="31">
        <v>147</v>
      </c>
      <c r="P336" s="31">
        <v>954</v>
      </c>
      <c r="Q336" s="31">
        <v>14529</v>
      </c>
      <c r="R336" s="45">
        <f t="shared" si="141"/>
        <v>15.009297520661157</v>
      </c>
      <c r="S336" s="31">
        <v>15103</v>
      </c>
      <c r="T336" s="31">
        <v>60381</v>
      </c>
      <c r="U336" s="31">
        <v>0</v>
      </c>
      <c r="V336" s="31">
        <v>60381</v>
      </c>
      <c r="W336" s="45">
        <f t="shared" si="142"/>
        <v>62.377066115702476</v>
      </c>
      <c r="X336" s="4">
        <f t="shared" si="143"/>
        <v>0.50924959838359751</v>
      </c>
      <c r="Y336" s="4">
        <f t="shared" si="144"/>
        <v>0.24062204998261041</v>
      </c>
      <c r="Z336" s="4">
        <f t="shared" si="145"/>
        <v>0.2501283516337921</v>
      </c>
      <c r="AA336" s="4">
        <f t="shared" si="146"/>
        <v>0</v>
      </c>
      <c r="AB336" s="31">
        <v>0</v>
      </c>
      <c r="AC336" s="31">
        <v>5759</v>
      </c>
      <c r="AD336" s="31">
        <v>51611</v>
      </c>
      <c r="AE336" s="31">
        <v>50570</v>
      </c>
      <c r="AF336" s="31">
        <v>50599</v>
      </c>
      <c r="AG336" s="31">
        <v>3000</v>
      </c>
      <c r="AH336" s="31">
        <v>0</v>
      </c>
      <c r="AI336" s="31">
        <v>53599</v>
      </c>
      <c r="AJ336" s="45">
        <f t="shared" si="147"/>
        <v>55.370867768595041</v>
      </c>
      <c r="AK336" s="31">
        <v>0</v>
      </c>
      <c r="AL336" s="31">
        <v>0</v>
      </c>
      <c r="AM336" s="31">
        <v>0</v>
      </c>
      <c r="AN336" s="31">
        <v>0</v>
      </c>
      <c r="AO336" s="31">
        <v>0</v>
      </c>
      <c r="AP336" s="31">
        <v>1041</v>
      </c>
      <c r="AQ336" s="31">
        <v>1041</v>
      </c>
      <c r="AR336" s="31">
        <v>54640</v>
      </c>
      <c r="AS336" s="46">
        <f t="shared" si="148"/>
        <v>56.446280991735534</v>
      </c>
      <c r="AT336" s="31">
        <v>0</v>
      </c>
      <c r="AU336" s="31">
        <v>0</v>
      </c>
      <c r="AV336" s="31">
        <v>0</v>
      </c>
      <c r="AW336" s="31">
        <v>0</v>
      </c>
      <c r="AX336" s="31">
        <v>0</v>
      </c>
      <c r="AY336" s="31">
        <v>0</v>
      </c>
      <c r="AZ336" s="31">
        <v>0</v>
      </c>
      <c r="BA336" s="31">
        <v>0</v>
      </c>
      <c r="BB336" s="31">
        <v>0</v>
      </c>
      <c r="BC336" s="33" t="s">
        <v>25</v>
      </c>
      <c r="BD336" s="47">
        <v>12876</v>
      </c>
      <c r="BE336" s="47">
        <v>13570</v>
      </c>
      <c r="BF336" s="45">
        <f t="shared" si="149"/>
        <v>14.018595041322314</v>
      </c>
      <c r="BG336" s="30">
        <v>417</v>
      </c>
      <c r="BH336" s="30">
        <v>417</v>
      </c>
      <c r="BI336" s="30">
        <v>803</v>
      </c>
      <c r="BJ336" s="30">
        <v>1806</v>
      </c>
      <c r="BK336" s="30">
        <v>1830</v>
      </c>
      <c r="BL336" s="30">
        <v>23</v>
      </c>
      <c r="BM336" s="30">
        <v>3348</v>
      </c>
      <c r="BN336" s="30">
        <v>0</v>
      </c>
      <c r="BO336" s="30">
        <v>51</v>
      </c>
      <c r="BP336" s="30">
        <v>16</v>
      </c>
      <c r="BQ336" s="30">
        <v>67</v>
      </c>
      <c r="BR336" s="47">
        <v>15099</v>
      </c>
      <c r="BS336" s="47">
        <v>19991</v>
      </c>
      <c r="BT336" s="1">
        <f t="shared" si="150"/>
        <v>20.651859504132233</v>
      </c>
      <c r="BU336" s="30">
        <v>12</v>
      </c>
      <c r="BV336" s="30">
        <v>0</v>
      </c>
      <c r="BW336" s="47">
        <v>249</v>
      </c>
      <c r="BX336" s="52">
        <f t="shared" si="151"/>
        <v>0.25723140495867769</v>
      </c>
      <c r="BY336" s="47">
        <v>1213</v>
      </c>
      <c r="BZ336" s="47">
        <v>11</v>
      </c>
      <c r="CA336" s="47">
        <v>6962</v>
      </c>
      <c r="CB336" s="47">
        <v>89</v>
      </c>
      <c r="CC336" s="47">
        <v>8275</v>
      </c>
      <c r="CD336" s="55">
        <f t="shared" si="152"/>
        <v>8.5485537190082646</v>
      </c>
      <c r="CE336" s="3">
        <f t="shared" si="153"/>
        <v>6018.181818181818</v>
      </c>
      <c r="CF336" s="55">
        <f t="shared" si="154"/>
        <v>4.8705120659211305</v>
      </c>
      <c r="CG336" s="55">
        <f t="shared" si="155"/>
        <v>1.6802030456852792</v>
      </c>
      <c r="CH336" s="55">
        <f t="shared" si="156"/>
        <v>0.40893402030913911</v>
      </c>
      <c r="CI336" s="30">
        <v>9</v>
      </c>
      <c r="CJ336" s="30">
        <v>2</v>
      </c>
      <c r="CK336" s="30">
        <v>26</v>
      </c>
      <c r="CL336" s="30">
        <v>37</v>
      </c>
      <c r="CM336" s="30">
        <v>140</v>
      </c>
      <c r="CN336" s="30">
        <v>20</v>
      </c>
      <c r="CO336" s="30">
        <v>318</v>
      </c>
      <c r="CP336" s="30">
        <v>478</v>
      </c>
      <c r="CQ336" s="1">
        <f t="shared" si="164"/>
        <v>0.493801652892562</v>
      </c>
      <c r="CR336" s="47">
        <v>4925</v>
      </c>
      <c r="CS336" s="55">
        <f t="shared" si="157"/>
        <v>5.0878099173553721</v>
      </c>
      <c r="CT336" s="59">
        <v>677</v>
      </c>
      <c r="CU336" s="29" t="s">
        <v>25</v>
      </c>
      <c r="CV336" s="29" t="s">
        <v>25</v>
      </c>
      <c r="CW336" s="29" t="s">
        <v>25</v>
      </c>
      <c r="CX336" s="35">
        <v>0</v>
      </c>
      <c r="CY336" s="49">
        <v>0</v>
      </c>
      <c r="CZ336" s="35">
        <v>0.875</v>
      </c>
      <c r="DA336" s="35">
        <v>0.5</v>
      </c>
      <c r="DB336" s="35">
        <v>1.375</v>
      </c>
      <c r="DC336" s="49">
        <f t="shared" si="158"/>
        <v>704</v>
      </c>
      <c r="DD336" s="30">
        <v>1142</v>
      </c>
      <c r="DE336" s="31">
        <v>28152</v>
      </c>
      <c r="DF336" s="35">
        <v>35</v>
      </c>
      <c r="DG336" s="29" t="s">
        <v>25</v>
      </c>
      <c r="DH336" s="29" t="s">
        <v>25</v>
      </c>
      <c r="DI336" s="29" t="s">
        <v>25</v>
      </c>
      <c r="DJ336" s="47">
        <v>29</v>
      </c>
      <c r="DK336" s="47">
        <v>74</v>
      </c>
      <c r="DL336" s="47">
        <v>5</v>
      </c>
      <c r="DM336" s="47">
        <v>1628</v>
      </c>
      <c r="DN336" s="47">
        <v>220</v>
      </c>
      <c r="DO336" s="47">
        <v>575</v>
      </c>
      <c r="DP336" s="29" t="s">
        <v>25</v>
      </c>
      <c r="DQ336" s="47">
        <v>23761</v>
      </c>
      <c r="DR336" s="47">
        <v>1699</v>
      </c>
      <c r="DS336" s="30">
        <v>52</v>
      </c>
      <c r="DT336" s="30">
        <v>35</v>
      </c>
      <c r="DU336" s="30">
        <v>35</v>
      </c>
      <c r="DV336" s="30">
        <v>35</v>
      </c>
      <c r="DX336" s="2">
        <f t="shared" si="159"/>
        <v>1699</v>
      </c>
      <c r="DY336" s="33" t="s">
        <v>2184</v>
      </c>
      <c r="DZ336" s="33" t="s">
        <v>898</v>
      </c>
      <c r="EA336" s="33" t="s">
        <v>2030</v>
      </c>
      <c r="EB336" s="33" t="s">
        <v>2027</v>
      </c>
      <c r="EC336" s="36">
        <v>257</v>
      </c>
      <c r="ED336" s="29" t="s">
        <v>896</v>
      </c>
      <c r="EE336" s="29" t="s">
        <v>897</v>
      </c>
      <c r="EF336" s="37">
        <v>41548</v>
      </c>
      <c r="EG336" s="37">
        <v>41912</v>
      </c>
      <c r="EH336" s="29" t="s">
        <v>896</v>
      </c>
      <c r="EI336" s="55">
        <f t="shared" si="160"/>
        <v>1.2530991735537189</v>
      </c>
      <c r="EJ336" s="54">
        <f t="shared" si="161"/>
        <v>1.1363636363636364E-2</v>
      </c>
      <c r="EK336" s="55">
        <f t="shared" si="162"/>
        <v>7.1921487603305785</v>
      </c>
      <c r="EL336" s="54">
        <f t="shared" si="163"/>
        <v>9.1942148760330578E-2</v>
      </c>
    </row>
    <row r="337" spans="1:142" ht="43.2" x14ac:dyDescent="0.3">
      <c r="A337" s="29" t="s">
        <v>277</v>
      </c>
      <c r="B337" s="29"/>
      <c r="C337" s="30">
        <v>5499</v>
      </c>
      <c r="D337" s="30">
        <v>0</v>
      </c>
      <c r="E337" s="30">
        <v>0</v>
      </c>
      <c r="F337" s="30">
        <v>4300</v>
      </c>
      <c r="H337" s="2">
        <f t="shared" si="139"/>
        <v>4300</v>
      </c>
      <c r="I337" s="1">
        <f t="shared" si="138"/>
        <v>0.78196035642844153</v>
      </c>
      <c r="J337" s="31">
        <v>46226</v>
      </c>
      <c r="K337" s="31">
        <v>3536</v>
      </c>
      <c r="L337" s="31">
        <v>49762</v>
      </c>
      <c r="M337" s="45">
        <f t="shared" si="140"/>
        <v>9.0492816875795601</v>
      </c>
      <c r="N337" s="31">
        <v>5396</v>
      </c>
      <c r="O337" s="31">
        <v>2292</v>
      </c>
      <c r="P337" s="31">
        <v>1591</v>
      </c>
      <c r="Q337" s="31">
        <v>9279</v>
      </c>
      <c r="R337" s="45">
        <f t="shared" si="141"/>
        <v>1.6873977086743044</v>
      </c>
      <c r="S337" s="31">
        <v>47351</v>
      </c>
      <c r="T337" s="31">
        <v>106392</v>
      </c>
      <c r="U337" s="31">
        <v>0</v>
      </c>
      <c r="V337" s="31">
        <v>106392</v>
      </c>
      <c r="W337" s="45">
        <f t="shared" si="142"/>
        <v>19.347517730496453</v>
      </c>
      <c r="X337" s="4">
        <f t="shared" si="143"/>
        <v>0.4677231370779758</v>
      </c>
      <c r="Y337" s="4">
        <f t="shared" si="144"/>
        <v>8.7215204150688022E-2</v>
      </c>
      <c r="Z337" s="4">
        <f t="shared" si="145"/>
        <v>0.44506165877133619</v>
      </c>
      <c r="AA337" s="4">
        <f t="shared" si="146"/>
        <v>0</v>
      </c>
      <c r="AB337" s="31">
        <v>0</v>
      </c>
      <c r="AC337" s="31">
        <v>9279</v>
      </c>
      <c r="AD337" s="31">
        <v>106392</v>
      </c>
      <c r="AE337" s="31">
        <v>68053</v>
      </c>
      <c r="AF337" s="31">
        <v>0</v>
      </c>
      <c r="AG337" s="31">
        <v>68053</v>
      </c>
      <c r="AH337" s="31">
        <v>0</v>
      </c>
      <c r="AI337" s="31">
        <v>68053</v>
      </c>
      <c r="AJ337" s="45">
        <f t="shared" si="147"/>
        <v>12.375522822331334</v>
      </c>
      <c r="AK337" s="31">
        <v>0</v>
      </c>
      <c r="AL337" s="31">
        <v>0</v>
      </c>
      <c r="AM337" s="31">
        <v>0</v>
      </c>
      <c r="AN337" s="31">
        <v>0</v>
      </c>
      <c r="AO337" s="31">
        <v>3500</v>
      </c>
      <c r="AP337" s="31">
        <v>29129</v>
      </c>
      <c r="AQ337" s="31">
        <v>32629</v>
      </c>
      <c r="AR337" s="31">
        <v>100682</v>
      </c>
      <c r="AS337" s="46">
        <f t="shared" si="148"/>
        <v>18.309147117657755</v>
      </c>
      <c r="AT337" s="31">
        <v>0</v>
      </c>
      <c r="AU337" s="31">
        <v>0</v>
      </c>
      <c r="AV337" s="31">
        <v>0</v>
      </c>
      <c r="AW337" s="31">
        <v>0</v>
      </c>
      <c r="AX337" s="31">
        <v>0</v>
      </c>
      <c r="AY337" s="31">
        <v>0</v>
      </c>
      <c r="AZ337" s="31">
        <v>0</v>
      </c>
      <c r="BA337" s="31">
        <v>0</v>
      </c>
      <c r="BB337" s="31">
        <v>0</v>
      </c>
      <c r="BC337" s="33" t="s">
        <v>25</v>
      </c>
      <c r="BD337" s="47">
        <v>11506</v>
      </c>
      <c r="BE337" s="47">
        <v>11506</v>
      </c>
      <c r="BF337" s="45">
        <f t="shared" si="149"/>
        <v>2.0923804328059648</v>
      </c>
      <c r="BG337" s="30">
        <v>425</v>
      </c>
      <c r="BH337" s="30">
        <v>425</v>
      </c>
      <c r="BI337" s="30">
        <v>851</v>
      </c>
      <c r="BJ337" s="30">
        <v>1187</v>
      </c>
      <c r="BK337" s="30">
        <v>1187</v>
      </c>
      <c r="BL337" s="30">
        <v>184</v>
      </c>
      <c r="BM337" s="30">
        <v>5398</v>
      </c>
      <c r="BN337" s="30">
        <v>0</v>
      </c>
      <c r="BO337" s="30">
        <v>51</v>
      </c>
      <c r="BP337" s="30">
        <v>0</v>
      </c>
      <c r="BQ337" s="30">
        <v>51</v>
      </c>
      <c r="BR337" s="47">
        <v>13118</v>
      </c>
      <c r="BS337" s="47">
        <v>19551</v>
      </c>
      <c r="BT337" s="1">
        <f t="shared" si="150"/>
        <v>3.5553737043098743</v>
      </c>
      <c r="BU337" s="30">
        <v>24</v>
      </c>
      <c r="BV337" s="30">
        <v>0</v>
      </c>
      <c r="BW337" s="47">
        <v>137</v>
      </c>
      <c r="BX337" s="52">
        <f t="shared" si="151"/>
        <v>2.4913620658301508E-2</v>
      </c>
      <c r="BY337" s="47">
        <v>1504</v>
      </c>
      <c r="BZ337" s="47">
        <v>1829</v>
      </c>
      <c r="CA337" s="47">
        <v>7124</v>
      </c>
      <c r="CB337" s="47">
        <v>1493</v>
      </c>
      <c r="CC337" s="47">
        <v>11950</v>
      </c>
      <c r="CD337" s="55">
        <f t="shared" si="152"/>
        <v>2.1731223858883433</v>
      </c>
      <c r="CE337" s="3">
        <f t="shared" si="153"/>
        <v>7353.8461538461543</v>
      </c>
      <c r="CF337" s="55">
        <f t="shared" si="154"/>
        <v>6.0445118866970153</v>
      </c>
      <c r="CG337" s="55">
        <f t="shared" si="155"/>
        <v>0.36216511092253606</v>
      </c>
      <c r="CH337" s="55">
        <f t="shared" si="156"/>
        <v>0.44130735000767224</v>
      </c>
      <c r="CI337" s="30">
        <v>19</v>
      </c>
      <c r="CJ337" s="30">
        <v>16</v>
      </c>
      <c r="CK337" s="30">
        <v>120</v>
      </c>
      <c r="CL337" s="30">
        <v>155</v>
      </c>
      <c r="CM337" s="30">
        <v>517</v>
      </c>
      <c r="CN337" s="30">
        <v>271</v>
      </c>
      <c r="CO337" s="30">
        <v>1281</v>
      </c>
      <c r="CP337" s="30">
        <v>2069</v>
      </c>
      <c r="CQ337" s="1">
        <f t="shared" si="164"/>
        <v>0.37625022731405711</v>
      </c>
      <c r="CR337" s="47">
        <v>32996</v>
      </c>
      <c r="CS337" s="55">
        <f t="shared" si="157"/>
        <v>6.0003637024913621</v>
      </c>
      <c r="CT337" s="59">
        <v>2441</v>
      </c>
      <c r="CU337" s="29" t="s">
        <v>25</v>
      </c>
      <c r="CV337" s="29" t="s">
        <v>25</v>
      </c>
      <c r="CW337" s="29" t="s">
        <v>25</v>
      </c>
      <c r="CX337" s="35">
        <v>0</v>
      </c>
      <c r="CY337" s="49">
        <v>0</v>
      </c>
      <c r="CZ337" s="35">
        <v>1</v>
      </c>
      <c r="DA337" s="35">
        <v>0.625</v>
      </c>
      <c r="DB337" s="35">
        <v>1.625</v>
      </c>
      <c r="DC337" s="49">
        <f t="shared" si="158"/>
        <v>3384</v>
      </c>
      <c r="DD337" s="30">
        <v>575</v>
      </c>
      <c r="DE337" s="31">
        <v>35000</v>
      </c>
      <c r="DF337" s="35">
        <v>40</v>
      </c>
      <c r="DG337" s="29" t="s">
        <v>25</v>
      </c>
      <c r="DH337" s="29" t="s">
        <v>25</v>
      </c>
      <c r="DI337" s="29" t="s">
        <v>25</v>
      </c>
      <c r="DJ337" s="47">
        <v>71</v>
      </c>
      <c r="DK337" s="47">
        <v>7</v>
      </c>
      <c r="DL337" s="47">
        <v>6</v>
      </c>
      <c r="DM337" s="47">
        <v>1227</v>
      </c>
      <c r="DN337" s="47">
        <v>43</v>
      </c>
      <c r="DO337" s="47">
        <v>1227</v>
      </c>
      <c r="DP337" s="29" t="s">
        <v>83</v>
      </c>
      <c r="DQ337" s="47">
        <v>0</v>
      </c>
      <c r="DR337" s="47">
        <v>1977</v>
      </c>
      <c r="DS337" s="30">
        <v>52</v>
      </c>
      <c r="DT337" s="30">
        <v>40</v>
      </c>
      <c r="DU337" s="30">
        <v>40</v>
      </c>
      <c r="DV337" s="30">
        <v>40</v>
      </c>
      <c r="DX337" s="2">
        <f t="shared" si="159"/>
        <v>1977</v>
      </c>
      <c r="DY337" s="33" t="s">
        <v>2187</v>
      </c>
      <c r="DZ337" s="33" t="s">
        <v>1727</v>
      </c>
      <c r="EA337" s="33" t="s">
        <v>2032</v>
      </c>
      <c r="EB337" s="33" t="s">
        <v>2027</v>
      </c>
      <c r="EC337" s="36">
        <v>596</v>
      </c>
      <c r="ED337" s="29" t="s">
        <v>1726</v>
      </c>
      <c r="EE337" s="29" t="s">
        <v>125</v>
      </c>
      <c r="EF337" s="37">
        <v>41640</v>
      </c>
      <c r="EG337" s="37">
        <v>42004</v>
      </c>
      <c r="EH337" s="29" t="s">
        <v>1726</v>
      </c>
      <c r="EI337" s="55">
        <f t="shared" si="160"/>
        <v>0.27350427350427353</v>
      </c>
      <c r="EJ337" s="54">
        <f t="shared" si="161"/>
        <v>0.3326059283506092</v>
      </c>
      <c r="EK337" s="55">
        <f t="shared" si="162"/>
        <v>1.2955082742316786</v>
      </c>
      <c r="EL337" s="54">
        <f t="shared" si="163"/>
        <v>0.27150390980178213</v>
      </c>
    </row>
    <row r="338" spans="1:142" ht="28.8" x14ac:dyDescent="0.3">
      <c r="A338" s="29" t="s">
        <v>1190</v>
      </c>
      <c r="B338" s="29"/>
      <c r="C338" s="30">
        <v>6910</v>
      </c>
      <c r="D338" s="30">
        <v>0</v>
      </c>
      <c r="E338" s="30">
        <v>0</v>
      </c>
      <c r="F338" s="30">
        <v>3500</v>
      </c>
      <c r="H338" s="2">
        <f t="shared" si="139"/>
        <v>3500</v>
      </c>
      <c r="I338" s="1">
        <f t="shared" si="138"/>
        <v>0.50651230101302458</v>
      </c>
      <c r="J338" s="31">
        <v>94836</v>
      </c>
      <c r="K338" s="31">
        <v>11185</v>
      </c>
      <c r="L338" s="31">
        <v>106021</v>
      </c>
      <c r="M338" s="45">
        <f t="shared" si="140"/>
        <v>15.343125904486252</v>
      </c>
      <c r="N338" s="31">
        <v>11051</v>
      </c>
      <c r="O338" s="31">
        <v>0</v>
      </c>
      <c r="P338" s="31">
        <v>4458</v>
      </c>
      <c r="Q338" s="31">
        <v>15509</v>
      </c>
      <c r="R338" s="45">
        <f t="shared" si="141"/>
        <v>2.2444283646888565</v>
      </c>
      <c r="S338" s="31">
        <v>27038</v>
      </c>
      <c r="T338" s="31">
        <v>148568</v>
      </c>
      <c r="U338" s="31">
        <v>0</v>
      </c>
      <c r="V338" s="31">
        <v>148568</v>
      </c>
      <c r="W338" s="45">
        <f t="shared" si="142"/>
        <v>21.500434153400867</v>
      </c>
      <c r="X338" s="4">
        <f t="shared" si="143"/>
        <v>0.71361935275429433</v>
      </c>
      <c r="Y338" s="4">
        <f t="shared" si="144"/>
        <v>0.10438990899789995</v>
      </c>
      <c r="Z338" s="4">
        <f t="shared" si="145"/>
        <v>0.18199073824780571</v>
      </c>
      <c r="AA338" s="4">
        <f t="shared" si="146"/>
        <v>0</v>
      </c>
      <c r="AB338" s="31">
        <v>0</v>
      </c>
      <c r="AC338" s="31">
        <v>15509</v>
      </c>
      <c r="AD338" s="31">
        <v>148568</v>
      </c>
      <c r="AE338" s="31">
        <v>146068</v>
      </c>
      <c r="AF338" s="31">
        <v>142450</v>
      </c>
      <c r="AG338" s="31">
        <v>16000</v>
      </c>
      <c r="AH338" s="31">
        <v>0</v>
      </c>
      <c r="AI338" s="31">
        <v>158450</v>
      </c>
      <c r="AJ338" s="45">
        <f t="shared" si="147"/>
        <v>22.930535455861072</v>
      </c>
      <c r="AK338" s="31">
        <v>0</v>
      </c>
      <c r="AL338" s="31">
        <v>0</v>
      </c>
      <c r="AM338" s="31">
        <v>0</v>
      </c>
      <c r="AN338" s="31">
        <v>0</v>
      </c>
      <c r="AO338" s="31">
        <v>0</v>
      </c>
      <c r="AP338" s="31">
        <v>2500</v>
      </c>
      <c r="AQ338" s="31">
        <v>2500</v>
      </c>
      <c r="AR338" s="31">
        <v>160950</v>
      </c>
      <c r="AS338" s="46">
        <f t="shared" si="148"/>
        <v>23.292329956584659</v>
      </c>
      <c r="AT338" s="31">
        <v>0</v>
      </c>
      <c r="AU338" s="31">
        <v>0</v>
      </c>
      <c r="AV338" s="31">
        <v>0</v>
      </c>
      <c r="AW338" s="31">
        <v>0</v>
      </c>
      <c r="AX338" s="31">
        <v>0</v>
      </c>
      <c r="AY338" s="31">
        <v>0</v>
      </c>
      <c r="AZ338" s="31">
        <v>0</v>
      </c>
      <c r="BA338" s="31">
        <v>0</v>
      </c>
      <c r="BB338" s="31">
        <v>0</v>
      </c>
      <c r="BC338" s="33" t="s">
        <v>25</v>
      </c>
      <c r="BD338" s="47">
        <v>17935</v>
      </c>
      <c r="BE338" s="47">
        <v>18435</v>
      </c>
      <c r="BF338" s="45">
        <f t="shared" si="149"/>
        <v>2.6678726483357451</v>
      </c>
      <c r="BG338" s="30">
        <v>418</v>
      </c>
      <c r="BH338" s="30">
        <v>428</v>
      </c>
      <c r="BI338" s="30">
        <v>0</v>
      </c>
      <c r="BJ338" s="30">
        <v>3121</v>
      </c>
      <c r="BK338" s="30">
        <v>3196</v>
      </c>
      <c r="BL338" s="30">
        <v>0</v>
      </c>
      <c r="BM338" s="30">
        <v>0</v>
      </c>
      <c r="BN338" s="30">
        <v>0</v>
      </c>
      <c r="BO338" s="30">
        <v>51</v>
      </c>
      <c r="BP338" s="30">
        <v>0</v>
      </c>
      <c r="BQ338" s="30">
        <v>51</v>
      </c>
      <c r="BR338" s="47">
        <v>21474</v>
      </c>
      <c r="BS338" s="47">
        <v>22059</v>
      </c>
      <c r="BT338" s="1">
        <f t="shared" si="150"/>
        <v>3.1923299565846599</v>
      </c>
      <c r="BU338" s="30">
        <v>3</v>
      </c>
      <c r="BV338" s="30">
        <v>0</v>
      </c>
      <c r="BW338" s="47">
        <v>1820</v>
      </c>
      <c r="BX338" s="52">
        <f t="shared" si="151"/>
        <v>0.26338639652677281</v>
      </c>
      <c r="BY338" s="47">
        <v>19104</v>
      </c>
      <c r="BZ338" s="47">
        <v>0</v>
      </c>
      <c r="CA338" s="47">
        <v>26566</v>
      </c>
      <c r="CB338" s="47">
        <v>0</v>
      </c>
      <c r="CC338" s="47">
        <v>45670</v>
      </c>
      <c r="CD338" s="55">
        <f t="shared" si="152"/>
        <v>6.6092619392185235</v>
      </c>
      <c r="CE338" s="3">
        <f t="shared" si="153"/>
        <v>17565.384615384613</v>
      </c>
      <c r="CF338" s="55">
        <f t="shared" si="154"/>
        <v>19.286317567567568</v>
      </c>
      <c r="CG338" s="55">
        <f t="shared" si="155"/>
        <v>1.6085517047055509</v>
      </c>
      <c r="CH338" s="55">
        <f t="shared" si="156"/>
        <v>2.0703567704791697</v>
      </c>
      <c r="CI338" s="30">
        <v>79</v>
      </c>
      <c r="CJ338" s="30">
        <v>20</v>
      </c>
      <c r="CK338" s="30">
        <v>61</v>
      </c>
      <c r="CL338" s="30">
        <v>160</v>
      </c>
      <c r="CM338" s="30">
        <v>2094</v>
      </c>
      <c r="CN338" s="30">
        <v>180</v>
      </c>
      <c r="CO338" s="30">
        <v>1158</v>
      </c>
      <c r="CP338" s="30">
        <v>3432</v>
      </c>
      <c r="CQ338" s="1">
        <f t="shared" si="164"/>
        <v>0.49667149059334298</v>
      </c>
      <c r="CR338" s="47">
        <v>28392</v>
      </c>
      <c r="CS338" s="55">
        <f t="shared" si="157"/>
        <v>4.1088277858176552</v>
      </c>
      <c r="CT338" s="59">
        <v>8199</v>
      </c>
      <c r="CU338" s="29" t="s">
        <v>25</v>
      </c>
      <c r="CV338" s="29" t="s">
        <v>25</v>
      </c>
      <c r="CW338" s="29" t="s">
        <v>25</v>
      </c>
      <c r="CX338" s="35">
        <v>0</v>
      </c>
      <c r="CY338" s="49">
        <v>0</v>
      </c>
      <c r="CZ338" s="35">
        <v>0.875</v>
      </c>
      <c r="DA338" s="35">
        <v>1.7250000000000001</v>
      </c>
      <c r="DB338" s="35">
        <v>2.6</v>
      </c>
      <c r="DC338" s="49">
        <f t="shared" si="158"/>
        <v>2657.6923076923076</v>
      </c>
      <c r="DD338" s="30">
        <v>932</v>
      </c>
      <c r="DE338" s="31">
        <v>38000</v>
      </c>
      <c r="DF338" s="35">
        <v>32</v>
      </c>
      <c r="DG338" s="29" t="s">
        <v>25</v>
      </c>
      <c r="DH338" s="29" t="s">
        <v>25</v>
      </c>
      <c r="DI338" s="29" t="s">
        <v>25</v>
      </c>
      <c r="DJ338" s="47">
        <v>0</v>
      </c>
      <c r="DK338" s="47">
        <v>1</v>
      </c>
      <c r="DL338" s="47">
        <v>13</v>
      </c>
      <c r="DM338" s="47">
        <v>3988</v>
      </c>
      <c r="DN338" s="47">
        <v>300</v>
      </c>
      <c r="DO338" s="47">
        <v>260</v>
      </c>
      <c r="DP338" s="29" t="s">
        <v>2028</v>
      </c>
      <c r="DQ338" s="47">
        <v>0</v>
      </c>
      <c r="DR338" s="47">
        <v>2368</v>
      </c>
      <c r="DS338" s="30">
        <v>52</v>
      </c>
      <c r="DT338" s="30">
        <v>46</v>
      </c>
      <c r="DU338" s="30">
        <v>46</v>
      </c>
      <c r="DV338" s="30">
        <v>46</v>
      </c>
      <c r="DX338" s="2">
        <f t="shared" si="159"/>
        <v>2368</v>
      </c>
      <c r="DY338" s="33" t="s">
        <v>2182</v>
      </c>
      <c r="DZ338" s="33" t="s">
        <v>1636</v>
      </c>
      <c r="EA338" s="33" t="s">
        <v>2030</v>
      </c>
      <c r="EB338" s="33" t="s">
        <v>2027</v>
      </c>
      <c r="EC338" s="36">
        <v>554</v>
      </c>
      <c r="ED338" s="29" t="s">
        <v>1635</v>
      </c>
      <c r="EE338" s="29" t="s">
        <v>51</v>
      </c>
      <c r="EF338" s="37">
        <v>41548</v>
      </c>
      <c r="EG338" s="37">
        <v>41912</v>
      </c>
      <c r="EH338" s="29" t="s">
        <v>1635</v>
      </c>
      <c r="EI338" s="55">
        <f t="shared" si="160"/>
        <v>2.7646888567293777</v>
      </c>
      <c r="EJ338" s="54">
        <f t="shared" si="161"/>
        <v>0</v>
      </c>
      <c r="EK338" s="55">
        <f t="shared" si="162"/>
        <v>3.8445730824891462</v>
      </c>
      <c r="EL338" s="54">
        <f t="shared" si="163"/>
        <v>0</v>
      </c>
    </row>
    <row r="339" spans="1:142" ht="28.8" x14ac:dyDescent="0.3">
      <c r="A339" s="29" t="s">
        <v>899</v>
      </c>
      <c r="B339" s="29"/>
      <c r="C339" s="30">
        <v>3239</v>
      </c>
      <c r="D339" s="30">
        <v>0</v>
      </c>
      <c r="E339" s="30">
        <v>0</v>
      </c>
      <c r="F339" s="30">
        <v>1800</v>
      </c>
      <c r="H339" s="2">
        <f t="shared" si="139"/>
        <v>1800</v>
      </c>
      <c r="I339" s="1">
        <f t="shared" si="138"/>
        <v>0.55572707625810436</v>
      </c>
      <c r="J339" s="31">
        <v>25808</v>
      </c>
      <c r="K339" s="31">
        <v>9383</v>
      </c>
      <c r="L339" s="31">
        <v>35191</v>
      </c>
      <c r="M339" s="45">
        <f t="shared" si="140"/>
        <v>10.864773078110527</v>
      </c>
      <c r="N339" s="31">
        <v>5633</v>
      </c>
      <c r="O339" s="31">
        <v>135</v>
      </c>
      <c r="P339" s="31">
        <v>0</v>
      </c>
      <c r="Q339" s="31">
        <v>5768</v>
      </c>
      <c r="R339" s="45">
        <f t="shared" si="141"/>
        <v>1.7807965421426366</v>
      </c>
      <c r="S339" s="31">
        <v>7033</v>
      </c>
      <c r="T339" s="31">
        <v>47992</v>
      </c>
      <c r="U339" s="31">
        <v>0</v>
      </c>
      <c r="V339" s="31">
        <v>47992</v>
      </c>
      <c r="W339" s="45">
        <f t="shared" si="142"/>
        <v>14.816918802099414</v>
      </c>
      <c r="X339" s="4">
        <f t="shared" si="143"/>
        <v>0.73326804467411233</v>
      </c>
      <c r="Y339" s="4">
        <f t="shared" si="144"/>
        <v>0.12018669778296383</v>
      </c>
      <c r="Z339" s="4">
        <f t="shared" si="145"/>
        <v>0.14654525754292383</v>
      </c>
      <c r="AA339" s="4">
        <f t="shared" si="146"/>
        <v>0</v>
      </c>
      <c r="AB339" s="31">
        <v>0</v>
      </c>
      <c r="AC339" s="31">
        <v>5843</v>
      </c>
      <c r="AD339" s="31">
        <v>47992</v>
      </c>
      <c r="AE339" s="31">
        <v>47992</v>
      </c>
      <c r="AF339" s="31">
        <v>47675</v>
      </c>
      <c r="AG339" s="31">
        <v>500</v>
      </c>
      <c r="AH339" s="31">
        <v>0</v>
      </c>
      <c r="AI339" s="31">
        <v>48175</v>
      </c>
      <c r="AJ339" s="45">
        <f t="shared" si="147"/>
        <v>14.873417721518987</v>
      </c>
      <c r="AK339" s="31">
        <v>0</v>
      </c>
      <c r="AL339" s="31">
        <v>0</v>
      </c>
      <c r="AM339" s="31">
        <v>0</v>
      </c>
      <c r="AN339" s="31">
        <v>0</v>
      </c>
      <c r="AO339" s="31">
        <v>0</v>
      </c>
      <c r="AP339" s="31">
        <v>0</v>
      </c>
      <c r="AQ339" s="31">
        <v>0</v>
      </c>
      <c r="AR339" s="31">
        <v>48175</v>
      </c>
      <c r="AS339" s="46">
        <f t="shared" si="148"/>
        <v>14.873417721518987</v>
      </c>
      <c r="AT339" s="31">
        <v>0</v>
      </c>
      <c r="AU339" s="31">
        <v>0</v>
      </c>
      <c r="AV339" s="31">
        <v>0</v>
      </c>
      <c r="AW339" s="31">
        <v>0</v>
      </c>
      <c r="AX339" s="31">
        <v>0</v>
      </c>
      <c r="AY339" s="31">
        <v>0</v>
      </c>
      <c r="AZ339" s="31">
        <v>0</v>
      </c>
      <c r="BA339" s="31">
        <v>0</v>
      </c>
      <c r="BB339" s="31">
        <v>0</v>
      </c>
      <c r="BC339" s="33" t="s">
        <v>25</v>
      </c>
      <c r="BD339" s="47">
        <v>18653</v>
      </c>
      <c r="BE339" s="47">
        <v>19121</v>
      </c>
      <c r="BF339" s="45">
        <f t="shared" si="149"/>
        <v>5.9033652361840074</v>
      </c>
      <c r="BG339" s="30">
        <v>1021</v>
      </c>
      <c r="BH339" s="30">
        <v>1213</v>
      </c>
      <c r="BI339" s="30">
        <v>803</v>
      </c>
      <c r="BJ339" s="30">
        <v>19</v>
      </c>
      <c r="BK339" s="30">
        <v>19</v>
      </c>
      <c r="BL339" s="30">
        <v>23</v>
      </c>
      <c r="BM339" s="30">
        <v>3348</v>
      </c>
      <c r="BN339" s="30">
        <v>2</v>
      </c>
      <c r="BO339" s="30">
        <v>51</v>
      </c>
      <c r="BP339" s="30">
        <v>16</v>
      </c>
      <c r="BQ339" s="30">
        <v>69</v>
      </c>
      <c r="BR339" s="47">
        <v>19693</v>
      </c>
      <c r="BS339" s="47">
        <v>24529</v>
      </c>
      <c r="BT339" s="1">
        <f t="shared" si="150"/>
        <v>7.5730163630750233</v>
      </c>
      <c r="BU339" s="30">
        <v>21</v>
      </c>
      <c r="BV339" s="30">
        <v>0</v>
      </c>
      <c r="BW339" s="47">
        <v>1523</v>
      </c>
      <c r="BX339" s="52">
        <f t="shared" si="151"/>
        <v>0.47020685396727385</v>
      </c>
      <c r="BY339" s="47">
        <v>2314</v>
      </c>
      <c r="BZ339" s="47">
        <v>814</v>
      </c>
      <c r="CA339" s="47">
        <v>2982</v>
      </c>
      <c r="CB339" s="47">
        <v>1096</v>
      </c>
      <c r="CC339" s="47">
        <v>7206</v>
      </c>
      <c r="CD339" s="55">
        <f t="shared" si="152"/>
        <v>2.2247607286199442</v>
      </c>
      <c r="CE339" s="3">
        <f t="shared" si="153"/>
        <v>6266.0869565217399</v>
      </c>
      <c r="CF339" s="55">
        <f t="shared" si="154"/>
        <v>4.6192307692307688</v>
      </c>
      <c r="CG339" s="55">
        <f t="shared" si="155"/>
        <v>0.73960792363748329</v>
      </c>
      <c r="CH339" s="55">
        <f t="shared" si="156"/>
        <v>0.21590770108850749</v>
      </c>
      <c r="CI339" s="30">
        <v>34</v>
      </c>
      <c r="CJ339" s="30">
        <v>2</v>
      </c>
      <c r="CK339" s="30">
        <v>90</v>
      </c>
      <c r="CL339" s="30">
        <v>126</v>
      </c>
      <c r="CM339" s="30">
        <v>233</v>
      </c>
      <c r="CN339" s="30">
        <v>17</v>
      </c>
      <c r="CO339" s="30">
        <v>1483</v>
      </c>
      <c r="CP339" s="30">
        <v>1733</v>
      </c>
      <c r="CQ339" s="1">
        <f t="shared" si="164"/>
        <v>0.53504167953071935</v>
      </c>
      <c r="CR339" s="47">
        <v>9743</v>
      </c>
      <c r="CS339" s="55">
        <f t="shared" si="157"/>
        <v>3.0080271688792837</v>
      </c>
      <c r="CT339" s="59">
        <v>978</v>
      </c>
      <c r="CU339" s="29" t="s">
        <v>25</v>
      </c>
      <c r="CV339" s="29" t="s">
        <v>25</v>
      </c>
      <c r="CW339" s="29" t="s">
        <v>25</v>
      </c>
      <c r="CX339" s="35">
        <v>0.75</v>
      </c>
      <c r="CY339" s="49">
        <f>C339/CX339</f>
        <v>4318.666666666667</v>
      </c>
      <c r="CZ339" s="35">
        <v>0</v>
      </c>
      <c r="DA339" s="35">
        <v>0.4</v>
      </c>
      <c r="DB339" s="35">
        <v>1.1499999999999999</v>
      </c>
      <c r="DC339" s="49">
        <f t="shared" si="158"/>
        <v>2816.521739130435</v>
      </c>
      <c r="DD339" s="30">
        <v>0</v>
      </c>
      <c r="DE339" s="31">
        <v>18200</v>
      </c>
      <c r="DF339" s="35">
        <v>30</v>
      </c>
      <c r="DG339" s="29" t="s">
        <v>25</v>
      </c>
      <c r="DH339" s="29" t="s">
        <v>25</v>
      </c>
      <c r="DI339" s="29" t="s">
        <v>25</v>
      </c>
      <c r="DJ339" s="47">
        <v>103</v>
      </c>
      <c r="DK339" s="47">
        <v>39</v>
      </c>
      <c r="DL339" s="47">
        <v>6</v>
      </c>
      <c r="DM339" s="47">
        <v>1621</v>
      </c>
      <c r="DN339" s="47">
        <v>36</v>
      </c>
      <c r="DO339" s="47">
        <v>780</v>
      </c>
      <c r="DP339" s="29" t="s">
        <v>25</v>
      </c>
      <c r="DQ339" s="47">
        <v>1523</v>
      </c>
      <c r="DR339" s="47">
        <v>1560</v>
      </c>
      <c r="DS339" s="30">
        <v>52</v>
      </c>
      <c r="DT339" s="30">
        <v>30</v>
      </c>
      <c r="DU339" s="30">
        <v>30</v>
      </c>
      <c r="DV339" s="30">
        <v>30</v>
      </c>
      <c r="DX339" s="2">
        <f t="shared" si="159"/>
        <v>1560</v>
      </c>
      <c r="DY339" s="33" t="s">
        <v>2184</v>
      </c>
      <c r="DZ339" s="33" t="s">
        <v>901</v>
      </c>
      <c r="EA339" s="33" t="s">
        <v>2030</v>
      </c>
      <c r="EB339" s="33" t="s">
        <v>2027</v>
      </c>
      <c r="EC339" s="36">
        <v>258</v>
      </c>
      <c r="ED339" s="29" t="s">
        <v>900</v>
      </c>
      <c r="EE339" s="29" t="s">
        <v>739</v>
      </c>
      <c r="EF339" s="37">
        <v>41548</v>
      </c>
      <c r="EG339" s="37">
        <v>41912</v>
      </c>
      <c r="EH339" s="29" t="s">
        <v>900</v>
      </c>
      <c r="EI339" s="55">
        <f t="shared" si="160"/>
        <v>0.71441803025625195</v>
      </c>
      <c r="EJ339" s="54">
        <f t="shared" si="161"/>
        <v>0.25131213337449831</v>
      </c>
      <c r="EK339" s="55">
        <f t="shared" si="162"/>
        <v>0.92065452300092621</v>
      </c>
      <c r="EL339" s="54">
        <f t="shared" si="163"/>
        <v>0.33837604198826798</v>
      </c>
    </row>
    <row r="340" spans="1:142" ht="28.8" x14ac:dyDescent="0.3">
      <c r="A340" s="29" t="s">
        <v>902</v>
      </c>
      <c r="B340" s="29"/>
      <c r="C340" s="30">
        <v>2148</v>
      </c>
      <c r="D340" s="30">
        <v>0</v>
      </c>
      <c r="E340" s="30">
        <v>0</v>
      </c>
      <c r="F340" s="30">
        <v>5130</v>
      </c>
      <c r="H340" s="2">
        <f t="shared" si="139"/>
        <v>5130</v>
      </c>
      <c r="I340" s="1">
        <f t="shared" si="138"/>
        <v>2.3882681564245809</v>
      </c>
      <c r="J340" s="31">
        <v>22359</v>
      </c>
      <c r="K340" s="31">
        <v>12491</v>
      </c>
      <c r="L340" s="31">
        <v>34850</v>
      </c>
      <c r="M340" s="45">
        <f t="shared" si="140"/>
        <v>16.224394785847299</v>
      </c>
      <c r="N340" s="31">
        <v>2483</v>
      </c>
      <c r="O340" s="31">
        <v>0</v>
      </c>
      <c r="P340" s="31">
        <v>997</v>
      </c>
      <c r="Q340" s="31">
        <v>3480</v>
      </c>
      <c r="R340" s="45">
        <f t="shared" si="141"/>
        <v>1.6201117318435754</v>
      </c>
      <c r="S340" s="31">
        <v>25393</v>
      </c>
      <c r="T340" s="31">
        <v>63723</v>
      </c>
      <c r="U340" s="31">
        <v>0</v>
      </c>
      <c r="V340" s="31">
        <v>63723</v>
      </c>
      <c r="W340" s="45">
        <f t="shared" si="142"/>
        <v>29.666201117318437</v>
      </c>
      <c r="X340" s="4">
        <f t="shared" si="143"/>
        <v>0.54689829417949565</v>
      </c>
      <c r="Y340" s="4">
        <f t="shared" si="144"/>
        <v>5.4611364813332702E-2</v>
      </c>
      <c r="Z340" s="4">
        <f t="shared" si="145"/>
        <v>0.39849034100717168</v>
      </c>
      <c r="AA340" s="4">
        <f t="shared" si="146"/>
        <v>0</v>
      </c>
      <c r="AB340" s="31">
        <v>0</v>
      </c>
      <c r="AC340" s="31">
        <v>3480</v>
      </c>
      <c r="AD340" s="31">
        <v>63723</v>
      </c>
      <c r="AE340" s="31">
        <v>42260</v>
      </c>
      <c r="AF340" s="31">
        <v>10000</v>
      </c>
      <c r="AG340" s="31">
        <v>32260</v>
      </c>
      <c r="AH340" s="31">
        <v>0</v>
      </c>
      <c r="AI340" s="31">
        <v>42260</v>
      </c>
      <c r="AJ340" s="45">
        <f t="shared" si="147"/>
        <v>19.674115456238361</v>
      </c>
      <c r="AK340" s="31">
        <v>0</v>
      </c>
      <c r="AL340" s="31">
        <v>0</v>
      </c>
      <c r="AM340" s="31">
        <v>0</v>
      </c>
      <c r="AN340" s="31">
        <v>0</v>
      </c>
      <c r="AO340" s="31">
        <v>0</v>
      </c>
      <c r="AP340" s="31">
        <v>25795</v>
      </c>
      <c r="AQ340" s="31">
        <v>25795</v>
      </c>
      <c r="AR340" s="31">
        <v>68055</v>
      </c>
      <c r="AS340" s="46">
        <f t="shared" si="148"/>
        <v>31.682960893854748</v>
      </c>
      <c r="AT340" s="31">
        <v>0</v>
      </c>
      <c r="AU340" s="31">
        <v>0</v>
      </c>
      <c r="AV340" s="31">
        <v>0</v>
      </c>
      <c r="AW340" s="31">
        <v>0</v>
      </c>
      <c r="AX340" s="31">
        <v>0</v>
      </c>
      <c r="AY340" s="31">
        <v>0</v>
      </c>
      <c r="AZ340" s="31">
        <v>0</v>
      </c>
      <c r="BA340" s="31">
        <v>0</v>
      </c>
      <c r="BB340" s="31">
        <v>0</v>
      </c>
      <c r="BC340" s="33" t="s">
        <v>25</v>
      </c>
      <c r="BD340" s="47">
        <v>10259</v>
      </c>
      <c r="BE340" s="47">
        <v>10622</v>
      </c>
      <c r="BF340" s="45">
        <f t="shared" si="149"/>
        <v>4.9450651769087521</v>
      </c>
      <c r="BG340" s="30">
        <v>277</v>
      </c>
      <c r="BH340" s="30">
        <v>277</v>
      </c>
      <c r="BI340" s="30">
        <v>0</v>
      </c>
      <c r="BJ340" s="30">
        <v>1319</v>
      </c>
      <c r="BK340" s="30">
        <v>1340</v>
      </c>
      <c r="BL340" s="30">
        <v>0</v>
      </c>
      <c r="BM340" s="30">
        <v>0</v>
      </c>
      <c r="BN340" s="30">
        <v>0</v>
      </c>
      <c r="BO340" s="30">
        <v>51</v>
      </c>
      <c r="BP340" s="30">
        <v>0</v>
      </c>
      <c r="BQ340" s="30">
        <v>51</v>
      </c>
      <c r="BR340" s="47">
        <v>11855</v>
      </c>
      <c r="BS340" s="47">
        <v>12239</v>
      </c>
      <c r="BT340" s="1">
        <f t="shared" si="150"/>
        <v>5.6978584729981376</v>
      </c>
      <c r="BU340" s="30">
        <v>23</v>
      </c>
      <c r="BV340" s="30">
        <v>0</v>
      </c>
      <c r="BW340" s="47">
        <v>598</v>
      </c>
      <c r="BX340" s="52">
        <f t="shared" si="151"/>
        <v>0.27839851024208567</v>
      </c>
      <c r="BY340" s="47">
        <v>1027</v>
      </c>
      <c r="BZ340" s="47">
        <v>0</v>
      </c>
      <c r="CA340" s="47">
        <v>4468</v>
      </c>
      <c r="CB340" s="47">
        <v>0</v>
      </c>
      <c r="CC340" s="47">
        <v>5495</v>
      </c>
      <c r="CD340" s="55">
        <f t="shared" si="152"/>
        <v>2.558193668528864</v>
      </c>
      <c r="CE340" s="3">
        <f t="shared" si="153"/>
        <v>6191.5492957746483</v>
      </c>
      <c r="CF340" s="55">
        <f t="shared" si="154"/>
        <v>3.1310541310541309</v>
      </c>
      <c r="CG340" s="55">
        <f t="shared" si="155"/>
        <v>0.55170682730923692</v>
      </c>
      <c r="CH340" s="55">
        <f t="shared" si="156"/>
        <v>0.44897458942724078</v>
      </c>
      <c r="CI340" s="30">
        <v>27</v>
      </c>
      <c r="CJ340" s="30">
        <v>2</v>
      </c>
      <c r="CK340" s="30">
        <v>119</v>
      </c>
      <c r="CL340" s="30">
        <v>148</v>
      </c>
      <c r="CM340" s="30">
        <v>590</v>
      </c>
      <c r="CN340" s="30">
        <v>25</v>
      </c>
      <c r="CO340" s="30">
        <v>1785</v>
      </c>
      <c r="CP340" s="30">
        <v>2400</v>
      </c>
      <c r="CQ340" s="1">
        <f t="shared" si="164"/>
        <v>1.1173184357541899</v>
      </c>
      <c r="CR340" s="47">
        <v>9960</v>
      </c>
      <c r="CS340" s="55">
        <f t="shared" si="157"/>
        <v>4.6368715083798886</v>
      </c>
      <c r="CT340" s="59">
        <v>1263</v>
      </c>
      <c r="CU340" s="29" t="s">
        <v>25</v>
      </c>
      <c r="CV340" s="29" t="s">
        <v>25</v>
      </c>
      <c r="CW340" s="29" t="s">
        <v>25</v>
      </c>
      <c r="CX340" s="35">
        <v>0</v>
      </c>
      <c r="CY340" s="49">
        <v>0</v>
      </c>
      <c r="CZ340" s="35">
        <v>0.88749999999999996</v>
      </c>
      <c r="DA340" s="35">
        <v>0</v>
      </c>
      <c r="DB340" s="35">
        <v>0.88749999999999996</v>
      </c>
      <c r="DC340" s="49">
        <f t="shared" si="158"/>
        <v>2420.2816901408451</v>
      </c>
      <c r="DD340" s="30">
        <v>2317</v>
      </c>
      <c r="DE340" s="31">
        <v>20000</v>
      </c>
      <c r="DF340" s="35">
        <v>35.5</v>
      </c>
      <c r="DG340" s="29" t="s">
        <v>25</v>
      </c>
      <c r="DH340" s="29" t="s">
        <v>25</v>
      </c>
      <c r="DI340" s="29" t="s">
        <v>25</v>
      </c>
      <c r="DJ340" s="47">
        <v>0</v>
      </c>
      <c r="DK340" s="47">
        <v>0</v>
      </c>
      <c r="DL340" s="47">
        <v>10</v>
      </c>
      <c r="DM340" s="47">
        <v>2340</v>
      </c>
      <c r="DN340" s="47">
        <v>124</v>
      </c>
      <c r="DO340" s="47">
        <v>5772</v>
      </c>
      <c r="DP340" s="29" t="s">
        <v>2028</v>
      </c>
      <c r="DQ340" s="47">
        <v>0</v>
      </c>
      <c r="DR340" s="47">
        <v>1755</v>
      </c>
      <c r="DS340" s="30">
        <v>52</v>
      </c>
      <c r="DT340" s="30">
        <v>35</v>
      </c>
      <c r="DU340" s="30">
        <v>35</v>
      </c>
      <c r="DV340" s="30">
        <v>35</v>
      </c>
      <c r="DX340" s="2">
        <f t="shared" si="159"/>
        <v>1755</v>
      </c>
      <c r="DY340" s="33" t="s">
        <v>2179</v>
      </c>
      <c r="DZ340" s="33" t="s">
        <v>904</v>
      </c>
      <c r="EA340" s="33" t="s">
        <v>2032</v>
      </c>
      <c r="EB340" s="33" t="s">
        <v>2027</v>
      </c>
      <c r="EC340" s="36">
        <v>259</v>
      </c>
      <c r="ED340" s="29" t="s">
        <v>903</v>
      </c>
      <c r="EE340" s="29" t="s">
        <v>902</v>
      </c>
      <c r="EF340" s="37">
        <v>41548</v>
      </c>
      <c r="EG340" s="37">
        <v>41912</v>
      </c>
      <c r="EH340" s="29" t="s">
        <v>903</v>
      </c>
      <c r="EI340" s="55">
        <f t="shared" si="160"/>
        <v>0.47811918063314712</v>
      </c>
      <c r="EJ340" s="54">
        <f t="shared" si="161"/>
        <v>0</v>
      </c>
      <c r="EK340" s="55">
        <f t="shared" si="162"/>
        <v>2.0800744878957169</v>
      </c>
      <c r="EL340" s="54">
        <f t="shared" si="163"/>
        <v>0</v>
      </c>
    </row>
    <row r="341" spans="1:142" ht="43.2" x14ac:dyDescent="0.3">
      <c r="A341" s="29" t="s">
        <v>905</v>
      </c>
      <c r="B341" s="29"/>
      <c r="C341" s="30">
        <v>25408</v>
      </c>
      <c r="D341" s="30">
        <v>0</v>
      </c>
      <c r="E341" s="30">
        <v>0</v>
      </c>
      <c r="F341" s="30">
        <v>11500</v>
      </c>
      <c r="H341" s="2">
        <f t="shared" si="139"/>
        <v>11500</v>
      </c>
      <c r="I341" s="1">
        <f t="shared" si="138"/>
        <v>0.45261335012594456</v>
      </c>
      <c r="J341" s="31">
        <v>209400</v>
      </c>
      <c r="K341" s="31">
        <v>112737</v>
      </c>
      <c r="L341" s="31">
        <v>322137</v>
      </c>
      <c r="M341" s="45">
        <f t="shared" si="140"/>
        <v>12.67856580604534</v>
      </c>
      <c r="N341" s="31">
        <v>18050</v>
      </c>
      <c r="O341" s="31">
        <v>1750</v>
      </c>
      <c r="P341" s="31">
        <v>4000</v>
      </c>
      <c r="Q341" s="31">
        <v>23800</v>
      </c>
      <c r="R341" s="45">
        <f t="shared" si="141"/>
        <v>0.9367128463476071</v>
      </c>
      <c r="S341" s="31">
        <v>91176</v>
      </c>
      <c r="T341" s="31">
        <v>437113</v>
      </c>
      <c r="U341" s="31">
        <v>50933</v>
      </c>
      <c r="V341" s="31">
        <v>488046</v>
      </c>
      <c r="W341" s="45">
        <f t="shared" si="142"/>
        <v>19.208359571788414</v>
      </c>
      <c r="X341" s="4">
        <f t="shared" si="143"/>
        <v>0.66005458501862524</v>
      </c>
      <c r="Y341" s="4">
        <f t="shared" si="144"/>
        <v>4.8765895018092559E-2</v>
      </c>
      <c r="Z341" s="4">
        <f t="shared" si="145"/>
        <v>0.18681845563737845</v>
      </c>
      <c r="AA341" s="4">
        <f t="shared" si="146"/>
        <v>0.10436106432590371</v>
      </c>
      <c r="AB341" s="31">
        <v>7052</v>
      </c>
      <c r="AC341" s="31">
        <v>23800</v>
      </c>
      <c r="AD341" s="31">
        <v>488046</v>
      </c>
      <c r="AE341" s="31">
        <v>488046</v>
      </c>
      <c r="AF341" s="31">
        <v>410632</v>
      </c>
      <c r="AG341" s="31">
        <v>29694</v>
      </c>
      <c r="AH341" s="31">
        <v>0</v>
      </c>
      <c r="AI341" s="31">
        <v>440326</v>
      </c>
      <c r="AJ341" s="45">
        <f t="shared" si="147"/>
        <v>17.330210957178842</v>
      </c>
      <c r="AK341" s="31">
        <v>0</v>
      </c>
      <c r="AL341" s="31">
        <v>0</v>
      </c>
      <c r="AM341" s="31">
        <v>0</v>
      </c>
      <c r="AN341" s="31">
        <v>0</v>
      </c>
      <c r="AO341" s="31">
        <v>40000</v>
      </c>
      <c r="AP341" s="31">
        <v>4369</v>
      </c>
      <c r="AQ341" s="31">
        <v>44369</v>
      </c>
      <c r="AR341" s="31">
        <v>484695</v>
      </c>
      <c r="AS341" s="46">
        <f t="shared" si="148"/>
        <v>19.076471977329973</v>
      </c>
      <c r="AT341" s="31">
        <v>0</v>
      </c>
      <c r="AU341" s="31">
        <v>0</v>
      </c>
      <c r="AV341" s="31">
        <v>0</v>
      </c>
      <c r="AW341" s="31">
        <v>0</v>
      </c>
      <c r="AX341" s="31">
        <v>0</v>
      </c>
      <c r="AY341" s="31">
        <v>0</v>
      </c>
      <c r="AZ341" s="31">
        <v>0</v>
      </c>
      <c r="BA341" s="31">
        <v>0</v>
      </c>
      <c r="BB341" s="31">
        <v>0</v>
      </c>
      <c r="BC341" s="33" t="s">
        <v>25</v>
      </c>
      <c r="BD341" s="47">
        <v>32223</v>
      </c>
      <c r="BE341" s="47">
        <v>35537</v>
      </c>
      <c r="BF341" s="45">
        <f t="shared" si="149"/>
        <v>1.398653967254408</v>
      </c>
      <c r="BG341" s="30">
        <v>23</v>
      </c>
      <c r="BH341" s="30">
        <v>23</v>
      </c>
      <c r="BI341" s="30">
        <v>0</v>
      </c>
      <c r="BJ341" s="30">
        <v>621</v>
      </c>
      <c r="BK341" s="30">
        <v>707</v>
      </c>
      <c r="BL341" s="30">
        <v>0</v>
      </c>
      <c r="BM341" s="30">
        <v>0</v>
      </c>
      <c r="BN341" s="30">
        <v>0</v>
      </c>
      <c r="BO341" s="30">
        <v>51</v>
      </c>
      <c r="BP341" s="30">
        <v>0</v>
      </c>
      <c r="BQ341" s="30">
        <v>51</v>
      </c>
      <c r="BR341" s="47">
        <v>32867</v>
      </c>
      <c r="BS341" s="47">
        <v>36267</v>
      </c>
      <c r="BT341" s="1">
        <f t="shared" si="150"/>
        <v>1.4273850755667505</v>
      </c>
      <c r="BU341" s="30">
        <v>80</v>
      </c>
      <c r="BV341" s="30">
        <v>62</v>
      </c>
      <c r="BW341" s="47">
        <v>7375</v>
      </c>
      <c r="BX341" s="52">
        <f t="shared" si="151"/>
        <v>0.29026290931989923</v>
      </c>
      <c r="BY341" s="47">
        <v>8102</v>
      </c>
      <c r="BZ341" s="47">
        <v>0</v>
      </c>
      <c r="CA341" s="47">
        <v>8931</v>
      </c>
      <c r="CB341" s="47">
        <v>0</v>
      </c>
      <c r="CC341" s="47">
        <v>17033</v>
      </c>
      <c r="CD341" s="55">
        <f t="shared" si="152"/>
        <v>0.67037940806045337</v>
      </c>
      <c r="CE341" s="3">
        <f t="shared" si="153"/>
        <v>2129.125</v>
      </c>
      <c r="CF341" s="55">
        <f t="shared" si="154"/>
        <v>6.2968576709796675</v>
      </c>
      <c r="CG341" s="55">
        <f t="shared" si="155"/>
        <v>0.24162340057309842</v>
      </c>
      <c r="CH341" s="55">
        <f t="shared" si="156"/>
        <v>0.46965560978299831</v>
      </c>
      <c r="CI341" s="30">
        <v>211</v>
      </c>
      <c r="CJ341" s="30">
        <v>6</v>
      </c>
      <c r="CK341" s="30">
        <v>102</v>
      </c>
      <c r="CL341" s="30">
        <v>319</v>
      </c>
      <c r="CM341" s="30">
        <v>3770</v>
      </c>
      <c r="CN341" s="30">
        <v>19</v>
      </c>
      <c r="CO341" s="30">
        <v>599</v>
      </c>
      <c r="CP341" s="30">
        <v>4388</v>
      </c>
      <c r="CQ341" s="1">
        <f t="shared" si="164"/>
        <v>0.1727015113350126</v>
      </c>
      <c r="CR341" s="47">
        <v>70494</v>
      </c>
      <c r="CS341" s="55">
        <f t="shared" si="157"/>
        <v>2.7744804785894206</v>
      </c>
      <c r="CT341" s="59">
        <v>10212</v>
      </c>
      <c r="CU341" s="29" t="s">
        <v>25</v>
      </c>
      <c r="CV341" s="29" t="s">
        <v>25</v>
      </c>
      <c r="CW341" s="29" t="s">
        <v>25</v>
      </c>
      <c r="CX341" s="35">
        <v>1</v>
      </c>
      <c r="CY341" s="49">
        <f>C341/CX341</f>
        <v>25408</v>
      </c>
      <c r="CZ341" s="35">
        <v>1</v>
      </c>
      <c r="DA341" s="35">
        <v>6</v>
      </c>
      <c r="DB341" s="35">
        <v>8</v>
      </c>
      <c r="DC341" s="49">
        <f t="shared" si="158"/>
        <v>3176</v>
      </c>
      <c r="DD341" s="30">
        <v>1191</v>
      </c>
      <c r="DE341" s="31">
        <v>53148</v>
      </c>
      <c r="DF341" s="35">
        <v>40</v>
      </c>
      <c r="DG341" s="29" t="s">
        <v>25</v>
      </c>
      <c r="DH341" s="29" t="s">
        <v>25</v>
      </c>
      <c r="DI341" s="29" t="s">
        <v>25</v>
      </c>
      <c r="DJ341" s="47">
        <v>332</v>
      </c>
      <c r="DK341" s="47">
        <v>138</v>
      </c>
      <c r="DL341" s="47">
        <v>38</v>
      </c>
      <c r="DM341" s="47">
        <v>24823</v>
      </c>
      <c r="DN341" s="47">
        <v>6184</v>
      </c>
      <c r="DO341" s="47">
        <v>2012</v>
      </c>
      <c r="DP341" s="29" t="s">
        <v>25</v>
      </c>
      <c r="DQ341" s="47">
        <v>-6</v>
      </c>
      <c r="DR341" s="47">
        <v>2705</v>
      </c>
      <c r="DS341" s="30">
        <v>52</v>
      </c>
      <c r="DT341" s="30">
        <v>56</v>
      </c>
      <c r="DU341" s="30">
        <v>56</v>
      </c>
      <c r="DV341" s="30">
        <v>52</v>
      </c>
      <c r="DX341" s="2">
        <f t="shared" si="159"/>
        <v>2705</v>
      </c>
      <c r="DY341" s="33" t="s">
        <v>2180</v>
      </c>
      <c r="DZ341" s="33" t="s">
        <v>907</v>
      </c>
      <c r="EA341" s="33" t="s">
        <v>2030</v>
      </c>
      <c r="EB341" s="33" t="s">
        <v>2027</v>
      </c>
      <c r="EC341" s="36">
        <v>260</v>
      </c>
      <c r="ED341" s="29" t="s">
        <v>906</v>
      </c>
      <c r="EE341" s="29" t="s">
        <v>35</v>
      </c>
      <c r="EF341" s="37">
        <v>41548</v>
      </c>
      <c r="EG341" s="37">
        <v>41912</v>
      </c>
      <c r="EH341" s="29" t="s">
        <v>906</v>
      </c>
      <c r="EI341" s="55">
        <f t="shared" si="160"/>
        <v>0.3188759445843829</v>
      </c>
      <c r="EJ341" s="54">
        <f t="shared" si="161"/>
        <v>0</v>
      </c>
      <c r="EK341" s="55">
        <f t="shared" si="162"/>
        <v>0.35150346347607053</v>
      </c>
      <c r="EL341" s="54">
        <f t="shared" si="163"/>
        <v>0</v>
      </c>
    </row>
    <row r="342" spans="1:142" ht="28.8" x14ac:dyDescent="0.3">
      <c r="A342" s="29" t="s">
        <v>1717</v>
      </c>
      <c r="B342" s="29"/>
      <c r="C342" s="30">
        <v>1461</v>
      </c>
      <c r="D342" s="30">
        <v>0</v>
      </c>
      <c r="E342" s="30">
        <v>0</v>
      </c>
      <c r="F342" s="30">
        <v>2464</v>
      </c>
      <c r="H342" s="2">
        <f t="shared" si="139"/>
        <v>2464</v>
      </c>
      <c r="I342" s="1">
        <f t="shared" si="138"/>
        <v>1.6865160848733745</v>
      </c>
      <c r="J342" s="31">
        <v>20833</v>
      </c>
      <c r="K342" s="31">
        <v>1594</v>
      </c>
      <c r="L342" s="31">
        <v>22427</v>
      </c>
      <c r="M342" s="45">
        <f t="shared" si="140"/>
        <v>15.350444900752908</v>
      </c>
      <c r="N342" s="31">
        <v>1963</v>
      </c>
      <c r="O342" s="31">
        <v>1500</v>
      </c>
      <c r="P342" s="31">
        <v>450</v>
      </c>
      <c r="Q342" s="31">
        <v>3913</v>
      </c>
      <c r="R342" s="45">
        <f t="shared" si="141"/>
        <v>2.678302532511978</v>
      </c>
      <c r="S342" s="31">
        <v>22345</v>
      </c>
      <c r="T342" s="31">
        <v>48685</v>
      </c>
      <c r="U342" s="31">
        <v>0</v>
      </c>
      <c r="V342" s="31">
        <v>48685</v>
      </c>
      <c r="W342" s="45">
        <f t="shared" si="142"/>
        <v>33.323066392881586</v>
      </c>
      <c r="X342" s="4">
        <f t="shared" si="143"/>
        <v>0.46065523261784946</v>
      </c>
      <c r="Y342" s="4">
        <f t="shared" si="144"/>
        <v>8.0373831775700941E-2</v>
      </c>
      <c r="Z342" s="4">
        <f t="shared" si="145"/>
        <v>0.45897093560644964</v>
      </c>
      <c r="AA342" s="4">
        <f t="shared" si="146"/>
        <v>0</v>
      </c>
      <c r="AB342" s="31">
        <v>0</v>
      </c>
      <c r="AC342" s="31">
        <v>3913</v>
      </c>
      <c r="AD342" s="31">
        <v>48685</v>
      </c>
      <c r="AE342" s="31">
        <v>5000</v>
      </c>
      <c r="AF342" s="31">
        <v>5000</v>
      </c>
      <c r="AG342" s="31">
        <v>0</v>
      </c>
      <c r="AH342" s="31">
        <v>0</v>
      </c>
      <c r="AI342" s="31">
        <v>5000</v>
      </c>
      <c r="AJ342" s="45">
        <f t="shared" si="147"/>
        <v>3.4223134839151266</v>
      </c>
      <c r="AK342" s="31">
        <v>0</v>
      </c>
      <c r="AL342" s="31">
        <v>0</v>
      </c>
      <c r="AM342" s="31">
        <v>0</v>
      </c>
      <c r="AN342" s="31">
        <v>0</v>
      </c>
      <c r="AO342" s="31">
        <v>500</v>
      </c>
      <c r="AP342" s="31">
        <v>30296</v>
      </c>
      <c r="AQ342" s="31">
        <v>30796</v>
      </c>
      <c r="AR342" s="31">
        <v>35796</v>
      </c>
      <c r="AS342" s="46">
        <f t="shared" si="148"/>
        <v>24.501026694045173</v>
      </c>
      <c r="AT342" s="31">
        <v>0</v>
      </c>
      <c r="AU342" s="31">
        <v>0</v>
      </c>
      <c r="AV342" s="31">
        <v>0</v>
      </c>
      <c r="AW342" s="31">
        <v>0</v>
      </c>
      <c r="AX342" s="31">
        <v>0</v>
      </c>
      <c r="AY342" s="31">
        <v>0</v>
      </c>
      <c r="AZ342" s="31">
        <v>0</v>
      </c>
      <c r="BA342" s="31">
        <v>0</v>
      </c>
      <c r="BB342" s="31">
        <v>0</v>
      </c>
      <c r="BC342" s="33" t="s">
        <v>25</v>
      </c>
      <c r="BD342" s="47">
        <v>17161</v>
      </c>
      <c r="BE342" s="47">
        <v>17229</v>
      </c>
      <c r="BF342" s="45">
        <f t="shared" si="149"/>
        <v>11.792607802874743</v>
      </c>
      <c r="BG342" s="30">
        <v>475</v>
      </c>
      <c r="BH342" s="30">
        <v>475</v>
      </c>
      <c r="BI342" s="30">
        <v>0</v>
      </c>
      <c r="BJ342" s="30">
        <v>1459</v>
      </c>
      <c r="BK342" s="30">
        <v>1459</v>
      </c>
      <c r="BL342" s="30">
        <v>0</v>
      </c>
      <c r="BM342" s="30">
        <v>6585</v>
      </c>
      <c r="BN342" s="30">
        <v>0</v>
      </c>
      <c r="BO342" s="30">
        <v>51</v>
      </c>
      <c r="BP342" s="30">
        <v>1</v>
      </c>
      <c r="BQ342" s="30">
        <v>52</v>
      </c>
      <c r="BR342" s="47">
        <v>19095</v>
      </c>
      <c r="BS342" s="47">
        <v>25748</v>
      </c>
      <c r="BT342" s="1">
        <f t="shared" si="150"/>
        <v>17.623545516769337</v>
      </c>
      <c r="BU342" s="30">
        <v>14</v>
      </c>
      <c r="BV342" s="30">
        <v>1</v>
      </c>
      <c r="BW342" s="47">
        <v>915</v>
      </c>
      <c r="BX342" s="52">
        <f t="shared" si="151"/>
        <v>0.62628336755646818</v>
      </c>
      <c r="BY342" s="47">
        <v>1045</v>
      </c>
      <c r="BZ342" s="47">
        <v>5</v>
      </c>
      <c r="CA342" s="47">
        <v>3715</v>
      </c>
      <c r="CB342" s="47">
        <v>176</v>
      </c>
      <c r="CC342" s="47">
        <v>4941</v>
      </c>
      <c r="CD342" s="55">
        <f t="shared" si="152"/>
        <v>3.3819301848049284</v>
      </c>
      <c r="CE342" s="3">
        <f t="shared" si="153"/>
        <v>4941</v>
      </c>
      <c r="CF342" s="55">
        <f t="shared" si="154"/>
        <v>2.5801566579634465</v>
      </c>
      <c r="CG342" s="55">
        <f t="shared" si="155"/>
        <v>0.55988668555240795</v>
      </c>
      <c r="CH342" s="55">
        <f t="shared" si="156"/>
        <v>0.18486872766816839</v>
      </c>
      <c r="CI342" s="30">
        <v>41</v>
      </c>
      <c r="CJ342" s="30">
        <v>0</v>
      </c>
      <c r="CK342" s="30">
        <v>36</v>
      </c>
      <c r="CL342" s="30">
        <v>77</v>
      </c>
      <c r="CM342" s="30">
        <v>198</v>
      </c>
      <c r="CN342" s="30">
        <v>0</v>
      </c>
      <c r="CO342" s="30">
        <v>198</v>
      </c>
      <c r="CP342" s="30">
        <v>396</v>
      </c>
      <c r="CQ342" s="1">
        <f t="shared" si="164"/>
        <v>0.27104722792607805</v>
      </c>
      <c r="CR342" s="47">
        <v>8825</v>
      </c>
      <c r="CS342" s="55">
        <f t="shared" si="157"/>
        <v>6.0403832991101982</v>
      </c>
      <c r="CT342" s="59">
        <v>2553</v>
      </c>
      <c r="CU342" s="29" t="s">
        <v>25</v>
      </c>
      <c r="CV342" s="29" t="s">
        <v>25</v>
      </c>
      <c r="CW342" s="29" t="s">
        <v>25</v>
      </c>
      <c r="CX342" s="35">
        <v>0</v>
      </c>
      <c r="CY342" s="49">
        <v>0</v>
      </c>
      <c r="CZ342" s="35">
        <v>0</v>
      </c>
      <c r="DA342" s="35">
        <v>1</v>
      </c>
      <c r="DB342" s="35">
        <v>1</v>
      </c>
      <c r="DC342" s="49">
        <f t="shared" si="158"/>
        <v>1461</v>
      </c>
      <c r="DD342" s="30">
        <v>314</v>
      </c>
      <c r="DE342" s="31">
        <v>10000</v>
      </c>
      <c r="DF342" s="35">
        <v>20</v>
      </c>
      <c r="DG342" s="29" t="s">
        <v>25</v>
      </c>
      <c r="DH342" s="29" t="s">
        <v>25</v>
      </c>
      <c r="DI342" s="29" t="s">
        <v>25</v>
      </c>
      <c r="DJ342" s="47">
        <v>17</v>
      </c>
      <c r="DK342" s="47">
        <v>30</v>
      </c>
      <c r="DL342" s="47">
        <v>11</v>
      </c>
      <c r="DM342" s="47">
        <v>2365</v>
      </c>
      <c r="DN342" s="47">
        <v>119</v>
      </c>
      <c r="DO342" s="47">
        <v>81</v>
      </c>
      <c r="DP342" s="29" t="s">
        <v>2028</v>
      </c>
      <c r="DQ342" s="47">
        <v>0</v>
      </c>
      <c r="DR342" s="47">
        <v>1915</v>
      </c>
      <c r="DS342" s="30">
        <v>51</v>
      </c>
      <c r="DT342" s="30">
        <v>38</v>
      </c>
      <c r="DU342" s="30">
        <v>38</v>
      </c>
      <c r="DV342" s="30">
        <v>38</v>
      </c>
      <c r="DX342" s="2">
        <f t="shared" si="159"/>
        <v>1915</v>
      </c>
      <c r="DY342" s="33" t="s">
        <v>2186</v>
      </c>
      <c r="DZ342" s="33" t="s">
        <v>1719</v>
      </c>
      <c r="EA342" s="33" t="s">
        <v>2032</v>
      </c>
      <c r="EB342" s="33" t="s">
        <v>2027</v>
      </c>
      <c r="EC342" s="36">
        <v>591</v>
      </c>
      <c r="ED342" s="29" t="s">
        <v>1718</v>
      </c>
      <c r="EE342" s="29" t="s">
        <v>317</v>
      </c>
      <c r="EF342" s="37">
        <v>41640</v>
      </c>
      <c r="EG342" s="37">
        <v>42004</v>
      </c>
      <c r="EH342" s="29" t="s">
        <v>1718</v>
      </c>
      <c r="EI342" s="55">
        <f t="shared" si="160"/>
        <v>0.7152635181382615</v>
      </c>
      <c r="EJ342" s="54">
        <f t="shared" si="161"/>
        <v>3.4223134839151265E-3</v>
      </c>
      <c r="EK342" s="55">
        <f t="shared" si="162"/>
        <v>2.5427789185489389</v>
      </c>
      <c r="EL342" s="54">
        <f t="shared" si="163"/>
        <v>0.12046543463381246</v>
      </c>
    </row>
    <row r="343" spans="1:142" ht="28.8" x14ac:dyDescent="0.3">
      <c r="A343" s="29" t="s">
        <v>1733</v>
      </c>
      <c r="B343" s="29"/>
      <c r="C343" s="30">
        <v>2592</v>
      </c>
      <c r="D343" s="30">
        <v>0</v>
      </c>
      <c r="E343" s="30">
        <v>0</v>
      </c>
      <c r="F343" s="30">
        <v>300</v>
      </c>
      <c r="H343" s="2">
        <f t="shared" si="139"/>
        <v>300</v>
      </c>
      <c r="I343" s="1">
        <f t="shared" si="138"/>
        <v>0.11574074074074074</v>
      </c>
      <c r="J343" s="31">
        <v>17505</v>
      </c>
      <c r="K343" s="31">
        <v>1501</v>
      </c>
      <c r="L343" s="31">
        <v>19006</v>
      </c>
      <c r="M343" s="45">
        <f t="shared" si="140"/>
        <v>7.3325617283950617</v>
      </c>
      <c r="N343" s="31">
        <v>1117</v>
      </c>
      <c r="O343" s="31">
        <v>0</v>
      </c>
      <c r="P343" s="31">
        <v>218</v>
      </c>
      <c r="Q343" s="31">
        <v>1335</v>
      </c>
      <c r="R343" s="45">
        <f t="shared" si="141"/>
        <v>0.51504629629629628</v>
      </c>
      <c r="S343" s="31">
        <v>1236</v>
      </c>
      <c r="T343" s="31">
        <v>21577</v>
      </c>
      <c r="U343" s="31">
        <v>0</v>
      </c>
      <c r="V343" s="31">
        <v>21577</v>
      </c>
      <c r="W343" s="45">
        <f t="shared" si="142"/>
        <v>8.3244598765432105</v>
      </c>
      <c r="X343" s="4">
        <f t="shared" si="143"/>
        <v>0.88084534457987673</v>
      </c>
      <c r="Y343" s="4">
        <f t="shared" si="144"/>
        <v>6.1871437178477082E-2</v>
      </c>
      <c r="Z343" s="4">
        <f t="shared" si="145"/>
        <v>5.72832182416462E-2</v>
      </c>
      <c r="AA343" s="4">
        <f t="shared" si="146"/>
        <v>0</v>
      </c>
      <c r="AB343" s="31">
        <v>0</v>
      </c>
      <c r="AC343" s="31">
        <v>1335</v>
      </c>
      <c r="AD343" s="31">
        <v>21577</v>
      </c>
      <c r="AE343" s="31">
        <v>21577</v>
      </c>
      <c r="AF343" s="31">
        <v>24381</v>
      </c>
      <c r="AG343" s="31">
        <v>0</v>
      </c>
      <c r="AH343" s="31">
        <v>0</v>
      </c>
      <c r="AI343" s="31">
        <v>24381</v>
      </c>
      <c r="AJ343" s="45">
        <f t="shared" si="147"/>
        <v>9.40625</v>
      </c>
      <c r="AK343" s="31">
        <v>0</v>
      </c>
      <c r="AL343" s="31">
        <v>0</v>
      </c>
      <c r="AM343" s="31">
        <v>0</v>
      </c>
      <c r="AN343" s="31">
        <v>0</v>
      </c>
      <c r="AO343" s="31">
        <v>0</v>
      </c>
      <c r="AP343" s="31">
        <v>205</v>
      </c>
      <c r="AQ343" s="31">
        <v>205</v>
      </c>
      <c r="AR343" s="31">
        <v>24586</v>
      </c>
      <c r="AS343" s="46">
        <f t="shared" si="148"/>
        <v>9.4853395061728403</v>
      </c>
      <c r="AT343" s="31">
        <v>0</v>
      </c>
      <c r="AU343" s="31">
        <v>0</v>
      </c>
      <c r="AV343" s="31">
        <v>0</v>
      </c>
      <c r="AW343" s="31">
        <v>0</v>
      </c>
      <c r="AX343" s="31">
        <v>0</v>
      </c>
      <c r="AY343" s="31">
        <v>0</v>
      </c>
      <c r="AZ343" s="31">
        <v>0</v>
      </c>
      <c r="BA343" s="31">
        <v>0</v>
      </c>
      <c r="BB343" s="31">
        <v>0</v>
      </c>
      <c r="BC343" s="33" t="s">
        <v>25</v>
      </c>
      <c r="BD343" s="47">
        <v>9156</v>
      </c>
      <c r="BE343" s="47">
        <v>9168</v>
      </c>
      <c r="BF343" s="45">
        <f t="shared" si="149"/>
        <v>3.5370370370370372</v>
      </c>
      <c r="BG343" s="30">
        <v>220</v>
      </c>
      <c r="BH343" s="30">
        <v>221</v>
      </c>
      <c r="BI343" s="30">
        <v>0</v>
      </c>
      <c r="BJ343" s="30">
        <v>708</v>
      </c>
      <c r="BK343" s="30">
        <v>709</v>
      </c>
      <c r="BL343" s="30">
        <v>0</v>
      </c>
      <c r="BM343" s="30">
        <v>0</v>
      </c>
      <c r="BN343" s="30">
        <v>0</v>
      </c>
      <c r="BO343" s="30">
        <v>0</v>
      </c>
      <c r="BP343" s="30">
        <v>0</v>
      </c>
      <c r="BQ343" s="30">
        <v>0</v>
      </c>
      <c r="BR343" s="47">
        <v>10084</v>
      </c>
      <c r="BS343" s="47">
        <v>10098</v>
      </c>
      <c r="BT343" s="1">
        <f t="shared" si="150"/>
        <v>3.8958333333333335</v>
      </c>
      <c r="BU343" s="30">
        <v>4</v>
      </c>
      <c r="BV343" s="30">
        <v>0</v>
      </c>
      <c r="BW343" s="47">
        <v>112</v>
      </c>
      <c r="BX343" s="52">
        <f t="shared" si="151"/>
        <v>4.3209876543209874E-2</v>
      </c>
      <c r="BY343" s="47">
        <v>1242</v>
      </c>
      <c r="BZ343" s="47">
        <v>0</v>
      </c>
      <c r="CA343" s="47">
        <v>2215</v>
      </c>
      <c r="CB343" s="47">
        <v>0</v>
      </c>
      <c r="CC343" s="47">
        <v>3457</v>
      </c>
      <c r="CD343" s="55">
        <f t="shared" si="152"/>
        <v>1.3337191358024691</v>
      </c>
      <c r="CE343" s="3">
        <f t="shared" si="153"/>
        <v>4609.333333333333</v>
      </c>
      <c r="CF343" s="55">
        <f t="shared" si="154"/>
        <v>2.332658569500675</v>
      </c>
      <c r="CG343" s="55">
        <f t="shared" si="155"/>
        <v>0.97079472058410554</v>
      </c>
      <c r="CH343" s="55">
        <f t="shared" si="156"/>
        <v>0.34234501881560703</v>
      </c>
      <c r="CI343" s="30">
        <v>36</v>
      </c>
      <c r="CJ343" s="30">
        <v>1</v>
      </c>
      <c r="CK343" s="30">
        <v>1</v>
      </c>
      <c r="CL343" s="30">
        <v>38</v>
      </c>
      <c r="CM343" s="30">
        <v>334</v>
      </c>
      <c r="CN343" s="30">
        <v>40</v>
      </c>
      <c r="CO343" s="30">
        <v>41</v>
      </c>
      <c r="CP343" s="30">
        <v>415</v>
      </c>
      <c r="CQ343" s="1">
        <f t="shared" si="164"/>
        <v>0.16010802469135801</v>
      </c>
      <c r="CR343" s="47">
        <v>3561</v>
      </c>
      <c r="CS343" s="55">
        <f t="shared" si="157"/>
        <v>1.3738425925925926</v>
      </c>
      <c r="CT343" s="59">
        <v>609</v>
      </c>
      <c r="CU343" s="29" t="s">
        <v>25</v>
      </c>
      <c r="CV343" s="29" t="s">
        <v>25</v>
      </c>
      <c r="CW343" s="29" t="s">
        <v>25</v>
      </c>
      <c r="CX343" s="35">
        <v>0</v>
      </c>
      <c r="CY343" s="49">
        <v>0</v>
      </c>
      <c r="CZ343" s="35">
        <v>0.75</v>
      </c>
      <c r="DA343" s="35">
        <v>0</v>
      </c>
      <c r="DB343" s="35">
        <v>0.75</v>
      </c>
      <c r="DC343" s="49">
        <f t="shared" si="158"/>
        <v>3456</v>
      </c>
      <c r="DD343" s="30">
        <v>330</v>
      </c>
      <c r="DE343" s="31">
        <v>16905</v>
      </c>
      <c r="DF343" s="35">
        <v>30</v>
      </c>
      <c r="DG343" s="29" t="s">
        <v>25</v>
      </c>
      <c r="DH343" s="29" t="s">
        <v>25</v>
      </c>
      <c r="DI343" s="29" t="s">
        <v>25</v>
      </c>
      <c r="DJ343" s="47">
        <v>0</v>
      </c>
      <c r="DK343" s="47">
        <v>0</v>
      </c>
      <c r="DL343" s="47">
        <v>5</v>
      </c>
      <c r="DM343" s="47">
        <v>1292</v>
      </c>
      <c r="DN343" s="47">
        <v>92</v>
      </c>
      <c r="DO343" s="47">
        <v>54</v>
      </c>
      <c r="DP343" s="29" t="s">
        <v>2028</v>
      </c>
      <c r="DQ343" s="47">
        <v>0</v>
      </c>
      <c r="DR343" s="47">
        <v>1482</v>
      </c>
      <c r="DS343" s="30">
        <v>52</v>
      </c>
      <c r="DT343" s="30">
        <v>30</v>
      </c>
      <c r="DU343" s="30">
        <v>30</v>
      </c>
      <c r="DV343" s="30">
        <v>30</v>
      </c>
      <c r="DX343" s="2">
        <f t="shared" si="159"/>
        <v>1482</v>
      </c>
      <c r="DY343" s="33" t="s">
        <v>2179</v>
      </c>
      <c r="DZ343" s="33" t="s">
        <v>1735</v>
      </c>
      <c r="EA343" s="33" t="s">
        <v>2030</v>
      </c>
      <c r="EB343" s="33" t="s">
        <v>2027</v>
      </c>
      <c r="EC343" s="36">
        <v>600</v>
      </c>
      <c r="ED343" s="29" t="s">
        <v>1734</v>
      </c>
      <c r="EE343" s="29" t="s">
        <v>31</v>
      </c>
      <c r="EF343" s="37">
        <v>41548</v>
      </c>
      <c r="EG343" s="37">
        <v>41912</v>
      </c>
      <c r="EH343" s="29" t="s">
        <v>1734</v>
      </c>
      <c r="EI343" s="55">
        <f t="shared" si="160"/>
        <v>0.47916666666666669</v>
      </c>
      <c r="EJ343" s="54">
        <f t="shared" si="161"/>
        <v>0</v>
      </c>
      <c r="EK343" s="55">
        <f t="shared" si="162"/>
        <v>0.85455246913580252</v>
      </c>
      <c r="EL343" s="54">
        <f t="shared" si="163"/>
        <v>0</v>
      </c>
    </row>
    <row r="344" spans="1:142" ht="28.8" x14ac:dyDescent="0.3">
      <c r="A344" s="29" t="s">
        <v>908</v>
      </c>
      <c r="B344" s="29"/>
      <c r="C344" s="30">
        <v>1612</v>
      </c>
      <c r="D344" s="30">
        <v>0</v>
      </c>
      <c r="E344" s="30">
        <v>0</v>
      </c>
      <c r="F344" s="30">
        <v>2421</v>
      </c>
      <c r="H344" s="2">
        <f t="shared" si="139"/>
        <v>2421</v>
      </c>
      <c r="I344" s="1">
        <f t="shared" si="138"/>
        <v>1.5018610421836229</v>
      </c>
      <c r="J344" s="31">
        <v>13450</v>
      </c>
      <c r="K344" s="31">
        <v>4196</v>
      </c>
      <c r="L344" s="31">
        <v>17646</v>
      </c>
      <c r="M344" s="45">
        <f t="shared" si="140"/>
        <v>10.946650124069478</v>
      </c>
      <c r="N344" s="31">
        <v>3280</v>
      </c>
      <c r="O344" s="31">
        <v>1500</v>
      </c>
      <c r="P344" s="31">
        <v>220</v>
      </c>
      <c r="Q344" s="31">
        <v>5000</v>
      </c>
      <c r="R344" s="45">
        <f t="shared" si="141"/>
        <v>3.1017369727047148</v>
      </c>
      <c r="S344" s="31">
        <v>11678</v>
      </c>
      <c r="T344" s="31">
        <v>34324</v>
      </c>
      <c r="U344" s="31">
        <v>0</v>
      </c>
      <c r="V344" s="31">
        <v>34324</v>
      </c>
      <c r="W344" s="45">
        <f t="shared" si="142"/>
        <v>21.292803970223325</v>
      </c>
      <c r="X344" s="4">
        <f t="shared" si="143"/>
        <v>0.51410092063862023</v>
      </c>
      <c r="Y344" s="4">
        <f t="shared" si="144"/>
        <v>0.14567066775434098</v>
      </c>
      <c r="Z344" s="4">
        <f t="shared" si="145"/>
        <v>0.34022841160703882</v>
      </c>
      <c r="AA344" s="4">
        <f t="shared" si="146"/>
        <v>0</v>
      </c>
      <c r="AB344" s="31">
        <v>0</v>
      </c>
      <c r="AC344" s="31">
        <v>5000</v>
      </c>
      <c r="AD344" s="31">
        <v>34324</v>
      </c>
      <c r="AE344" s="31">
        <v>34324</v>
      </c>
      <c r="AF344" s="31">
        <v>0</v>
      </c>
      <c r="AG344" s="31">
        <v>34324</v>
      </c>
      <c r="AH344" s="31">
        <v>0</v>
      </c>
      <c r="AI344" s="31">
        <v>34324</v>
      </c>
      <c r="AJ344" s="45">
        <f t="shared" si="147"/>
        <v>21.292803970223325</v>
      </c>
      <c r="AK344" s="31">
        <v>0</v>
      </c>
      <c r="AL344" s="31">
        <v>0</v>
      </c>
      <c r="AM344" s="31">
        <v>0</v>
      </c>
      <c r="AN344" s="31">
        <v>0</v>
      </c>
      <c r="AO344" s="31">
        <v>0</v>
      </c>
      <c r="AP344" s="31">
        <v>0</v>
      </c>
      <c r="AQ344" s="31">
        <v>0</v>
      </c>
      <c r="AR344" s="31">
        <v>34324</v>
      </c>
      <c r="AS344" s="46">
        <f t="shared" si="148"/>
        <v>21.292803970223325</v>
      </c>
      <c r="AT344" s="31">
        <v>0</v>
      </c>
      <c r="AU344" s="31">
        <v>0</v>
      </c>
      <c r="AV344" s="31">
        <v>0</v>
      </c>
      <c r="AW344" s="31">
        <v>0</v>
      </c>
      <c r="AX344" s="31">
        <v>0</v>
      </c>
      <c r="AY344" s="31">
        <v>0</v>
      </c>
      <c r="AZ344" s="31">
        <v>0</v>
      </c>
      <c r="BA344" s="31">
        <v>0</v>
      </c>
      <c r="BB344" s="31">
        <v>0</v>
      </c>
      <c r="BC344" s="33" t="s">
        <v>25</v>
      </c>
      <c r="BD344" s="47">
        <v>10455</v>
      </c>
      <c r="BE344" s="47">
        <v>10700</v>
      </c>
      <c r="BF344" s="45">
        <f t="shared" si="149"/>
        <v>6.6377171215880892</v>
      </c>
      <c r="BG344" s="30">
        <v>452</v>
      </c>
      <c r="BH344" s="30">
        <v>455</v>
      </c>
      <c r="BI344" s="30">
        <v>51</v>
      </c>
      <c r="BJ344" s="30">
        <v>70</v>
      </c>
      <c r="BK344" s="30">
        <v>70</v>
      </c>
      <c r="BL344" s="30">
        <v>0</v>
      </c>
      <c r="BM344" s="30">
        <v>1041</v>
      </c>
      <c r="BN344" s="30">
        <v>0</v>
      </c>
      <c r="BO344" s="30">
        <v>51</v>
      </c>
      <c r="BP344" s="30">
        <v>0</v>
      </c>
      <c r="BQ344" s="30">
        <v>51</v>
      </c>
      <c r="BR344" s="47">
        <v>10977</v>
      </c>
      <c r="BS344" s="47">
        <v>12317</v>
      </c>
      <c r="BT344" s="1">
        <f t="shared" si="150"/>
        <v>7.6408188585607943</v>
      </c>
      <c r="BU344" s="30">
        <v>0</v>
      </c>
      <c r="BV344" s="30">
        <v>0</v>
      </c>
      <c r="BW344" s="47">
        <v>39</v>
      </c>
      <c r="BX344" s="52">
        <f t="shared" si="151"/>
        <v>2.4193548387096774E-2</v>
      </c>
      <c r="BY344" s="47">
        <v>592</v>
      </c>
      <c r="BZ344" s="47">
        <v>0</v>
      </c>
      <c r="CA344" s="47">
        <v>943</v>
      </c>
      <c r="CB344" s="47">
        <v>125</v>
      </c>
      <c r="CC344" s="47">
        <v>1660</v>
      </c>
      <c r="CD344" s="55">
        <f t="shared" si="152"/>
        <v>1.0297766749379653</v>
      </c>
      <c r="CE344" s="3">
        <f t="shared" si="153"/>
        <v>3320</v>
      </c>
      <c r="CF344" s="55">
        <f t="shared" si="154"/>
        <v>1.7078189300411524</v>
      </c>
      <c r="CG344" s="55">
        <f t="shared" si="155"/>
        <v>0.70879590093936806</v>
      </c>
      <c r="CH344" s="55">
        <f t="shared" si="156"/>
        <v>0.12462450271981813</v>
      </c>
      <c r="CI344" s="30">
        <v>2</v>
      </c>
      <c r="CJ344" s="30">
        <v>0</v>
      </c>
      <c r="CK344" s="30">
        <v>0</v>
      </c>
      <c r="CL344" s="30">
        <v>2</v>
      </c>
      <c r="CM344" s="30">
        <v>92</v>
      </c>
      <c r="CN344" s="30">
        <v>0</v>
      </c>
      <c r="CO344" s="30">
        <v>0</v>
      </c>
      <c r="CP344" s="30">
        <v>92</v>
      </c>
      <c r="CQ344" s="1">
        <f t="shared" si="164"/>
        <v>5.7071960297766747E-2</v>
      </c>
      <c r="CR344" s="47">
        <v>2342</v>
      </c>
      <c r="CS344" s="55">
        <f t="shared" si="157"/>
        <v>1.4528535980148884</v>
      </c>
      <c r="CT344" s="59">
        <v>412</v>
      </c>
      <c r="CU344" s="29" t="s">
        <v>25</v>
      </c>
      <c r="CV344" s="29" t="s">
        <v>25</v>
      </c>
      <c r="CW344" s="29" t="s">
        <v>25</v>
      </c>
      <c r="CX344" s="35">
        <v>0</v>
      </c>
      <c r="CY344" s="49">
        <v>0</v>
      </c>
      <c r="CZ344" s="35">
        <v>0.5</v>
      </c>
      <c r="DA344" s="35">
        <v>0</v>
      </c>
      <c r="DB344" s="35">
        <v>0.5</v>
      </c>
      <c r="DC344" s="49">
        <f t="shared" si="158"/>
        <v>3224</v>
      </c>
      <c r="DD344" s="30">
        <v>222</v>
      </c>
      <c r="DE344" s="31">
        <v>13450</v>
      </c>
      <c r="DF344" s="35">
        <v>20</v>
      </c>
      <c r="DG344" s="29" t="s">
        <v>25</v>
      </c>
      <c r="DH344" s="29" t="s">
        <v>26</v>
      </c>
      <c r="DI344" s="29" t="s">
        <v>26</v>
      </c>
      <c r="DJ344" s="47">
        <v>0</v>
      </c>
      <c r="DK344" s="47">
        <v>0</v>
      </c>
      <c r="DL344" s="47">
        <v>9</v>
      </c>
      <c r="DM344" s="47">
        <v>1729</v>
      </c>
      <c r="DN344" s="47">
        <v>1</v>
      </c>
      <c r="DO344" s="47">
        <v>1048</v>
      </c>
      <c r="DP344" s="29" t="s">
        <v>25</v>
      </c>
      <c r="DQ344" s="47">
        <v>143</v>
      </c>
      <c r="DR344" s="47">
        <v>972</v>
      </c>
      <c r="DS344" s="30">
        <v>52</v>
      </c>
      <c r="DT344" s="30">
        <v>20</v>
      </c>
      <c r="DU344" s="30">
        <v>20</v>
      </c>
      <c r="DV344" s="30">
        <v>20</v>
      </c>
      <c r="DX344" s="2">
        <f t="shared" si="159"/>
        <v>972</v>
      </c>
      <c r="DY344" s="33" t="s">
        <v>2179</v>
      </c>
      <c r="DZ344" s="33" t="s">
        <v>910</v>
      </c>
      <c r="EA344" s="33" t="s">
        <v>2031</v>
      </c>
      <c r="EB344" s="33" t="s">
        <v>2027</v>
      </c>
      <c r="EC344" s="36">
        <v>261</v>
      </c>
      <c r="ED344" s="29" t="s">
        <v>2040</v>
      </c>
      <c r="EE344" s="29" t="s">
        <v>909</v>
      </c>
      <c r="EF344" s="37">
        <v>41548</v>
      </c>
      <c r="EG344" s="37">
        <v>41912</v>
      </c>
      <c r="EH344" s="29" t="s">
        <v>2040</v>
      </c>
      <c r="EI344" s="55">
        <f t="shared" si="160"/>
        <v>0.36724565756823824</v>
      </c>
      <c r="EJ344" s="54">
        <f t="shared" si="161"/>
        <v>0</v>
      </c>
      <c r="EK344" s="55">
        <f t="shared" si="162"/>
        <v>0.58498759305210923</v>
      </c>
      <c r="EL344" s="54">
        <f t="shared" si="163"/>
        <v>7.7543424317617862E-2</v>
      </c>
    </row>
    <row r="345" spans="1:142" ht="28.8" x14ac:dyDescent="0.3">
      <c r="A345" s="29" t="s">
        <v>911</v>
      </c>
      <c r="B345" s="29"/>
      <c r="C345" s="30">
        <v>143484</v>
      </c>
      <c r="D345" s="30">
        <v>1</v>
      </c>
      <c r="E345" s="30">
        <v>0</v>
      </c>
      <c r="F345" s="30">
        <v>26000</v>
      </c>
      <c r="G345">
        <v>10000</v>
      </c>
      <c r="H345" s="2">
        <f t="shared" si="139"/>
        <v>36000</v>
      </c>
      <c r="I345" s="1">
        <f t="shared" si="138"/>
        <v>0.25089905494689302</v>
      </c>
      <c r="J345" s="31">
        <v>1173850</v>
      </c>
      <c r="K345" s="31">
        <v>315634</v>
      </c>
      <c r="L345" s="31">
        <v>1489484</v>
      </c>
      <c r="M345" s="45">
        <f t="shared" si="140"/>
        <v>10.380836887736612</v>
      </c>
      <c r="N345" s="31">
        <v>128257</v>
      </c>
      <c r="O345" s="31">
        <v>69766</v>
      </c>
      <c r="P345" s="31">
        <v>23671</v>
      </c>
      <c r="Q345" s="31">
        <v>221694</v>
      </c>
      <c r="R345" s="45">
        <f t="shared" si="141"/>
        <v>1.5450781968721252</v>
      </c>
      <c r="S345" s="31">
        <v>176380</v>
      </c>
      <c r="T345" s="31">
        <v>1887558</v>
      </c>
      <c r="U345" s="31">
        <v>106250</v>
      </c>
      <c r="V345" s="31">
        <v>1993808</v>
      </c>
      <c r="W345" s="45">
        <f t="shared" si="142"/>
        <v>13.895681748487636</v>
      </c>
      <c r="X345" s="4">
        <f t="shared" si="143"/>
        <v>0.74705488191440705</v>
      </c>
      <c r="Y345" s="4">
        <f t="shared" si="144"/>
        <v>0.11119124810413039</v>
      </c>
      <c r="Z345" s="4">
        <f t="shared" si="145"/>
        <v>8.8463884185438116E-2</v>
      </c>
      <c r="AA345" s="4">
        <f t="shared" si="146"/>
        <v>5.3289985796024494E-2</v>
      </c>
      <c r="AB345" s="31">
        <v>0</v>
      </c>
      <c r="AC345" s="31">
        <v>219660</v>
      </c>
      <c r="AD345" s="31">
        <v>1991308</v>
      </c>
      <c r="AE345" s="31">
        <v>1989717</v>
      </c>
      <c r="AF345" s="31">
        <v>1883467</v>
      </c>
      <c r="AG345" s="31">
        <v>0</v>
      </c>
      <c r="AH345" s="31">
        <v>0</v>
      </c>
      <c r="AI345" s="31">
        <v>1883467</v>
      </c>
      <c r="AJ345" s="45">
        <f t="shared" si="147"/>
        <v>13.126669175657216</v>
      </c>
      <c r="AK345" s="31">
        <v>0</v>
      </c>
      <c r="AL345" s="31">
        <v>0</v>
      </c>
      <c r="AM345" s="31">
        <v>0</v>
      </c>
      <c r="AN345" s="31">
        <v>0</v>
      </c>
      <c r="AO345" s="31">
        <v>2500</v>
      </c>
      <c r="AP345" s="31">
        <v>6981</v>
      </c>
      <c r="AQ345" s="31">
        <v>9481</v>
      </c>
      <c r="AR345" s="31">
        <v>1892948</v>
      </c>
      <c r="AS345" s="46">
        <f t="shared" si="148"/>
        <v>13.192746229544758</v>
      </c>
      <c r="AT345" s="31">
        <v>0</v>
      </c>
      <c r="AU345" s="31">
        <v>0</v>
      </c>
      <c r="AV345" s="31">
        <v>0</v>
      </c>
      <c r="AW345" s="31">
        <v>0</v>
      </c>
      <c r="AX345" s="31">
        <v>0</v>
      </c>
      <c r="AY345" s="31">
        <v>0</v>
      </c>
      <c r="AZ345" s="31">
        <v>0</v>
      </c>
      <c r="BA345" s="31">
        <v>0</v>
      </c>
      <c r="BB345" s="31">
        <v>0</v>
      </c>
      <c r="BC345" s="33" t="s">
        <v>25</v>
      </c>
      <c r="BD345" s="47">
        <v>160423</v>
      </c>
      <c r="BE345" s="47">
        <v>198417</v>
      </c>
      <c r="BF345" s="45">
        <f t="shared" si="149"/>
        <v>1.3828510495943798</v>
      </c>
      <c r="BG345" s="30">
        <v>5776</v>
      </c>
      <c r="BH345" s="30">
        <v>6895</v>
      </c>
      <c r="BI345" s="30">
        <v>1498</v>
      </c>
      <c r="BJ345" s="30">
        <v>6092</v>
      </c>
      <c r="BK345" s="30">
        <v>7764</v>
      </c>
      <c r="BL345" s="30">
        <v>24</v>
      </c>
      <c r="BM345" s="30">
        <v>10684</v>
      </c>
      <c r="BN345" s="30">
        <v>8</v>
      </c>
      <c r="BO345" s="30">
        <v>51</v>
      </c>
      <c r="BP345" s="30">
        <v>1</v>
      </c>
      <c r="BQ345" s="30">
        <v>60</v>
      </c>
      <c r="BR345" s="47">
        <v>172291</v>
      </c>
      <c r="BS345" s="47">
        <v>225290</v>
      </c>
      <c r="BT345" s="1">
        <f t="shared" si="150"/>
        <v>1.5701402246940426</v>
      </c>
      <c r="BU345" s="30">
        <v>249</v>
      </c>
      <c r="BV345" s="30">
        <v>27</v>
      </c>
      <c r="BW345" s="47">
        <v>54696</v>
      </c>
      <c r="BX345" s="52">
        <f t="shared" si="151"/>
        <v>0.38119929748264614</v>
      </c>
      <c r="BY345" s="47">
        <v>154335</v>
      </c>
      <c r="BZ345" s="47">
        <v>669</v>
      </c>
      <c r="CA345" s="47">
        <v>154340</v>
      </c>
      <c r="CB345" s="47">
        <v>13913</v>
      </c>
      <c r="CC345" s="47">
        <v>323257</v>
      </c>
      <c r="CD345" s="55">
        <f t="shared" si="152"/>
        <v>2.2529132168046613</v>
      </c>
      <c r="CE345" s="3">
        <f t="shared" si="153"/>
        <v>10208.653087004579</v>
      </c>
      <c r="CF345" s="55">
        <f t="shared" si="154"/>
        <v>55.975238095238097</v>
      </c>
      <c r="CG345" s="55">
        <f t="shared" si="155"/>
        <v>1.0126813467038838</v>
      </c>
      <c r="CH345" s="55">
        <f t="shared" si="156"/>
        <v>1.370122952638821</v>
      </c>
      <c r="CI345" s="30">
        <v>373</v>
      </c>
      <c r="CJ345" s="30">
        <v>51</v>
      </c>
      <c r="CK345" s="30">
        <v>119</v>
      </c>
      <c r="CL345" s="30">
        <v>543</v>
      </c>
      <c r="CM345" s="30">
        <v>10364</v>
      </c>
      <c r="CN345" s="30">
        <v>350</v>
      </c>
      <c r="CO345" s="30">
        <v>1484</v>
      </c>
      <c r="CP345" s="30">
        <v>12198</v>
      </c>
      <c r="CQ345" s="1">
        <f t="shared" si="164"/>
        <v>8.5012963117838916E-2</v>
      </c>
      <c r="CR345" s="47">
        <v>319209</v>
      </c>
      <c r="CS345" s="55">
        <f t="shared" si="157"/>
        <v>2.2247010119595214</v>
      </c>
      <c r="CT345" s="59">
        <v>36121</v>
      </c>
      <c r="CU345" s="29" t="s">
        <v>25</v>
      </c>
      <c r="CV345" s="29" t="s">
        <v>25</v>
      </c>
      <c r="CW345" s="29" t="s">
        <v>25</v>
      </c>
      <c r="CX345" s="35">
        <v>10</v>
      </c>
      <c r="CY345" s="49">
        <f>C345/CX345</f>
        <v>14348.4</v>
      </c>
      <c r="CZ345" s="35">
        <v>2.29</v>
      </c>
      <c r="DA345" s="35">
        <v>19.375</v>
      </c>
      <c r="DB345" s="35">
        <v>31.664999999999999</v>
      </c>
      <c r="DC345" s="49">
        <f t="shared" si="158"/>
        <v>4531.3121743249649</v>
      </c>
      <c r="DD345" s="30">
        <v>3412</v>
      </c>
      <c r="DE345" s="31">
        <v>110000</v>
      </c>
      <c r="DF345" s="35">
        <v>40</v>
      </c>
      <c r="DG345" s="29" t="s">
        <v>25</v>
      </c>
      <c r="DH345" s="29" t="s">
        <v>25</v>
      </c>
      <c r="DI345" s="29" t="s">
        <v>25</v>
      </c>
      <c r="DJ345" s="47">
        <v>268</v>
      </c>
      <c r="DK345" s="47">
        <v>413</v>
      </c>
      <c r="DL345" s="47">
        <v>44</v>
      </c>
      <c r="DM345" s="47">
        <v>83112</v>
      </c>
      <c r="DN345" s="47">
        <v>25092</v>
      </c>
      <c r="DO345" s="47">
        <v>15300</v>
      </c>
      <c r="DP345" s="29" t="s">
        <v>25</v>
      </c>
      <c r="DQ345" s="47">
        <v>205172</v>
      </c>
      <c r="DR345" s="47">
        <v>3045</v>
      </c>
      <c r="DS345" s="30">
        <v>52</v>
      </c>
      <c r="DT345" s="30">
        <v>62</v>
      </c>
      <c r="DU345" s="30">
        <v>60</v>
      </c>
      <c r="DV345" s="30">
        <v>60</v>
      </c>
      <c r="DW345">
        <f>VLOOKUP(EC345,branch!$I$4:$K$77,3,0)</f>
        <v>2730</v>
      </c>
      <c r="DX345" s="2">
        <f t="shared" si="159"/>
        <v>5775</v>
      </c>
      <c r="DY345" s="33" t="s">
        <v>2182</v>
      </c>
      <c r="DZ345" s="33" t="s">
        <v>913</v>
      </c>
      <c r="EA345" s="33" t="s">
        <v>2030</v>
      </c>
      <c r="EB345" s="33" t="s">
        <v>2027</v>
      </c>
      <c r="EC345" s="36">
        <v>262</v>
      </c>
      <c r="ED345" s="29" t="s">
        <v>912</v>
      </c>
      <c r="EE345" s="29" t="s">
        <v>269</v>
      </c>
      <c r="EF345" s="37">
        <v>41548</v>
      </c>
      <c r="EG345" s="37">
        <v>41912</v>
      </c>
      <c r="EH345" s="29" t="s">
        <v>912</v>
      </c>
      <c r="EI345" s="55">
        <f t="shared" si="160"/>
        <v>1.0756251568119093</v>
      </c>
      <c r="EJ345" s="54">
        <f t="shared" si="161"/>
        <v>4.6625407710964286E-3</v>
      </c>
      <c r="EK345" s="55">
        <f t="shared" si="162"/>
        <v>1.0756600039028741</v>
      </c>
      <c r="EL345" s="54">
        <f t="shared" si="163"/>
        <v>9.6965515318781184E-2</v>
      </c>
    </row>
    <row r="346" spans="1:142" ht="28.8" x14ac:dyDescent="0.3">
      <c r="A346" s="29" t="s">
        <v>914</v>
      </c>
      <c r="B346" s="29"/>
      <c r="C346" s="30">
        <v>14773</v>
      </c>
      <c r="D346" s="30">
        <v>0</v>
      </c>
      <c r="E346" s="30">
        <v>0</v>
      </c>
      <c r="F346" s="30">
        <v>8900</v>
      </c>
      <c r="H346" s="2">
        <f t="shared" si="139"/>
        <v>8900</v>
      </c>
      <c r="I346" s="1">
        <f t="shared" si="138"/>
        <v>0.60245041630000673</v>
      </c>
      <c r="J346" s="31">
        <v>86534</v>
      </c>
      <c r="K346" s="31">
        <v>26408</v>
      </c>
      <c r="L346" s="31">
        <v>112942</v>
      </c>
      <c r="M346" s="45">
        <f t="shared" si="140"/>
        <v>7.6451634739050975</v>
      </c>
      <c r="N346" s="31">
        <v>40984</v>
      </c>
      <c r="O346" s="31">
        <v>2930</v>
      </c>
      <c r="P346" s="31">
        <v>18734</v>
      </c>
      <c r="Q346" s="31">
        <v>62648</v>
      </c>
      <c r="R346" s="45">
        <f t="shared" si="141"/>
        <v>4.2407094022879575</v>
      </c>
      <c r="S346" s="31">
        <v>60700</v>
      </c>
      <c r="T346" s="31">
        <v>236290</v>
      </c>
      <c r="U346" s="31">
        <v>0</v>
      </c>
      <c r="V346" s="31">
        <v>236290</v>
      </c>
      <c r="W346" s="45">
        <f t="shared" si="142"/>
        <v>15.994720097475124</v>
      </c>
      <c r="X346" s="4">
        <f t="shared" si="143"/>
        <v>0.47798044775487747</v>
      </c>
      <c r="Y346" s="4">
        <f t="shared" si="144"/>
        <v>0.26513182953150788</v>
      </c>
      <c r="Z346" s="4">
        <f t="shared" si="145"/>
        <v>0.25688772271361465</v>
      </c>
      <c r="AA346" s="4">
        <f t="shared" si="146"/>
        <v>0</v>
      </c>
      <c r="AB346" s="31">
        <v>0</v>
      </c>
      <c r="AC346" s="31">
        <v>52254</v>
      </c>
      <c r="AD346" s="31">
        <v>216396</v>
      </c>
      <c r="AE346" s="31">
        <v>172142</v>
      </c>
      <c r="AF346" s="31">
        <v>164142</v>
      </c>
      <c r="AG346" s="31">
        <v>8000</v>
      </c>
      <c r="AH346" s="31">
        <v>0</v>
      </c>
      <c r="AI346" s="31">
        <v>172142</v>
      </c>
      <c r="AJ346" s="45">
        <f t="shared" si="147"/>
        <v>11.65247410817031</v>
      </c>
      <c r="AK346" s="31">
        <v>0</v>
      </c>
      <c r="AL346" s="31">
        <v>0</v>
      </c>
      <c r="AM346" s="31">
        <v>2000</v>
      </c>
      <c r="AN346" s="31">
        <v>2000</v>
      </c>
      <c r="AO346" s="31">
        <v>7000</v>
      </c>
      <c r="AP346" s="31">
        <v>52254</v>
      </c>
      <c r="AQ346" s="31">
        <v>59254</v>
      </c>
      <c r="AR346" s="31">
        <v>233396</v>
      </c>
      <c r="AS346" s="46">
        <f t="shared" si="148"/>
        <v>15.798822175590605</v>
      </c>
      <c r="AT346" s="31">
        <v>0</v>
      </c>
      <c r="AU346" s="31">
        <v>0</v>
      </c>
      <c r="AV346" s="31">
        <v>0</v>
      </c>
      <c r="AW346" s="31">
        <v>0</v>
      </c>
      <c r="AX346" s="31">
        <v>0</v>
      </c>
      <c r="AY346" s="31">
        <v>0</v>
      </c>
      <c r="AZ346" s="31">
        <v>0</v>
      </c>
      <c r="BA346" s="31">
        <v>0</v>
      </c>
      <c r="BB346" s="31">
        <v>0</v>
      </c>
      <c r="BC346" s="33" t="s">
        <v>25</v>
      </c>
      <c r="BD346" s="47">
        <v>41913</v>
      </c>
      <c r="BE346" s="47">
        <v>42987</v>
      </c>
      <c r="BF346" s="45">
        <f t="shared" si="149"/>
        <v>2.9098355107290326</v>
      </c>
      <c r="BG346" s="30">
        <v>1180</v>
      </c>
      <c r="BH346" s="30">
        <v>1743</v>
      </c>
      <c r="BI346" s="30">
        <v>0</v>
      </c>
      <c r="BJ346" s="30">
        <v>1542</v>
      </c>
      <c r="BK346" s="30">
        <v>1619</v>
      </c>
      <c r="BL346" s="30">
        <v>0</v>
      </c>
      <c r="BM346" s="30">
        <v>86</v>
      </c>
      <c r="BN346" s="30">
        <v>0</v>
      </c>
      <c r="BO346" s="30">
        <v>51</v>
      </c>
      <c r="BP346" s="30">
        <v>4</v>
      </c>
      <c r="BQ346" s="30">
        <v>55</v>
      </c>
      <c r="BR346" s="47">
        <v>44635</v>
      </c>
      <c r="BS346" s="47">
        <v>46435</v>
      </c>
      <c r="BT346" s="1">
        <f t="shared" si="150"/>
        <v>3.1432342787517769</v>
      </c>
      <c r="BU346" s="30">
        <v>32</v>
      </c>
      <c r="BV346" s="30">
        <v>3</v>
      </c>
      <c r="BW346" s="47">
        <v>16985</v>
      </c>
      <c r="BX346" s="52">
        <f t="shared" si="151"/>
        <v>1.1497326203208555</v>
      </c>
      <c r="BY346" s="47">
        <v>12809</v>
      </c>
      <c r="BZ346" s="47">
        <v>0</v>
      </c>
      <c r="CA346" s="47">
        <v>32935</v>
      </c>
      <c r="CB346" s="47">
        <v>674</v>
      </c>
      <c r="CC346" s="47">
        <v>46418</v>
      </c>
      <c r="CD346" s="55">
        <f t="shared" si="152"/>
        <v>3.1420835307655857</v>
      </c>
      <c r="CE346" s="3">
        <f t="shared" si="153"/>
        <v>13168.22695035461</v>
      </c>
      <c r="CF346" s="55">
        <f t="shared" si="154"/>
        <v>20.52077807250221</v>
      </c>
      <c r="CG346" s="55">
        <f t="shared" si="155"/>
        <v>1.1222106713729663</v>
      </c>
      <c r="CH346" s="55">
        <f t="shared" si="156"/>
        <v>0.98511898352535798</v>
      </c>
      <c r="CI346" s="30">
        <v>113</v>
      </c>
      <c r="CJ346" s="30">
        <v>4</v>
      </c>
      <c r="CK346" s="30">
        <v>53</v>
      </c>
      <c r="CL346" s="30">
        <v>170</v>
      </c>
      <c r="CM346" s="30">
        <v>2899</v>
      </c>
      <c r="CN346" s="30">
        <v>25</v>
      </c>
      <c r="CO346" s="30">
        <v>137</v>
      </c>
      <c r="CP346" s="30">
        <v>3061</v>
      </c>
      <c r="CQ346" s="1">
        <f t="shared" si="164"/>
        <v>0.20720232857239559</v>
      </c>
      <c r="CR346" s="47">
        <v>41363</v>
      </c>
      <c r="CS346" s="55">
        <f t="shared" si="157"/>
        <v>2.7999052325187841</v>
      </c>
      <c r="CT346" s="59">
        <v>4512</v>
      </c>
      <c r="CU346" s="29" t="s">
        <v>25</v>
      </c>
      <c r="CV346" s="29" t="s">
        <v>25</v>
      </c>
      <c r="CW346" s="29" t="s">
        <v>25</v>
      </c>
      <c r="CX346" s="35">
        <v>0</v>
      </c>
      <c r="CY346" s="49">
        <v>0</v>
      </c>
      <c r="CZ346" s="35">
        <v>1</v>
      </c>
      <c r="DA346" s="35">
        <v>2.5249999999999999</v>
      </c>
      <c r="DB346" s="35">
        <v>3.5249999999999999</v>
      </c>
      <c r="DC346" s="49">
        <f t="shared" si="158"/>
        <v>4190.921985815603</v>
      </c>
      <c r="DD346" s="30">
        <v>560</v>
      </c>
      <c r="DE346" s="31">
        <v>28166</v>
      </c>
      <c r="DF346" s="35">
        <v>40</v>
      </c>
      <c r="DG346" s="29" t="s">
        <v>25</v>
      </c>
      <c r="DH346" s="29" t="s">
        <v>25</v>
      </c>
      <c r="DI346" s="29" t="s">
        <v>25</v>
      </c>
      <c r="DJ346" s="47">
        <v>18</v>
      </c>
      <c r="DK346" s="47">
        <v>128</v>
      </c>
      <c r="DL346" s="47">
        <v>16</v>
      </c>
      <c r="DM346" s="47">
        <v>19502</v>
      </c>
      <c r="DN346" s="47">
        <v>416</v>
      </c>
      <c r="DO346" s="47">
        <v>1779</v>
      </c>
      <c r="DP346" s="29" t="s">
        <v>25</v>
      </c>
      <c r="DQ346" s="47">
        <v>2516</v>
      </c>
      <c r="DR346" s="47">
        <v>2262</v>
      </c>
      <c r="DS346" s="30">
        <v>52</v>
      </c>
      <c r="DT346" s="30">
        <v>46</v>
      </c>
      <c r="DU346" s="30">
        <v>46</v>
      </c>
      <c r="DV346" s="30">
        <v>46</v>
      </c>
      <c r="DX346" s="2">
        <f t="shared" si="159"/>
        <v>2262</v>
      </c>
      <c r="DY346" s="33" t="s">
        <v>2186</v>
      </c>
      <c r="DZ346" s="33" t="s">
        <v>916</v>
      </c>
      <c r="EA346" s="33" t="s">
        <v>2030</v>
      </c>
      <c r="EB346" s="33" t="s">
        <v>2027</v>
      </c>
      <c r="EC346" s="36">
        <v>263</v>
      </c>
      <c r="ED346" s="29" t="s">
        <v>915</v>
      </c>
      <c r="EE346" s="29" t="s">
        <v>612</v>
      </c>
      <c r="EF346" s="37">
        <v>41548</v>
      </c>
      <c r="EG346" s="37">
        <v>41912</v>
      </c>
      <c r="EH346" s="29" t="s">
        <v>915</v>
      </c>
      <c r="EI346" s="55">
        <f t="shared" si="160"/>
        <v>0.86705476206593113</v>
      </c>
      <c r="EJ346" s="54">
        <f t="shared" si="161"/>
        <v>0</v>
      </c>
      <c r="EK346" s="55">
        <f t="shared" si="162"/>
        <v>2.2294049956000812</v>
      </c>
      <c r="EL346" s="54">
        <f t="shared" si="163"/>
        <v>4.5623773099573543E-2</v>
      </c>
    </row>
    <row r="347" spans="1:142" ht="28.8" x14ac:dyDescent="0.3">
      <c r="A347" s="29" t="s">
        <v>917</v>
      </c>
      <c r="B347" s="29"/>
      <c r="C347" s="30">
        <v>151468</v>
      </c>
      <c r="D347" s="30">
        <v>1</v>
      </c>
      <c r="E347" s="30">
        <v>0</v>
      </c>
      <c r="F347" s="30">
        <v>57980</v>
      </c>
      <c r="G347">
        <v>32956</v>
      </c>
      <c r="H347" s="2">
        <f t="shared" si="139"/>
        <v>90936</v>
      </c>
      <c r="I347" s="1">
        <f t="shared" si="138"/>
        <v>0.60036443341167767</v>
      </c>
      <c r="J347" s="31">
        <v>1443941</v>
      </c>
      <c r="K347" s="31">
        <v>592245</v>
      </c>
      <c r="L347" s="31">
        <v>2036186</v>
      </c>
      <c r="M347" s="45">
        <f t="shared" si="140"/>
        <v>13.443011065043441</v>
      </c>
      <c r="N347" s="31">
        <v>205845</v>
      </c>
      <c r="O347" s="31">
        <v>66631</v>
      </c>
      <c r="P347" s="31">
        <v>78935</v>
      </c>
      <c r="Q347" s="31">
        <v>351411</v>
      </c>
      <c r="R347" s="45">
        <f t="shared" si="141"/>
        <v>2.3200345947658914</v>
      </c>
      <c r="S347" s="31">
        <v>240988</v>
      </c>
      <c r="T347" s="31">
        <v>2628585</v>
      </c>
      <c r="U347" s="31">
        <v>0</v>
      </c>
      <c r="V347" s="31">
        <v>2628585</v>
      </c>
      <c r="W347" s="45">
        <f t="shared" si="142"/>
        <v>17.354061583964931</v>
      </c>
      <c r="X347" s="4">
        <f t="shared" si="143"/>
        <v>0.77463197880228341</v>
      </c>
      <c r="Y347" s="4">
        <f t="shared" si="144"/>
        <v>0.13368827715291687</v>
      </c>
      <c r="Z347" s="4">
        <f t="shared" si="145"/>
        <v>9.1679744044799769E-2</v>
      </c>
      <c r="AA347" s="4">
        <f t="shared" si="146"/>
        <v>0</v>
      </c>
      <c r="AB347" s="31">
        <v>115130</v>
      </c>
      <c r="AC347" s="31">
        <v>351411</v>
      </c>
      <c r="AD347" s="31">
        <v>2628585</v>
      </c>
      <c r="AE347" s="31">
        <v>2627134</v>
      </c>
      <c r="AF347" s="31">
        <v>0</v>
      </c>
      <c r="AG347" s="31">
        <v>2661984</v>
      </c>
      <c r="AH347" s="31">
        <v>0</v>
      </c>
      <c r="AI347" s="31">
        <v>2661984</v>
      </c>
      <c r="AJ347" s="45">
        <f t="shared" si="147"/>
        <v>17.574563604193624</v>
      </c>
      <c r="AK347" s="31">
        <v>0</v>
      </c>
      <c r="AL347" s="31">
        <v>0</v>
      </c>
      <c r="AM347" s="31">
        <v>0</v>
      </c>
      <c r="AN347" s="31">
        <v>0</v>
      </c>
      <c r="AO347" s="31">
        <v>0</v>
      </c>
      <c r="AP347" s="31">
        <v>4757</v>
      </c>
      <c r="AQ347" s="31">
        <v>4757</v>
      </c>
      <c r="AR347" s="31">
        <v>2666741</v>
      </c>
      <c r="AS347" s="46">
        <f t="shared" si="148"/>
        <v>17.605969577732591</v>
      </c>
      <c r="AT347" s="31">
        <v>0</v>
      </c>
      <c r="AU347" s="31">
        <v>163142</v>
      </c>
      <c r="AV347" s="31">
        <v>0</v>
      </c>
      <c r="AW347" s="31">
        <v>0</v>
      </c>
      <c r="AX347" s="31">
        <v>0</v>
      </c>
      <c r="AY347" s="31">
        <v>0</v>
      </c>
      <c r="AZ347" s="31">
        <v>0</v>
      </c>
      <c r="BA347" s="31">
        <v>0</v>
      </c>
      <c r="BB347" s="31">
        <v>163142</v>
      </c>
      <c r="BC347" s="33" t="s">
        <v>25</v>
      </c>
      <c r="BD347" s="47">
        <v>209515</v>
      </c>
      <c r="BE347" s="47">
        <v>253273</v>
      </c>
      <c r="BF347" s="45">
        <f t="shared" si="149"/>
        <v>1.6721221644175668</v>
      </c>
      <c r="BG347" s="30">
        <v>11180</v>
      </c>
      <c r="BH347" s="30">
        <v>11694</v>
      </c>
      <c r="BI347" s="30">
        <v>339</v>
      </c>
      <c r="BJ347" s="30">
        <v>11451</v>
      </c>
      <c r="BK347" s="30">
        <v>13269</v>
      </c>
      <c r="BL347" s="30">
        <v>0</v>
      </c>
      <c r="BM347" s="30">
        <v>8602</v>
      </c>
      <c r="BN347" s="30">
        <v>10</v>
      </c>
      <c r="BO347" s="30">
        <v>51</v>
      </c>
      <c r="BP347" s="30">
        <v>0</v>
      </c>
      <c r="BQ347" s="30">
        <v>61</v>
      </c>
      <c r="BR347" s="47">
        <v>232146</v>
      </c>
      <c r="BS347" s="47">
        <v>287187</v>
      </c>
      <c r="BT347" s="1">
        <f t="shared" si="150"/>
        <v>1.8960242427443421</v>
      </c>
      <c r="BU347" s="30">
        <v>133</v>
      </c>
      <c r="BV347" s="30">
        <v>18</v>
      </c>
      <c r="BW347" s="47">
        <v>33863</v>
      </c>
      <c r="BX347" s="52">
        <f t="shared" si="151"/>
        <v>0.22356537354424696</v>
      </c>
      <c r="BY347" s="47">
        <v>180083</v>
      </c>
      <c r="BZ347" s="47">
        <v>3295</v>
      </c>
      <c r="CA347" s="47">
        <v>247053</v>
      </c>
      <c r="CB347" s="47">
        <v>18813</v>
      </c>
      <c r="CC347" s="47">
        <v>449244</v>
      </c>
      <c r="CD347" s="55">
        <f t="shared" si="152"/>
        <v>2.9659333984736049</v>
      </c>
      <c r="CE347" s="3">
        <f t="shared" si="153"/>
        <v>11623.389391979303</v>
      </c>
      <c r="CF347" s="55">
        <f t="shared" si="154"/>
        <v>80.007836153161179</v>
      </c>
      <c r="CG347" s="55">
        <f t="shared" si="155"/>
        <v>1.4483098795879878</v>
      </c>
      <c r="CH347" s="55">
        <f t="shared" si="156"/>
        <v>1.4873096623454405</v>
      </c>
      <c r="CI347" s="30">
        <v>644</v>
      </c>
      <c r="CJ347" s="30">
        <v>26</v>
      </c>
      <c r="CK347" s="30">
        <v>166</v>
      </c>
      <c r="CL347" s="30">
        <v>836</v>
      </c>
      <c r="CM347" s="30">
        <v>30510</v>
      </c>
      <c r="CN347" s="30">
        <v>303</v>
      </c>
      <c r="CO347" s="30">
        <v>2910</v>
      </c>
      <c r="CP347" s="30">
        <v>33723</v>
      </c>
      <c r="CQ347" s="1">
        <f t="shared" si="164"/>
        <v>0.22264108590593393</v>
      </c>
      <c r="CR347" s="47">
        <v>310185</v>
      </c>
      <c r="CS347" s="55">
        <f t="shared" si="157"/>
        <v>2.0478582935009375</v>
      </c>
      <c r="CT347" s="59">
        <v>40234</v>
      </c>
      <c r="CU347" s="29" t="s">
        <v>25</v>
      </c>
      <c r="CV347" s="29" t="s">
        <v>25</v>
      </c>
      <c r="CW347" s="29" t="s">
        <v>25</v>
      </c>
      <c r="CX347" s="35">
        <v>7</v>
      </c>
      <c r="CY347" s="49">
        <f>C347/CX347</f>
        <v>21638.285714285714</v>
      </c>
      <c r="CZ347" s="35">
        <v>5</v>
      </c>
      <c r="DA347" s="35">
        <v>26.65</v>
      </c>
      <c r="DB347" s="35">
        <v>38.65</v>
      </c>
      <c r="DC347" s="49">
        <f t="shared" si="158"/>
        <v>3918.9650711513586</v>
      </c>
      <c r="DD347" s="30">
        <v>4074</v>
      </c>
      <c r="DE347" s="31">
        <v>91450</v>
      </c>
      <c r="DF347" s="35">
        <v>40</v>
      </c>
      <c r="DG347" s="29" t="s">
        <v>25</v>
      </c>
      <c r="DH347" s="29" t="s">
        <v>25</v>
      </c>
      <c r="DI347" s="29" t="s">
        <v>25</v>
      </c>
      <c r="DJ347" s="47">
        <v>1034</v>
      </c>
      <c r="DK347" s="47">
        <v>1927</v>
      </c>
      <c r="DL347" s="47">
        <v>89</v>
      </c>
      <c r="DM347" s="47">
        <v>45340</v>
      </c>
      <c r="DN347" s="47">
        <v>28249</v>
      </c>
      <c r="DO347" s="47">
        <v>0</v>
      </c>
      <c r="DP347" s="29" t="s">
        <v>2028</v>
      </c>
      <c r="DQ347" s="47">
        <v>0</v>
      </c>
      <c r="DR347" s="47">
        <v>2615</v>
      </c>
      <c r="DS347" s="30">
        <v>52</v>
      </c>
      <c r="DT347" s="30">
        <v>62</v>
      </c>
      <c r="DU347" s="30">
        <v>54</v>
      </c>
      <c r="DV347" s="30">
        <v>54</v>
      </c>
      <c r="DW347">
        <f>VLOOKUP(EC347,branch!$I$4:$K$77,3,0)</f>
        <v>3000</v>
      </c>
      <c r="DX347" s="2">
        <f t="shared" si="159"/>
        <v>5615</v>
      </c>
      <c r="DY347" s="33" t="s">
        <v>2178</v>
      </c>
      <c r="DZ347" s="33" t="s">
        <v>919</v>
      </c>
      <c r="EA347" s="33" t="s">
        <v>2031</v>
      </c>
      <c r="EB347" s="33" t="s">
        <v>2027</v>
      </c>
      <c r="EC347" s="36">
        <v>264</v>
      </c>
      <c r="ED347" s="29" t="s">
        <v>918</v>
      </c>
      <c r="EE347" s="29" t="s">
        <v>917</v>
      </c>
      <c r="EF347" s="37">
        <v>41548</v>
      </c>
      <c r="EG347" s="37">
        <v>41912</v>
      </c>
      <c r="EH347" s="29" t="s">
        <v>918</v>
      </c>
      <c r="EI347" s="55">
        <f t="shared" si="160"/>
        <v>1.1889177912166267</v>
      </c>
      <c r="EJ347" s="54">
        <f t="shared" si="161"/>
        <v>2.1753769773153405E-2</v>
      </c>
      <c r="EK347" s="55">
        <f t="shared" si="162"/>
        <v>1.6310573850582302</v>
      </c>
      <c r="EL347" s="54">
        <f t="shared" si="163"/>
        <v>0.12420445242559484</v>
      </c>
    </row>
    <row r="348" spans="1:142" ht="28.8" x14ac:dyDescent="0.3">
      <c r="A348" s="29" t="s">
        <v>920</v>
      </c>
      <c r="B348" s="29"/>
      <c r="C348" s="30">
        <v>33960</v>
      </c>
      <c r="D348" s="30">
        <v>0</v>
      </c>
      <c r="E348" s="30">
        <v>0</v>
      </c>
      <c r="F348" s="30">
        <v>16500</v>
      </c>
      <c r="H348" s="2">
        <f t="shared" si="139"/>
        <v>16500</v>
      </c>
      <c r="I348" s="1">
        <f t="shared" si="138"/>
        <v>0.48586572438162545</v>
      </c>
      <c r="J348" s="31">
        <v>133136</v>
      </c>
      <c r="K348" s="31">
        <v>13167</v>
      </c>
      <c r="L348" s="31">
        <v>146303</v>
      </c>
      <c r="M348" s="45">
        <f t="shared" si="140"/>
        <v>4.308097762073027</v>
      </c>
      <c r="N348" s="31">
        <v>33695</v>
      </c>
      <c r="O348" s="31">
        <v>6600</v>
      </c>
      <c r="P348" s="31">
        <v>13829</v>
      </c>
      <c r="Q348" s="31">
        <v>54124</v>
      </c>
      <c r="R348" s="45">
        <f t="shared" si="141"/>
        <v>1.5937573616018845</v>
      </c>
      <c r="S348" s="31">
        <v>906</v>
      </c>
      <c r="T348" s="31">
        <v>201333</v>
      </c>
      <c r="U348" s="31">
        <v>11696</v>
      </c>
      <c r="V348" s="31">
        <v>213029</v>
      </c>
      <c r="W348" s="45">
        <f t="shared" si="142"/>
        <v>6.2729387514723207</v>
      </c>
      <c r="X348" s="4">
        <f t="shared" si="143"/>
        <v>0.6867750400180257</v>
      </c>
      <c r="Y348" s="4">
        <f t="shared" si="144"/>
        <v>0.25406869487252909</v>
      </c>
      <c r="Z348" s="4">
        <f t="shared" si="145"/>
        <v>4.2529420876969799E-3</v>
      </c>
      <c r="AA348" s="4">
        <f t="shared" si="146"/>
        <v>5.4903323021748211E-2</v>
      </c>
      <c r="AB348" s="31">
        <v>0</v>
      </c>
      <c r="AC348" s="31">
        <v>54124</v>
      </c>
      <c r="AD348" s="31">
        <v>213333</v>
      </c>
      <c r="AE348" s="31">
        <v>213333</v>
      </c>
      <c r="AF348" s="31">
        <v>116762</v>
      </c>
      <c r="AG348" s="31">
        <v>0</v>
      </c>
      <c r="AH348" s="31">
        <v>90442</v>
      </c>
      <c r="AI348" s="31">
        <v>207204</v>
      </c>
      <c r="AJ348" s="45">
        <f t="shared" si="147"/>
        <v>6.1014134275618375</v>
      </c>
      <c r="AK348" s="31">
        <v>0</v>
      </c>
      <c r="AL348" s="31">
        <v>0</v>
      </c>
      <c r="AM348" s="31">
        <v>0</v>
      </c>
      <c r="AN348" s="31">
        <v>0</v>
      </c>
      <c r="AO348" s="31">
        <v>0</v>
      </c>
      <c r="AP348" s="31">
        <v>0</v>
      </c>
      <c r="AQ348" s="31">
        <v>0</v>
      </c>
      <c r="AR348" s="31">
        <v>207204</v>
      </c>
      <c r="AS348" s="46">
        <f t="shared" si="148"/>
        <v>6.1014134275618375</v>
      </c>
      <c r="AT348" s="31">
        <v>0</v>
      </c>
      <c r="AU348" s="31">
        <v>0</v>
      </c>
      <c r="AV348" s="31">
        <v>0</v>
      </c>
      <c r="AW348" s="31">
        <v>0</v>
      </c>
      <c r="AX348" s="31">
        <v>0</v>
      </c>
      <c r="AY348" s="31">
        <v>0</v>
      </c>
      <c r="AZ348" s="31">
        <v>0</v>
      </c>
      <c r="BA348" s="31">
        <v>0</v>
      </c>
      <c r="BB348" s="31">
        <v>0</v>
      </c>
      <c r="BC348" s="33" t="s">
        <v>25</v>
      </c>
      <c r="BD348" s="47">
        <v>38944</v>
      </c>
      <c r="BE348" s="47">
        <v>41425</v>
      </c>
      <c r="BF348" s="45">
        <f t="shared" si="149"/>
        <v>1.2198174322732627</v>
      </c>
      <c r="BG348" s="30">
        <v>1788</v>
      </c>
      <c r="BH348" s="30">
        <v>1815</v>
      </c>
      <c r="BI348" s="30">
        <v>1337</v>
      </c>
      <c r="BJ348" s="30">
        <v>2605</v>
      </c>
      <c r="BK348" s="30">
        <v>2613</v>
      </c>
      <c r="BL348" s="30">
        <v>4</v>
      </c>
      <c r="BM348" s="30">
        <v>25300</v>
      </c>
      <c r="BN348" s="30">
        <v>4</v>
      </c>
      <c r="BO348" s="30">
        <v>51</v>
      </c>
      <c r="BP348" s="30">
        <v>0</v>
      </c>
      <c r="BQ348" s="30">
        <v>55</v>
      </c>
      <c r="BR348" s="47">
        <v>43337</v>
      </c>
      <c r="BS348" s="47">
        <v>72498</v>
      </c>
      <c r="BT348" s="1">
        <f t="shared" si="150"/>
        <v>2.1348056537102473</v>
      </c>
      <c r="BU348" s="30">
        <v>62</v>
      </c>
      <c r="BV348" s="30">
        <v>1</v>
      </c>
      <c r="BW348" s="47">
        <v>9602</v>
      </c>
      <c r="BX348" s="52">
        <f t="shared" si="151"/>
        <v>0.28274440518256772</v>
      </c>
      <c r="BY348" s="47">
        <v>40825</v>
      </c>
      <c r="BZ348" s="47">
        <v>230</v>
      </c>
      <c r="CA348" s="47">
        <v>117100</v>
      </c>
      <c r="CB348" s="47">
        <v>3740</v>
      </c>
      <c r="CC348" s="47">
        <v>161895</v>
      </c>
      <c r="CD348" s="55">
        <f t="shared" si="152"/>
        <v>4.7672261484098941</v>
      </c>
      <c r="CE348" s="3">
        <f t="shared" si="153"/>
        <v>50592.1875</v>
      </c>
      <c r="CF348" s="55">
        <f t="shared" si="154"/>
        <v>53.965000000000003</v>
      </c>
      <c r="CG348" s="55">
        <f t="shared" si="155"/>
        <v>1.4064617576536818</v>
      </c>
      <c r="CH348" s="55">
        <f t="shared" si="156"/>
        <v>2.1783359540952856</v>
      </c>
      <c r="CI348" s="30">
        <v>151</v>
      </c>
      <c r="CJ348" s="30">
        <v>512</v>
      </c>
      <c r="CK348" s="30">
        <v>110</v>
      </c>
      <c r="CL348" s="30">
        <v>773</v>
      </c>
      <c r="CM348" s="30">
        <v>4103</v>
      </c>
      <c r="CN348" s="30">
        <v>12024</v>
      </c>
      <c r="CO348" s="30">
        <v>380</v>
      </c>
      <c r="CP348" s="30">
        <v>16507</v>
      </c>
      <c r="CQ348" s="1">
        <f t="shared" si="164"/>
        <v>0.48607184923439339</v>
      </c>
      <c r="CR348" s="47">
        <v>115108</v>
      </c>
      <c r="CS348" s="55">
        <f t="shared" si="157"/>
        <v>3.3895170789163722</v>
      </c>
      <c r="CT348" s="59">
        <v>19708</v>
      </c>
      <c r="CU348" s="29" t="s">
        <v>25</v>
      </c>
      <c r="CV348" s="29" t="s">
        <v>25</v>
      </c>
      <c r="CW348" s="29" t="s">
        <v>25</v>
      </c>
      <c r="CX348" s="35">
        <v>1.1499999999999999</v>
      </c>
      <c r="CY348" s="49">
        <f>C348/CX348</f>
        <v>29530.4347826087</v>
      </c>
      <c r="CZ348" s="35">
        <v>1</v>
      </c>
      <c r="DA348" s="35">
        <v>1.05</v>
      </c>
      <c r="DB348" s="35">
        <v>3.2</v>
      </c>
      <c r="DC348" s="49">
        <f t="shared" si="158"/>
        <v>10612.5</v>
      </c>
      <c r="DD348" s="30">
        <v>100</v>
      </c>
      <c r="DE348" s="31">
        <v>62000</v>
      </c>
      <c r="DF348" s="35">
        <v>46</v>
      </c>
      <c r="DG348" s="29" t="s">
        <v>25</v>
      </c>
      <c r="DH348" s="29" t="s">
        <v>25</v>
      </c>
      <c r="DI348" s="29" t="s">
        <v>25</v>
      </c>
      <c r="DJ348" s="47">
        <v>313</v>
      </c>
      <c r="DK348" s="47">
        <v>562</v>
      </c>
      <c r="DL348" s="47">
        <v>22</v>
      </c>
      <c r="DM348" s="47">
        <v>31200</v>
      </c>
      <c r="DN348" s="47">
        <v>2600</v>
      </c>
      <c r="DO348" s="47">
        <v>460</v>
      </c>
      <c r="DP348" s="29" t="s">
        <v>2028</v>
      </c>
      <c r="DQ348" s="47">
        <v>0</v>
      </c>
      <c r="DR348" s="47">
        <v>3000</v>
      </c>
      <c r="DS348" s="30">
        <v>52</v>
      </c>
      <c r="DT348" s="30">
        <v>62</v>
      </c>
      <c r="DU348" s="30">
        <v>62</v>
      </c>
      <c r="DV348" s="30">
        <v>62</v>
      </c>
      <c r="DX348" s="2">
        <f t="shared" si="159"/>
        <v>3000</v>
      </c>
      <c r="DY348" s="33" t="s">
        <v>2182</v>
      </c>
      <c r="DZ348" s="33" t="s">
        <v>922</v>
      </c>
      <c r="EA348" s="33" t="s">
        <v>2035</v>
      </c>
      <c r="EB348" s="33" t="s">
        <v>2027</v>
      </c>
      <c r="EC348" s="36">
        <v>265</v>
      </c>
      <c r="ED348" s="29" t="s">
        <v>921</v>
      </c>
      <c r="EE348" s="29" t="s">
        <v>494</v>
      </c>
      <c r="EF348" s="37">
        <v>41456</v>
      </c>
      <c r="EG348" s="37">
        <v>41820</v>
      </c>
      <c r="EH348" s="29" t="s">
        <v>921</v>
      </c>
      <c r="EI348" s="55">
        <f t="shared" si="160"/>
        <v>1.2021495877502946</v>
      </c>
      <c r="EJ348" s="54">
        <f t="shared" si="161"/>
        <v>6.7726737338044763E-3</v>
      </c>
      <c r="EK348" s="55">
        <f t="shared" si="162"/>
        <v>3.4481743227326267</v>
      </c>
      <c r="EL348" s="54">
        <f t="shared" si="163"/>
        <v>0.11012956419316844</v>
      </c>
    </row>
    <row r="349" spans="1:142" ht="28.8" x14ac:dyDescent="0.3">
      <c r="A349" s="29" t="s">
        <v>923</v>
      </c>
      <c r="B349" s="29"/>
      <c r="C349" s="30">
        <v>9392</v>
      </c>
      <c r="D349" s="30">
        <v>0</v>
      </c>
      <c r="E349" s="30">
        <v>1</v>
      </c>
      <c r="F349" s="30">
        <v>6400</v>
      </c>
      <c r="H349" s="2">
        <f t="shared" si="139"/>
        <v>6400</v>
      </c>
      <c r="I349" s="1">
        <f t="shared" si="138"/>
        <v>0.68143100511073251</v>
      </c>
      <c r="J349" s="31">
        <v>100082</v>
      </c>
      <c r="K349" s="31">
        <v>17051</v>
      </c>
      <c r="L349" s="31">
        <v>117133</v>
      </c>
      <c r="M349" s="45">
        <f t="shared" si="140"/>
        <v>12.471571550255536</v>
      </c>
      <c r="N349" s="31">
        <v>24964</v>
      </c>
      <c r="O349" s="31">
        <v>20</v>
      </c>
      <c r="P349" s="31">
        <v>3589</v>
      </c>
      <c r="Q349" s="31">
        <v>28573</v>
      </c>
      <c r="R349" s="45">
        <f t="shared" si="141"/>
        <v>3.0422700170357753</v>
      </c>
      <c r="S349" s="31">
        <v>54599</v>
      </c>
      <c r="T349" s="31">
        <v>200305</v>
      </c>
      <c r="U349" s="31">
        <v>0</v>
      </c>
      <c r="V349" s="31">
        <v>200305</v>
      </c>
      <c r="W349" s="45">
        <f t="shared" si="142"/>
        <v>21.327193356047701</v>
      </c>
      <c r="X349" s="4">
        <f t="shared" si="143"/>
        <v>0.5847732208382217</v>
      </c>
      <c r="Y349" s="4">
        <f t="shared" si="144"/>
        <v>0.14264746261950526</v>
      </c>
      <c r="Z349" s="4">
        <f t="shared" si="145"/>
        <v>0.27257931654227302</v>
      </c>
      <c r="AA349" s="4">
        <f t="shared" si="146"/>
        <v>0</v>
      </c>
      <c r="AB349" s="31">
        <v>0</v>
      </c>
      <c r="AC349" s="31">
        <v>28573</v>
      </c>
      <c r="AD349" s="31">
        <v>171734</v>
      </c>
      <c r="AE349" s="31">
        <v>500</v>
      </c>
      <c r="AF349" s="31">
        <v>0</v>
      </c>
      <c r="AG349" s="31">
        <v>0</v>
      </c>
      <c r="AH349" s="31">
        <v>500</v>
      </c>
      <c r="AI349" s="31">
        <v>500</v>
      </c>
      <c r="AJ349" s="45">
        <f t="shared" si="147"/>
        <v>5.3236797274275979E-2</v>
      </c>
      <c r="AK349" s="31">
        <v>0</v>
      </c>
      <c r="AL349" s="31">
        <v>0</v>
      </c>
      <c r="AM349" s="31">
        <v>0</v>
      </c>
      <c r="AN349" s="31">
        <v>0</v>
      </c>
      <c r="AO349" s="31">
        <v>115844</v>
      </c>
      <c r="AP349" s="31">
        <v>529474</v>
      </c>
      <c r="AQ349" s="31">
        <v>645318</v>
      </c>
      <c r="AR349" s="31">
        <v>645818</v>
      </c>
      <c r="AS349" s="46">
        <f t="shared" si="148"/>
        <v>68.762563884156734</v>
      </c>
      <c r="AT349" s="31">
        <v>0</v>
      </c>
      <c r="AU349" s="31">
        <v>0</v>
      </c>
      <c r="AV349" s="31">
        <v>0</v>
      </c>
      <c r="AW349" s="31">
        <v>0</v>
      </c>
      <c r="AX349" s="31">
        <v>0</v>
      </c>
      <c r="AY349" s="31">
        <v>0</v>
      </c>
      <c r="AZ349" s="31">
        <v>0</v>
      </c>
      <c r="BA349" s="31">
        <v>0</v>
      </c>
      <c r="BB349" s="31">
        <v>0</v>
      </c>
      <c r="BC349" s="33" t="s">
        <v>25</v>
      </c>
      <c r="BD349" s="47">
        <v>29064</v>
      </c>
      <c r="BE349" s="47">
        <v>30186</v>
      </c>
      <c r="BF349" s="45">
        <f t="shared" si="149"/>
        <v>3.2140119250425894</v>
      </c>
      <c r="BG349" s="30">
        <v>1415</v>
      </c>
      <c r="BH349" s="30">
        <v>1422</v>
      </c>
      <c r="BI349" s="30">
        <v>0</v>
      </c>
      <c r="BJ349" s="30">
        <v>1451</v>
      </c>
      <c r="BK349" s="30">
        <v>1469</v>
      </c>
      <c r="BL349" s="30">
        <v>0</v>
      </c>
      <c r="BM349" s="30">
        <v>0</v>
      </c>
      <c r="BN349" s="30">
        <v>1</v>
      </c>
      <c r="BO349" s="30">
        <v>51</v>
      </c>
      <c r="BP349" s="30">
        <v>0</v>
      </c>
      <c r="BQ349" s="30">
        <v>52</v>
      </c>
      <c r="BR349" s="47">
        <v>31930</v>
      </c>
      <c r="BS349" s="47">
        <v>33078</v>
      </c>
      <c r="BT349" s="1">
        <f t="shared" si="150"/>
        <v>3.5219335604770019</v>
      </c>
      <c r="BU349" s="30">
        <v>29</v>
      </c>
      <c r="BV349" s="30">
        <v>0</v>
      </c>
      <c r="BW349" s="47">
        <v>7022</v>
      </c>
      <c r="BX349" s="52">
        <f t="shared" si="151"/>
        <v>0.74765758091993184</v>
      </c>
      <c r="BY349" s="47">
        <v>15547</v>
      </c>
      <c r="BZ349" s="47">
        <v>0</v>
      </c>
      <c r="CA349" s="47">
        <v>30694</v>
      </c>
      <c r="CB349" s="47">
        <v>0</v>
      </c>
      <c r="CC349" s="47">
        <v>46241</v>
      </c>
      <c r="CD349" s="55">
        <f t="shared" si="152"/>
        <v>4.9234454855195908</v>
      </c>
      <c r="CE349" s="3">
        <f t="shared" si="153"/>
        <v>11524.23676012461</v>
      </c>
      <c r="CF349" s="55">
        <f t="shared" si="154"/>
        <v>19.905725355144209</v>
      </c>
      <c r="CG349" s="55">
        <f t="shared" si="155"/>
        <v>2.0687634216177524</v>
      </c>
      <c r="CH349" s="55">
        <f t="shared" si="156"/>
        <v>1.3979382066630388</v>
      </c>
      <c r="CI349" s="30">
        <v>216</v>
      </c>
      <c r="CJ349" s="30">
        <v>40</v>
      </c>
      <c r="CK349" s="30">
        <v>218</v>
      </c>
      <c r="CL349" s="30">
        <v>474</v>
      </c>
      <c r="CM349" s="30">
        <v>2439</v>
      </c>
      <c r="CN349" s="30">
        <v>280</v>
      </c>
      <c r="CO349" s="30">
        <v>1033</v>
      </c>
      <c r="CP349" s="30">
        <v>3752</v>
      </c>
      <c r="CQ349" s="1">
        <f t="shared" si="164"/>
        <v>0.39948892674616693</v>
      </c>
      <c r="CR349" s="47">
        <v>22352</v>
      </c>
      <c r="CS349" s="55">
        <f t="shared" si="157"/>
        <v>2.3798977853492334</v>
      </c>
      <c r="CT349" s="59">
        <v>4327</v>
      </c>
      <c r="CU349" s="29" t="s">
        <v>25</v>
      </c>
      <c r="CV349" s="29" t="s">
        <v>25</v>
      </c>
      <c r="CW349" s="29" t="s">
        <v>25</v>
      </c>
      <c r="CX349" s="35">
        <v>0</v>
      </c>
      <c r="CY349" s="49">
        <v>0</v>
      </c>
      <c r="CZ349" s="35">
        <v>1</v>
      </c>
      <c r="DA349" s="35">
        <v>3.0125000000000002</v>
      </c>
      <c r="DB349" s="35">
        <v>4.0125000000000002</v>
      </c>
      <c r="DC349" s="49">
        <f t="shared" si="158"/>
        <v>2340.6853582554518</v>
      </c>
      <c r="DD349" s="30">
        <v>615</v>
      </c>
      <c r="DE349" s="31">
        <v>33636</v>
      </c>
      <c r="DF349" s="35">
        <v>40</v>
      </c>
      <c r="DG349" s="29" t="s">
        <v>25</v>
      </c>
      <c r="DH349" s="29" t="s">
        <v>25</v>
      </c>
      <c r="DI349" s="29" t="s">
        <v>25</v>
      </c>
      <c r="DJ349" s="47">
        <v>8</v>
      </c>
      <c r="DK349" s="47">
        <v>0</v>
      </c>
      <c r="DL349" s="47">
        <v>8</v>
      </c>
      <c r="DM349" s="47">
        <v>13610</v>
      </c>
      <c r="DN349" s="47">
        <v>70</v>
      </c>
      <c r="DO349" s="47">
        <v>9259</v>
      </c>
      <c r="DP349" s="29" t="s">
        <v>25</v>
      </c>
      <c r="DQ349" s="47">
        <v>13803</v>
      </c>
      <c r="DR349" s="47">
        <v>2111</v>
      </c>
      <c r="DS349" s="30">
        <v>52</v>
      </c>
      <c r="DT349" s="30">
        <v>41</v>
      </c>
      <c r="DU349" s="30">
        <v>41</v>
      </c>
      <c r="DV349" s="30">
        <v>41</v>
      </c>
      <c r="DW349">
        <f>VLOOKUP(EC349,branch!$I$4:$K$77,3,0)</f>
        <v>212</v>
      </c>
      <c r="DX349" s="2">
        <f t="shared" si="159"/>
        <v>2323</v>
      </c>
      <c r="DY349" s="33" t="s">
        <v>2182</v>
      </c>
      <c r="DZ349" s="33" t="s">
        <v>926</v>
      </c>
      <c r="EA349" s="33" t="s">
        <v>2032</v>
      </c>
      <c r="EB349" s="33" t="s">
        <v>2027</v>
      </c>
      <c r="EC349" s="36">
        <v>266</v>
      </c>
      <c r="ED349" s="29" t="s">
        <v>924</v>
      </c>
      <c r="EE349" s="29" t="s">
        <v>925</v>
      </c>
      <c r="EF349" s="37">
        <v>41640</v>
      </c>
      <c r="EG349" s="37">
        <v>42004</v>
      </c>
      <c r="EH349" s="29" t="s">
        <v>924</v>
      </c>
      <c r="EI349" s="55">
        <f t="shared" si="160"/>
        <v>1.6553449744463373</v>
      </c>
      <c r="EJ349" s="54">
        <f t="shared" si="161"/>
        <v>0</v>
      </c>
      <c r="EK349" s="55">
        <f t="shared" si="162"/>
        <v>3.2681005110732539</v>
      </c>
      <c r="EL349" s="54">
        <f t="shared" si="163"/>
        <v>0</v>
      </c>
    </row>
    <row r="350" spans="1:142" ht="28.8" x14ac:dyDescent="0.3">
      <c r="A350" s="29" t="s">
        <v>929</v>
      </c>
      <c r="B350" s="29"/>
      <c r="C350" s="30">
        <v>30040</v>
      </c>
      <c r="D350" s="30">
        <v>0</v>
      </c>
      <c r="E350" s="30">
        <v>0</v>
      </c>
      <c r="F350" s="30">
        <v>10600</v>
      </c>
      <c r="H350" s="2">
        <f t="shared" si="139"/>
        <v>10600</v>
      </c>
      <c r="I350" s="1">
        <f t="shared" si="138"/>
        <v>0.35286284953395475</v>
      </c>
      <c r="J350" s="31">
        <v>188581</v>
      </c>
      <c r="K350" s="31">
        <v>86785</v>
      </c>
      <c r="L350" s="31">
        <v>275366</v>
      </c>
      <c r="M350" s="45">
        <f t="shared" si="140"/>
        <v>9.1666444740346211</v>
      </c>
      <c r="N350" s="31">
        <v>31630</v>
      </c>
      <c r="O350" s="31">
        <v>3000</v>
      </c>
      <c r="P350" s="31">
        <v>2765</v>
      </c>
      <c r="Q350" s="31">
        <v>37395</v>
      </c>
      <c r="R350" s="45">
        <f t="shared" si="141"/>
        <v>1.2448402130492677</v>
      </c>
      <c r="S350" s="31">
        <v>72896</v>
      </c>
      <c r="T350" s="31">
        <v>385657</v>
      </c>
      <c r="U350" s="31">
        <v>0</v>
      </c>
      <c r="V350" s="31">
        <v>385657</v>
      </c>
      <c r="W350" s="45">
        <f t="shared" si="142"/>
        <v>12.838115845539281</v>
      </c>
      <c r="X350" s="4">
        <f t="shared" si="143"/>
        <v>0.71401789673207017</v>
      </c>
      <c r="Y350" s="4">
        <f t="shared" si="144"/>
        <v>9.6964401009186921E-2</v>
      </c>
      <c r="Z350" s="4">
        <f t="shared" si="145"/>
        <v>0.18901770225874287</v>
      </c>
      <c r="AA350" s="4">
        <f t="shared" si="146"/>
        <v>0</v>
      </c>
      <c r="AB350" s="31">
        <v>18700</v>
      </c>
      <c r="AC350" s="31">
        <v>37395</v>
      </c>
      <c r="AD350" s="31">
        <v>385657</v>
      </c>
      <c r="AE350" s="31">
        <v>385658</v>
      </c>
      <c r="AF350" s="31">
        <v>355658</v>
      </c>
      <c r="AG350" s="31">
        <v>30000</v>
      </c>
      <c r="AH350" s="31">
        <v>0</v>
      </c>
      <c r="AI350" s="31">
        <v>385658</v>
      </c>
      <c r="AJ350" s="45">
        <f t="shared" si="147"/>
        <v>12.838149134487351</v>
      </c>
      <c r="AK350" s="31">
        <v>0</v>
      </c>
      <c r="AL350" s="31">
        <v>0</v>
      </c>
      <c r="AM350" s="31">
        <v>0</v>
      </c>
      <c r="AN350" s="31">
        <v>0</v>
      </c>
      <c r="AO350" s="31">
        <v>0</v>
      </c>
      <c r="AP350" s="31">
        <v>18700</v>
      </c>
      <c r="AQ350" s="31">
        <v>18700</v>
      </c>
      <c r="AR350" s="31">
        <v>404358</v>
      </c>
      <c r="AS350" s="46">
        <f t="shared" si="148"/>
        <v>13.460652463382157</v>
      </c>
      <c r="AT350" s="31">
        <v>0</v>
      </c>
      <c r="AU350" s="31">
        <v>0</v>
      </c>
      <c r="AV350" s="31">
        <v>0</v>
      </c>
      <c r="AW350" s="31">
        <v>0</v>
      </c>
      <c r="AX350" s="31">
        <v>0</v>
      </c>
      <c r="AY350" s="31">
        <v>0</v>
      </c>
      <c r="AZ350" s="31">
        <v>0</v>
      </c>
      <c r="BA350" s="31">
        <v>0</v>
      </c>
      <c r="BB350" s="31">
        <v>0</v>
      </c>
      <c r="BC350" s="33" t="s">
        <v>25</v>
      </c>
      <c r="BD350" s="47">
        <v>33965</v>
      </c>
      <c r="BE350" s="47">
        <v>36675</v>
      </c>
      <c r="BF350" s="45">
        <f t="shared" si="149"/>
        <v>1.2208721704394141</v>
      </c>
      <c r="BG350" s="30">
        <v>575</v>
      </c>
      <c r="BH350" s="30">
        <v>595</v>
      </c>
      <c r="BI350" s="30">
        <v>4758</v>
      </c>
      <c r="BJ350" s="30">
        <v>3902</v>
      </c>
      <c r="BK350" s="30">
        <v>4186</v>
      </c>
      <c r="BL350" s="30">
        <v>0</v>
      </c>
      <c r="BM350" s="30">
        <v>9182</v>
      </c>
      <c r="BN350" s="30">
        <v>0</v>
      </c>
      <c r="BO350" s="30">
        <v>51</v>
      </c>
      <c r="BP350" s="30">
        <v>0</v>
      </c>
      <c r="BQ350" s="30">
        <v>51</v>
      </c>
      <c r="BR350" s="47">
        <v>38442</v>
      </c>
      <c r="BS350" s="47">
        <v>55396</v>
      </c>
      <c r="BT350" s="1">
        <f t="shared" si="150"/>
        <v>1.8440745672436751</v>
      </c>
      <c r="BU350" s="30">
        <v>48</v>
      </c>
      <c r="BV350" s="30">
        <v>3</v>
      </c>
      <c r="BW350" s="47">
        <v>5590</v>
      </c>
      <c r="BX350" s="52">
        <f t="shared" si="151"/>
        <v>0.18608521970705727</v>
      </c>
      <c r="BY350" s="47">
        <v>30580</v>
      </c>
      <c r="BZ350" s="47">
        <v>136</v>
      </c>
      <c r="CA350" s="47">
        <v>52761</v>
      </c>
      <c r="CB350" s="47">
        <v>2757</v>
      </c>
      <c r="CC350" s="47">
        <v>86234</v>
      </c>
      <c r="CD350" s="55">
        <f t="shared" si="152"/>
        <v>2.8706391478029296</v>
      </c>
      <c r="CE350" s="3">
        <f t="shared" si="153"/>
        <v>14372.333333333334</v>
      </c>
      <c r="CF350" s="55">
        <f t="shared" si="154"/>
        <v>40.966270783847982</v>
      </c>
      <c r="CG350" s="55">
        <f t="shared" si="155"/>
        <v>1.4371135738688443</v>
      </c>
      <c r="CH350" s="55">
        <f t="shared" si="156"/>
        <v>1.5044588056899415</v>
      </c>
      <c r="CI350" s="30">
        <v>114</v>
      </c>
      <c r="CJ350" s="30">
        <v>55</v>
      </c>
      <c r="CK350" s="30">
        <v>35</v>
      </c>
      <c r="CL350" s="30">
        <v>204</v>
      </c>
      <c r="CM350" s="30">
        <v>3820</v>
      </c>
      <c r="CN350" s="30">
        <v>952</v>
      </c>
      <c r="CO350" s="30">
        <v>165</v>
      </c>
      <c r="CP350" s="30">
        <v>4937</v>
      </c>
      <c r="CQ350" s="1">
        <f t="shared" si="164"/>
        <v>0.16434753661784288</v>
      </c>
      <c r="CR350" s="47">
        <v>60005</v>
      </c>
      <c r="CS350" s="55">
        <f t="shared" si="157"/>
        <v>1.997503328894807</v>
      </c>
      <c r="CT350" s="59">
        <v>9361</v>
      </c>
      <c r="CU350" s="29" t="s">
        <v>25</v>
      </c>
      <c r="CV350" s="29" t="s">
        <v>25</v>
      </c>
      <c r="CW350" s="29" t="s">
        <v>25</v>
      </c>
      <c r="CX350" s="35">
        <v>0</v>
      </c>
      <c r="CY350" s="49">
        <v>0</v>
      </c>
      <c r="CZ350" s="35">
        <v>2</v>
      </c>
      <c r="DA350" s="35">
        <v>4</v>
      </c>
      <c r="DB350" s="35">
        <v>6</v>
      </c>
      <c r="DC350" s="49">
        <f t="shared" si="158"/>
        <v>5006.666666666667</v>
      </c>
      <c r="DD350" s="30">
        <v>640</v>
      </c>
      <c r="DE350" s="31">
        <v>50705</v>
      </c>
      <c r="DF350" s="35">
        <v>40</v>
      </c>
      <c r="DG350" s="29" t="s">
        <v>25</v>
      </c>
      <c r="DH350" s="29" t="s">
        <v>25</v>
      </c>
      <c r="DI350" s="29" t="s">
        <v>25</v>
      </c>
      <c r="DJ350" s="47">
        <v>2666</v>
      </c>
      <c r="DK350" s="47">
        <v>3056</v>
      </c>
      <c r="DL350" s="47">
        <v>10</v>
      </c>
      <c r="DM350" s="47">
        <v>15196</v>
      </c>
      <c r="DN350" s="47">
        <v>1976</v>
      </c>
      <c r="DO350" s="47">
        <v>2722</v>
      </c>
      <c r="DP350" s="29" t="s">
        <v>25</v>
      </c>
      <c r="DQ350" s="47">
        <v>6624</v>
      </c>
      <c r="DR350" s="47">
        <v>2105</v>
      </c>
      <c r="DS350" s="30">
        <v>52</v>
      </c>
      <c r="DT350" s="30">
        <v>41</v>
      </c>
      <c r="DU350" s="30">
        <v>41</v>
      </c>
      <c r="DV350" s="30">
        <v>41</v>
      </c>
      <c r="DX350" s="2">
        <f t="shared" si="159"/>
        <v>2105</v>
      </c>
      <c r="DY350" s="33" t="s">
        <v>2181</v>
      </c>
      <c r="DZ350" s="33" t="s">
        <v>930</v>
      </c>
      <c r="EA350" s="33" t="s">
        <v>2030</v>
      </c>
      <c r="EB350" s="33" t="s">
        <v>2027</v>
      </c>
      <c r="EC350" s="36">
        <v>267</v>
      </c>
      <c r="ED350" s="29" t="s">
        <v>927</v>
      </c>
      <c r="EE350" s="29" t="s">
        <v>928</v>
      </c>
      <c r="EF350" s="37">
        <v>41548</v>
      </c>
      <c r="EG350" s="37">
        <v>41912</v>
      </c>
      <c r="EH350" s="29" t="s">
        <v>927</v>
      </c>
      <c r="EI350" s="55">
        <f t="shared" si="160"/>
        <v>1.0179760319573901</v>
      </c>
      <c r="EJ350" s="54">
        <f t="shared" si="161"/>
        <v>4.527296937416778E-3</v>
      </c>
      <c r="EK350" s="55">
        <f t="shared" si="162"/>
        <v>1.756358189081225</v>
      </c>
      <c r="EL350" s="54">
        <f t="shared" si="163"/>
        <v>9.1777629826897467E-2</v>
      </c>
    </row>
    <row r="351" spans="1:142" ht="28.8" x14ac:dyDescent="0.3">
      <c r="A351" s="29" t="s">
        <v>931</v>
      </c>
      <c r="B351" s="29"/>
      <c r="C351" s="30">
        <v>125937</v>
      </c>
      <c r="D351" s="30">
        <v>0</v>
      </c>
      <c r="E351" s="30">
        <v>0</v>
      </c>
      <c r="F351" s="30">
        <v>48760</v>
      </c>
      <c r="H351" s="2">
        <f t="shared" si="139"/>
        <v>48760</v>
      </c>
      <c r="I351" s="1">
        <f t="shared" si="138"/>
        <v>0.38717771584204802</v>
      </c>
      <c r="J351" s="31">
        <v>728624</v>
      </c>
      <c r="K351" s="31">
        <v>208594</v>
      </c>
      <c r="L351" s="31">
        <v>937218</v>
      </c>
      <c r="M351" s="45">
        <f t="shared" si="140"/>
        <v>7.4419590747754834</v>
      </c>
      <c r="N351" s="31">
        <v>48116</v>
      </c>
      <c r="O351" s="31">
        <v>12519</v>
      </c>
      <c r="P351" s="31">
        <v>5787</v>
      </c>
      <c r="Q351" s="31">
        <v>66422</v>
      </c>
      <c r="R351" s="45">
        <f t="shared" si="141"/>
        <v>0.52742244137941985</v>
      </c>
      <c r="S351" s="31">
        <v>229081</v>
      </c>
      <c r="T351" s="31">
        <v>1232721</v>
      </c>
      <c r="U351" s="31">
        <v>155505</v>
      </c>
      <c r="V351" s="31">
        <v>1388226</v>
      </c>
      <c r="W351" s="45">
        <f t="shared" si="142"/>
        <v>11.023178255794564</v>
      </c>
      <c r="X351" s="4">
        <f t="shared" si="143"/>
        <v>0.67511918088265166</v>
      </c>
      <c r="Y351" s="4">
        <f t="shared" si="144"/>
        <v>4.7846676261646161E-2</v>
      </c>
      <c r="Z351" s="4">
        <f t="shared" si="145"/>
        <v>0.16501707935163296</v>
      </c>
      <c r="AA351" s="4">
        <f t="shared" si="146"/>
        <v>0.11201706350406922</v>
      </c>
      <c r="AB351" s="31">
        <v>0</v>
      </c>
      <c r="AC351" s="31">
        <v>66422</v>
      </c>
      <c r="AD351" s="31">
        <v>1388226</v>
      </c>
      <c r="AE351" s="31">
        <v>1380215</v>
      </c>
      <c r="AF351" s="31">
        <v>1210229</v>
      </c>
      <c r="AG351" s="31">
        <v>14481</v>
      </c>
      <c r="AH351" s="31">
        <v>0</v>
      </c>
      <c r="AI351" s="31">
        <v>1224710</v>
      </c>
      <c r="AJ351" s="45">
        <f t="shared" si="147"/>
        <v>9.7247830264338511</v>
      </c>
      <c r="AK351" s="31">
        <v>0</v>
      </c>
      <c r="AL351" s="31">
        <v>0</v>
      </c>
      <c r="AM351" s="31">
        <v>0</v>
      </c>
      <c r="AN351" s="31">
        <v>0</v>
      </c>
      <c r="AO351" s="31">
        <v>0</v>
      </c>
      <c r="AP351" s="31">
        <v>8011</v>
      </c>
      <c r="AQ351" s="31">
        <v>8011</v>
      </c>
      <c r="AR351" s="31">
        <v>1232721</v>
      </c>
      <c r="AS351" s="46">
        <f t="shared" si="148"/>
        <v>9.7883941970985493</v>
      </c>
      <c r="AT351" s="31">
        <v>0</v>
      </c>
      <c r="AU351" s="31">
        <v>0</v>
      </c>
      <c r="AV351" s="31">
        <v>0</v>
      </c>
      <c r="AW351" s="31">
        <v>0</v>
      </c>
      <c r="AX351" s="31">
        <v>0</v>
      </c>
      <c r="AY351" s="31">
        <v>0</v>
      </c>
      <c r="AZ351" s="31">
        <v>0</v>
      </c>
      <c r="BA351" s="31">
        <v>0</v>
      </c>
      <c r="BB351" s="31">
        <v>0</v>
      </c>
      <c r="BC351" s="33" t="s">
        <v>25</v>
      </c>
      <c r="BD351" s="47">
        <v>113886</v>
      </c>
      <c r="BE351" s="47">
        <v>119241</v>
      </c>
      <c r="BF351" s="45">
        <f t="shared" si="149"/>
        <v>0.94683055813621098</v>
      </c>
      <c r="BG351" s="30">
        <v>4329</v>
      </c>
      <c r="BH351" s="30">
        <v>4384</v>
      </c>
      <c r="BI351" s="30">
        <v>264</v>
      </c>
      <c r="BJ351" s="30">
        <v>3880</v>
      </c>
      <c r="BK351" s="30">
        <v>4080</v>
      </c>
      <c r="BL351" s="30">
        <v>26</v>
      </c>
      <c r="BM351" s="30">
        <v>483</v>
      </c>
      <c r="BN351" s="30">
        <v>2</v>
      </c>
      <c r="BO351" s="30">
        <v>51</v>
      </c>
      <c r="BP351" s="30">
        <v>0</v>
      </c>
      <c r="BQ351" s="30">
        <v>53</v>
      </c>
      <c r="BR351" s="47">
        <v>122095</v>
      </c>
      <c r="BS351" s="47">
        <v>128480</v>
      </c>
      <c r="BT351" s="1">
        <f t="shared" si="150"/>
        <v>1.02019263600054</v>
      </c>
      <c r="BU351" s="30">
        <v>110</v>
      </c>
      <c r="BV351" s="30">
        <v>65</v>
      </c>
      <c r="BW351" s="47">
        <v>195615</v>
      </c>
      <c r="BX351" s="52">
        <f t="shared" si="151"/>
        <v>1.5532766383191596</v>
      </c>
      <c r="BY351" s="47">
        <v>23571</v>
      </c>
      <c r="BZ351" s="47">
        <v>215</v>
      </c>
      <c r="CA351" s="47">
        <v>46051</v>
      </c>
      <c r="CB351" s="47">
        <v>799</v>
      </c>
      <c r="CC351" s="47">
        <v>70636</v>
      </c>
      <c r="CD351" s="55">
        <f t="shared" si="152"/>
        <v>0.56088361641138029</v>
      </c>
      <c r="CE351" s="3">
        <f t="shared" si="153"/>
        <v>2592.1467889908258</v>
      </c>
      <c r="CF351" s="55">
        <f t="shared" si="154"/>
        <v>18.851347744862558</v>
      </c>
      <c r="CG351" s="55">
        <f t="shared" si="155"/>
        <v>0.27302735839575748</v>
      </c>
      <c r="CH351" s="55">
        <f t="shared" si="156"/>
        <v>0.54188978829389789</v>
      </c>
      <c r="CI351" s="30">
        <v>379</v>
      </c>
      <c r="CJ351" s="30">
        <v>10</v>
      </c>
      <c r="CK351" s="30">
        <v>853</v>
      </c>
      <c r="CL351" s="30">
        <v>1242</v>
      </c>
      <c r="CM351" s="30">
        <v>9051</v>
      </c>
      <c r="CN351" s="30">
        <v>106</v>
      </c>
      <c r="CO351" s="30">
        <v>9551</v>
      </c>
      <c r="CP351" s="30">
        <v>18708</v>
      </c>
      <c r="CQ351" s="1">
        <f t="shared" si="164"/>
        <v>0.14855046570904501</v>
      </c>
      <c r="CR351" s="47">
        <v>258714</v>
      </c>
      <c r="CS351" s="55">
        <f t="shared" si="157"/>
        <v>2.0543128707210747</v>
      </c>
      <c r="CT351" s="59">
        <v>13361</v>
      </c>
      <c r="CU351" s="29" t="s">
        <v>25</v>
      </c>
      <c r="CV351" s="29" t="s">
        <v>25</v>
      </c>
      <c r="CW351" s="29" t="s">
        <v>25</v>
      </c>
      <c r="CX351" s="35">
        <v>3</v>
      </c>
      <c r="CY351" s="49">
        <f>C351/CX351</f>
        <v>41979</v>
      </c>
      <c r="CZ351" s="35">
        <v>2</v>
      </c>
      <c r="DA351" s="35">
        <v>22.25</v>
      </c>
      <c r="DB351" s="35">
        <v>27.25</v>
      </c>
      <c r="DC351" s="49">
        <f t="shared" si="158"/>
        <v>4621.54128440367</v>
      </c>
      <c r="DD351" s="30">
        <v>7523</v>
      </c>
      <c r="DE351" s="31">
        <v>60733</v>
      </c>
      <c r="DF351" s="35">
        <v>40</v>
      </c>
      <c r="DG351" s="29" t="s">
        <v>25</v>
      </c>
      <c r="DH351" s="29" t="s">
        <v>25</v>
      </c>
      <c r="DI351" s="29" t="s">
        <v>25</v>
      </c>
      <c r="DJ351" s="47">
        <v>453</v>
      </c>
      <c r="DK351" s="47">
        <v>529</v>
      </c>
      <c r="DL351" s="47">
        <v>302</v>
      </c>
      <c r="DM351" s="47">
        <v>185401</v>
      </c>
      <c r="DN351" s="47">
        <v>32010</v>
      </c>
      <c r="DO351" s="47">
        <v>9884</v>
      </c>
      <c r="DP351" s="29" t="s">
        <v>25</v>
      </c>
      <c r="DQ351" s="47">
        <v>207127</v>
      </c>
      <c r="DR351" s="47">
        <v>3747</v>
      </c>
      <c r="DS351" s="30">
        <v>52</v>
      </c>
      <c r="DT351" s="30">
        <v>75</v>
      </c>
      <c r="DU351" s="30">
        <v>75</v>
      </c>
      <c r="DV351" s="30">
        <v>75</v>
      </c>
      <c r="DX351" s="2">
        <f t="shared" si="159"/>
        <v>3747</v>
      </c>
      <c r="DY351" s="33" t="s">
        <v>2180</v>
      </c>
      <c r="DZ351" s="33" t="s">
        <v>933</v>
      </c>
      <c r="EA351" s="33" t="s">
        <v>2030</v>
      </c>
      <c r="EB351" s="33" t="s">
        <v>2027</v>
      </c>
      <c r="EC351" s="36">
        <v>268</v>
      </c>
      <c r="ED351" s="29" t="s">
        <v>932</v>
      </c>
      <c r="EE351" s="29" t="s">
        <v>35</v>
      </c>
      <c r="EF351" s="37">
        <v>41548</v>
      </c>
      <c r="EG351" s="37">
        <v>41912</v>
      </c>
      <c r="EH351" s="29" t="s">
        <v>932</v>
      </c>
      <c r="EI351" s="55">
        <f t="shared" si="160"/>
        <v>0.18716501107696706</v>
      </c>
      <c r="EJ351" s="54">
        <f t="shared" si="161"/>
        <v>1.7072028077530828E-3</v>
      </c>
      <c r="EK351" s="55">
        <f t="shared" si="162"/>
        <v>0.36566696046435915</v>
      </c>
      <c r="EL351" s="54">
        <f t="shared" si="163"/>
        <v>6.3444420623009921E-3</v>
      </c>
    </row>
    <row r="352" spans="1:142" ht="28.8" x14ac:dyDescent="0.3">
      <c r="A352" s="29" t="s">
        <v>934</v>
      </c>
      <c r="B352" s="29"/>
      <c r="C352" s="30">
        <v>11244</v>
      </c>
      <c r="D352" s="30">
        <v>2</v>
      </c>
      <c r="E352" s="30">
        <v>0</v>
      </c>
      <c r="F352" s="30">
        <v>15000</v>
      </c>
      <c r="G352">
        <v>2510</v>
      </c>
      <c r="H352" s="2">
        <f t="shared" si="139"/>
        <v>17510</v>
      </c>
      <c r="I352" s="1">
        <f t="shared" si="138"/>
        <v>1.5572749911063679</v>
      </c>
      <c r="J352" s="31">
        <v>171795</v>
      </c>
      <c r="K352" s="31">
        <v>69443</v>
      </c>
      <c r="L352" s="31">
        <v>241238</v>
      </c>
      <c r="M352" s="45">
        <f t="shared" si="140"/>
        <v>21.454820348630381</v>
      </c>
      <c r="N352" s="31">
        <v>26646</v>
      </c>
      <c r="O352" s="31">
        <v>0</v>
      </c>
      <c r="P352" s="31">
        <v>2579</v>
      </c>
      <c r="Q352" s="31">
        <v>29225</v>
      </c>
      <c r="R352" s="45">
        <f t="shared" si="141"/>
        <v>2.5991639985770187</v>
      </c>
      <c r="S352" s="31">
        <v>33988</v>
      </c>
      <c r="T352" s="31">
        <v>304451</v>
      </c>
      <c r="U352" s="31">
        <v>0</v>
      </c>
      <c r="V352" s="31">
        <v>304451</v>
      </c>
      <c r="W352" s="45">
        <f t="shared" si="142"/>
        <v>27.076752045535397</v>
      </c>
      <c r="X352" s="4">
        <f t="shared" si="143"/>
        <v>0.79237052924772788</v>
      </c>
      <c r="Y352" s="4">
        <f t="shared" si="144"/>
        <v>9.5992458556549323E-2</v>
      </c>
      <c r="Z352" s="4">
        <f t="shared" si="145"/>
        <v>0.11163701219572279</v>
      </c>
      <c r="AA352" s="4">
        <f t="shared" si="146"/>
        <v>0</v>
      </c>
      <c r="AB352" s="31">
        <v>0</v>
      </c>
      <c r="AC352" s="31">
        <v>29225</v>
      </c>
      <c r="AD352" s="31">
        <v>304451</v>
      </c>
      <c r="AE352" s="31">
        <v>304451</v>
      </c>
      <c r="AF352" s="31">
        <v>0</v>
      </c>
      <c r="AG352" s="31">
        <v>311627</v>
      </c>
      <c r="AH352" s="31">
        <v>0</v>
      </c>
      <c r="AI352" s="31">
        <v>311627</v>
      </c>
      <c r="AJ352" s="45">
        <f t="shared" si="147"/>
        <v>27.714959089292066</v>
      </c>
      <c r="AK352" s="31">
        <v>0</v>
      </c>
      <c r="AL352" s="31">
        <v>0</v>
      </c>
      <c r="AM352" s="31">
        <v>0</v>
      </c>
      <c r="AN352" s="31">
        <v>0</v>
      </c>
      <c r="AO352" s="31">
        <v>0</v>
      </c>
      <c r="AP352" s="31">
        <v>0</v>
      </c>
      <c r="AQ352" s="31">
        <v>0</v>
      </c>
      <c r="AR352" s="31">
        <v>311627</v>
      </c>
      <c r="AS352" s="46">
        <f t="shared" si="148"/>
        <v>27.714959089292066</v>
      </c>
      <c r="AT352" s="31">
        <v>0</v>
      </c>
      <c r="AU352" s="31">
        <v>0</v>
      </c>
      <c r="AV352" s="31">
        <v>0</v>
      </c>
      <c r="AW352" s="31">
        <v>0</v>
      </c>
      <c r="AX352" s="31">
        <v>0</v>
      </c>
      <c r="AY352" s="31">
        <v>0</v>
      </c>
      <c r="AZ352" s="31">
        <v>0</v>
      </c>
      <c r="BA352" s="31">
        <v>0</v>
      </c>
      <c r="BB352" s="31">
        <v>0</v>
      </c>
      <c r="BC352" s="33" t="s">
        <v>25</v>
      </c>
      <c r="BD352" s="47">
        <v>55243</v>
      </c>
      <c r="BE352" s="47">
        <v>56935</v>
      </c>
      <c r="BF352" s="45">
        <f t="shared" si="149"/>
        <v>5.0635894699395232</v>
      </c>
      <c r="BG352" s="30">
        <v>1517</v>
      </c>
      <c r="BH352" s="30">
        <v>1527</v>
      </c>
      <c r="BI352" s="30">
        <v>0</v>
      </c>
      <c r="BJ352" s="30">
        <v>4943</v>
      </c>
      <c r="BK352" s="30">
        <v>4993</v>
      </c>
      <c r="BL352" s="30">
        <v>0</v>
      </c>
      <c r="BM352" s="30">
        <v>0</v>
      </c>
      <c r="BN352" s="30">
        <v>0</v>
      </c>
      <c r="BO352" s="30">
        <v>51</v>
      </c>
      <c r="BP352" s="30">
        <v>0</v>
      </c>
      <c r="BQ352" s="30">
        <v>51</v>
      </c>
      <c r="BR352" s="47">
        <v>61703</v>
      </c>
      <c r="BS352" s="47">
        <v>63455</v>
      </c>
      <c r="BT352" s="1">
        <f t="shared" si="150"/>
        <v>5.6434542867307007</v>
      </c>
      <c r="BU352" s="30">
        <v>13</v>
      </c>
      <c r="BV352" s="30">
        <v>0</v>
      </c>
      <c r="BW352" s="47">
        <v>326</v>
      </c>
      <c r="BX352" s="52">
        <f t="shared" si="151"/>
        <v>2.8993240839558877E-2</v>
      </c>
      <c r="BY352" s="47">
        <v>7464</v>
      </c>
      <c r="BZ352" s="47">
        <v>0</v>
      </c>
      <c r="CA352" s="47">
        <v>16841</v>
      </c>
      <c r="CB352" s="47">
        <v>0</v>
      </c>
      <c r="CC352" s="47">
        <v>24305</v>
      </c>
      <c r="CD352" s="55">
        <f t="shared" si="152"/>
        <v>2.1615972963358234</v>
      </c>
      <c r="CE352" s="3">
        <f t="shared" si="153"/>
        <v>4459.6330275229357</v>
      </c>
      <c r="CF352" s="55">
        <f t="shared" si="154"/>
        <v>4.3596412556053812</v>
      </c>
      <c r="CG352" s="55">
        <f t="shared" si="155"/>
        <v>1.6712507735680395</v>
      </c>
      <c r="CH352" s="55">
        <f t="shared" si="156"/>
        <v>0.3830273422110157</v>
      </c>
      <c r="CI352" s="30">
        <v>6</v>
      </c>
      <c r="CJ352" s="30">
        <v>0</v>
      </c>
      <c r="CK352" s="30">
        <v>0</v>
      </c>
      <c r="CL352" s="30">
        <v>6</v>
      </c>
      <c r="CM352" s="30">
        <v>639</v>
      </c>
      <c r="CN352" s="30">
        <v>0</v>
      </c>
      <c r="CO352" s="30">
        <v>0</v>
      </c>
      <c r="CP352" s="30">
        <v>639</v>
      </c>
      <c r="CQ352" s="1">
        <f t="shared" si="164"/>
        <v>5.6830309498399144E-2</v>
      </c>
      <c r="CR352" s="47">
        <v>14543</v>
      </c>
      <c r="CS352" s="55">
        <f t="shared" si="157"/>
        <v>1.2934009249377445</v>
      </c>
      <c r="CT352" s="59">
        <v>3723</v>
      </c>
      <c r="CU352" s="29" t="s">
        <v>25</v>
      </c>
      <c r="CV352" s="29" t="s">
        <v>25</v>
      </c>
      <c r="CW352" s="29" t="s">
        <v>25</v>
      </c>
      <c r="CX352" s="35">
        <v>0</v>
      </c>
      <c r="CY352" s="49">
        <v>0</v>
      </c>
      <c r="CZ352" s="35">
        <v>2.4500000000000002</v>
      </c>
      <c r="DA352" s="35">
        <v>3</v>
      </c>
      <c r="DB352" s="35">
        <v>5.45</v>
      </c>
      <c r="DC352" s="49">
        <f t="shared" si="158"/>
        <v>2063.119266055046</v>
      </c>
      <c r="DD352" s="30">
        <v>1</v>
      </c>
      <c r="DE352" s="31">
        <v>45453</v>
      </c>
      <c r="DF352" s="35">
        <v>40</v>
      </c>
      <c r="DG352" s="29" t="s">
        <v>25</v>
      </c>
      <c r="DH352" s="29" t="s">
        <v>25</v>
      </c>
      <c r="DI352" s="29" t="s">
        <v>25</v>
      </c>
      <c r="DJ352" s="47">
        <v>40</v>
      </c>
      <c r="DK352" s="47">
        <v>51</v>
      </c>
      <c r="DL352" s="47">
        <v>12</v>
      </c>
      <c r="DM352" s="47">
        <v>8467</v>
      </c>
      <c r="DN352" s="47">
        <v>278</v>
      </c>
      <c r="DO352" s="47">
        <v>282</v>
      </c>
      <c r="DP352" s="29" t="s">
        <v>2028</v>
      </c>
      <c r="DQ352" s="47">
        <v>0</v>
      </c>
      <c r="DR352" s="47">
        <v>2452</v>
      </c>
      <c r="DS352" s="30">
        <v>52</v>
      </c>
      <c r="DT352" s="30">
        <v>58</v>
      </c>
      <c r="DU352" s="30">
        <v>49</v>
      </c>
      <c r="DV352" s="30">
        <v>49</v>
      </c>
      <c r="DW352">
        <f>VLOOKUP(EC352,branch!$I$4:$K$77,3,0)</f>
        <v>3123</v>
      </c>
      <c r="DX352" s="2">
        <f t="shared" si="159"/>
        <v>5575</v>
      </c>
      <c r="DY352" s="33" t="s">
        <v>2178</v>
      </c>
      <c r="DZ352" s="33" t="s">
        <v>936</v>
      </c>
      <c r="EA352" s="33" t="s">
        <v>2031</v>
      </c>
      <c r="EB352" s="33" t="s">
        <v>2027</v>
      </c>
      <c r="EC352" s="36">
        <v>269</v>
      </c>
      <c r="ED352" s="29" t="s">
        <v>935</v>
      </c>
      <c r="EE352" s="29" t="s">
        <v>758</v>
      </c>
      <c r="EF352" s="37">
        <v>41640</v>
      </c>
      <c r="EG352" s="37">
        <v>42004</v>
      </c>
      <c r="EH352" s="29" t="s">
        <v>935</v>
      </c>
      <c r="EI352" s="55">
        <f t="shared" si="160"/>
        <v>0.66382070437566698</v>
      </c>
      <c r="EJ352" s="54">
        <f t="shared" si="161"/>
        <v>0</v>
      </c>
      <c r="EK352" s="55">
        <f t="shared" si="162"/>
        <v>1.4977765919601564</v>
      </c>
      <c r="EL352" s="54">
        <f t="shared" si="163"/>
        <v>0</v>
      </c>
    </row>
    <row r="353" spans="1:142" ht="43.2" x14ac:dyDescent="0.3">
      <c r="A353" s="29" t="s">
        <v>1693</v>
      </c>
      <c r="B353" s="29"/>
      <c r="C353" s="30">
        <v>2156</v>
      </c>
      <c r="D353" s="30">
        <v>0</v>
      </c>
      <c r="E353" s="30">
        <v>0</v>
      </c>
      <c r="F353" s="30">
        <v>3072</v>
      </c>
      <c r="H353" s="2">
        <f t="shared" si="139"/>
        <v>3072</v>
      </c>
      <c r="I353" s="1">
        <f t="shared" si="138"/>
        <v>1.424860853432282</v>
      </c>
      <c r="J353" s="31">
        <v>5949</v>
      </c>
      <c r="K353" s="31">
        <v>961</v>
      </c>
      <c r="L353" s="31">
        <v>6910</v>
      </c>
      <c r="M353" s="45">
        <f t="shared" si="140"/>
        <v>3.2050092764378477</v>
      </c>
      <c r="N353" s="31">
        <v>1023</v>
      </c>
      <c r="O353" s="31">
        <v>0</v>
      </c>
      <c r="P353" s="31">
        <v>0</v>
      </c>
      <c r="Q353" s="31">
        <v>1023</v>
      </c>
      <c r="R353" s="45">
        <f t="shared" si="141"/>
        <v>0.47448979591836737</v>
      </c>
      <c r="S353" s="31">
        <v>11389</v>
      </c>
      <c r="T353" s="31">
        <v>19322</v>
      </c>
      <c r="U353" s="31">
        <v>0</v>
      </c>
      <c r="V353" s="31">
        <v>19322</v>
      </c>
      <c r="W353" s="45">
        <f t="shared" si="142"/>
        <v>8.961966604823747</v>
      </c>
      <c r="X353" s="4">
        <f t="shared" si="143"/>
        <v>0.35762343442707795</v>
      </c>
      <c r="Y353" s="4">
        <f t="shared" si="144"/>
        <v>5.2944829727771453E-2</v>
      </c>
      <c r="Z353" s="4">
        <f t="shared" si="145"/>
        <v>0.58943173584515063</v>
      </c>
      <c r="AA353" s="4">
        <f t="shared" si="146"/>
        <v>0</v>
      </c>
      <c r="AB353" s="31">
        <v>0</v>
      </c>
      <c r="AC353" s="31">
        <v>1023</v>
      </c>
      <c r="AD353" s="31">
        <v>15851</v>
      </c>
      <c r="AE353" s="31">
        <v>12250</v>
      </c>
      <c r="AF353" s="31">
        <v>7250</v>
      </c>
      <c r="AG353" s="31">
        <v>5000</v>
      </c>
      <c r="AH353" s="31">
        <v>0</v>
      </c>
      <c r="AI353" s="31">
        <v>12250</v>
      </c>
      <c r="AJ353" s="45">
        <f t="shared" si="147"/>
        <v>5.6818181818181817</v>
      </c>
      <c r="AK353" s="31">
        <v>0</v>
      </c>
      <c r="AL353" s="31">
        <v>0</v>
      </c>
      <c r="AM353" s="31">
        <v>0</v>
      </c>
      <c r="AN353" s="31">
        <v>0</v>
      </c>
      <c r="AO353" s="31">
        <v>3010</v>
      </c>
      <c r="AP353" s="31">
        <v>5567</v>
      </c>
      <c r="AQ353" s="31">
        <v>8577</v>
      </c>
      <c r="AR353" s="31">
        <v>20827</v>
      </c>
      <c r="AS353" s="46">
        <f t="shared" si="148"/>
        <v>9.6600185528756963</v>
      </c>
      <c r="AT353" s="31">
        <v>0</v>
      </c>
      <c r="AU353" s="31">
        <v>0</v>
      </c>
      <c r="AV353" s="31">
        <v>0</v>
      </c>
      <c r="AW353" s="31">
        <v>0</v>
      </c>
      <c r="AX353" s="31">
        <v>0</v>
      </c>
      <c r="AY353" s="31">
        <v>0</v>
      </c>
      <c r="AZ353" s="31">
        <v>0</v>
      </c>
      <c r="BA353" s="31">
        <v>0</v>
      </c>
      <c r="BB353" s="31">
        <v>0</v>
      </c>
      <c r="BC353" s="33" t="s">
        <v>25</v>
      </c>
      <c r="BD353" s="47">
        <v>11950</v>
      </c>
      <c r="BE353" s="47">
        <v>11950</v>
      </c>
      <c r="BF353" s="45">
        <f t="shared" si="149"/>
        <v>5.5426716141001853</v>
      </c>
      <c r="BG353" s="30">
        <v>416</v>
      </c>
      <c r="BH353" s="30">
        <v>416</v>
      </c>
      <c r="BI353" s="30">
        <v>0</v>
      </c>
      <c r="BJ353" s="30">
        <v>1293</v>
      </c>
      <c r="BK353" s="30">
        <v>1293</v>
      </c>
      <c r="BL353" s="30">
        <v>0</v>
      </c>
      <c r="BM353" s="30">
        <v>0</v>
      </c>
      <c r="BN353" s="30">
        <v>0</v>
      </c>
      <c r="BO353" s="30">
        <v>51</v>
      </c>
      <c r="BP353" s="30">
        <v>0</v>
      </c>
      <c r="BQ353" s="30">
        <v>51</v>
      </c>
      <c r="BR353" s="47">
        <v>13659</v>
      </c>
      <c r="BS353" s="47">
        <v>13659</v>
      </c>
      <c r="BT353" s="1">
        <f t="shared" si="150"/>
        <v>6.3353432282003714</v>
      </c>
      <c r="BU353" s="30">
        <v>2</v>
      </c>
      <c r="BV353" s="30">
        <v>1</v>
      </c>
      <c r="BW353" s="47">
        <v>7250</v>
      </c>
      <c r="BX353" s="52">
        <f t="shared" si="151"/>
        <v>3.362708719851577</v>
      </c>
      <c r="BY353" s="47">
        <v>1817</v>
      </c>
      <c r="BZ353" s="47">
        <v>0</v>
      </c>
      <c r="CA353" s="47">
        <v>1836</v>
      </c>
      <c r="CB353" s="47">
        <v>0</v>
      </c>
      <c r="CC353" s="47">
        <v>3653</v>
      </c>
      <c r="CD353" s="55">
        <f t="shared" si="152"/>
        <v>1.6943413729128014</v>
      </c>
      <c r="CE353" s="3">
        <f t="shared" si="153"/>
        <v>7306</v>
      </c>
      <c r="CF353" s="55">
        <f t="shared" si="154"/>
        <v>3.581372549019608</v>
      </c>
      <c r="CG353" s="55">
        <f t="shared" si="155"/>
        <v>0.90086313193588163</v>
      </c>
      <c r="CH353" s="55">
        <f t="shared" si="156"/>
        <v>0.26744271176513656</v>
      </c>
      <c r="CI353" s="30">
        <v>9</v>
      </c>
      <c r="CJ353" s="30">
        <v>8</v>
      </c>
      <c r="CK353" s="30">
        <v>5</v>
      </c>
      <c r="CL353" s="30">
        <v>22</v>
      </c>
      <c r="CM353" s="30">
        <v>568</v>
      </c>
      <c r="CN353" s="30">
        <v>20</v>
      </c>
      <c r="CO353" s="30">
        <v>293</v>
      </c>
      <c r="CP353" s="30">
        <v>881</v>
      </c>
      <c r="CQ353" s="1">
        <f t="shared" si="164"/>
        <v>0.40862708719851576</v>
      </c>
      <c r="CR353" s="47">
        <v>4055</v>
      </c>
      <c r="CS353" s="55">
        <f t="shared" si="157"/>
        <v>1.8807977736549164</v>
      </c>
      <c r="CT353" s="59">
        <v>1501</v>
      </c>
      <c r="CU353" s="29" t="s">
        <v>25</v>
      </c>
      <c r="CV353" s="29" t="s">
        <v>25</v>
      </c>
      <c r="CW353" s="29" t="s">
        <v>25</v>
      </c>
      <c r="CX353" s="35">
        <v>0</v>
      </c>
      <c r="CY353" s="49">
        <v>0</v>
      </c>
      <c r="CZ353" s="35">
        <v>0.5</v>
      </c>
      <c r="DA353" s="35">
        <v>0</v>
      </c>
      <c r="DB353" s="35">
        <v>0.5</v>
      </c>
      <c r="DC353" s="49">
        <f t="shared" si="158"/>
        <v>4312</v>
      </c>
      <c r="DD353" s="30">
        <v>700</v>
      </c>
      <c r="DE353" s="31">
        <v>7540</v>
      </c>
      <c r="DF353" s="35">
        <v>20</v>
      </c>
      <c r="DG353" s="29" t="s">
        <v>25</v>
      </c>
      <c r="DH353" s="29" t="s">
        <v>25</v>
      </c>
      <c r="DI353" s="29" t="s">
        <v>25</v>
      </c>
      <c r="DJ353" s="47">
        <v>73</v>
      </c>
      <c r="DK353" s="47">
        <v>0</v>
      </c>
      <c r="DL353" s="47">
        <v>5</v>
      </c>
      <c r="DM353" s="47">
        <v>721</v>
      </c>
      <c r="DN353" s="47">
        <v>455</v>
      </c>
      <c r="DO353" s="47">
        <v>412</v>
      </c>
      <c r="DP353" s="29" t="s">
        <v>2028</v>
      </c>
      <c r="DQ353" s="47">
        <v>0</v>
      </c>
      <c r="DR353" s="47">
        <v>1020</v>
      </c>
      <c r="DS353" s="30">
        <v>52</v>
      </c>
      <c r="DT353" s="30">
        <v>20</v>
      </c>
      <c r="DU353" s="30">
        <v>20</v>
      </c>
      <c r="DV353" s="30">
        <v>20</v>
      </c>
      <c r="DX353" s="2">
        <f t="shared" si="159"/>
        <v>1020</v>
      </c>
      <c r="DY353" s="33" t="s">
        <v>2186</v>
      </c>
      <c r="DZ353" s="33" t="s">
        <v>1695</v>
      </c>
      <c r="EA353" s="33" t="s">
        <v>2032</v>
      </c>
      <c r="EB353" s="33" t="s">
        <v>2027</v>
      </c>
      <c r="EC353" s="36">
        <v>578</v>
      </c>
      <c r="ED353" s="29" t="s">
        <v>1694</v>
      </c>
      <c r="EE353" s="29" t="s">
        <v>1315</v>
      </c>
      <c r="EF353" s="37">
        <v>41640</v>
      </c>
      <c r="EG353" s="37">
        <v>42004</v>
      </c>
      <c r="EH353" s="29" t="s">
        <v>1694</v>
      </c>
      <c r="EI353" s="55">
        <f t="shared" si="160"/>
        <v>0.84276437847866414</v>
      </c>
      <c r="EJ353" s="54">
        <f t="shared" si="161"/>
        <v>0</v>
      </c>
      <c r="EK353" s="55">
        <f t="shared" si="162"/>
        <v>0.85157699443413726</v>
      </c>
      <c r="EL353" s="54">
        <f t="shared" si="163"/>
        <v>0</v>
      </c>
    </row>
    <row r="354" spans="1:142" ht="43.2" x14ac:dyDescent="0.3">
      <c r="A354" s="29" t="s">
        <v>937</v>
      </c>
      <c r="B354" s="29"/>
      <c r="C354" s="30">
        <v>3016</v>
      </c>
      <c r="D354" s="30">
        <v>0</v>
      </c>
      <c r="E354" s="30">
        <v>0</v>
      </c>
      <c r="F354" s="30">
        <v>3342</v>
      </c>
      <c r="H354" s="2">
        <f t="shared" si="139"/>
        <v>3342</v>
      </c>
      <c r="I354" s="1">
        <f t="shared" si="138"/>
        <v>1.1080901856763925</v>
      </c>
      <c r="J354" s="31">
        <v>41597</v>
      </c>
      <c r="K354" s="31">
        <v>22636</v>
      </c>
      <c r="L354" s="31">
        <v>64233</v>
      </c>
      <c r="M354" s="45">
        <f t="shared" si="140"/>
        <v>21.297413793103448</v>
      </c>
      <c r="N354" s="31">
        <v>9455</v>
      </c>
      <c r="O354" s="31">
        <v>0</v>
      </c>
      <c r="P354" s="31">
        <v>340</v>
      </c>
      <c r="Q354" s="31">
        <v>9795</v>
      </c>
      <c r="R354" s="45">
        <f t="shared" si="141"/>
        <v>3.2476790450928381</v>
      </c>
      <c r="S354" s="31">
        <v>15240</v>
      </c>
      <c r="T354" s="31">
        <v>89268</v>
      </c>
      <c r="U354" s="31">
        <v>0</v>
      </c>
      <c r="V354" s="31">
        <v>89268</v>
      </c>
      <c r="W354" s="45">
        <f t="shared" si="142"/>
        <v>29.598143236074272</v>
      </c>
      <c r="X354" s="4">
        <f t="shared" si="143"/>
        <v>0.71955235918806293</v>
      </c>
      <c r="Y354" s="4">
        <f t="shared" si="144"/>
        <v>0.10972576959268719</v>
      </c>
      <c r="Z354" s="4">
        <f t="shared" si="145"/>
        <v>0.17072187121924989</v>
      </c>
      <c r="AA354" s="4">
        <f t="shared" si="146"/>
        <v>0</v>
      </c>
      <c r="AB354" s="31">
        <v>0</v>
      </c>
      <c r="AC354" s="31">
        <v>9795</v>
      </c>
      <c r="AD354" s="31">
        <v>89268</v>
      </c>
      <c r="AE354" s="31">
        <v>89268</v>
      </c>
      <c r="AF354" s="31">
        <v>0</v>
      </c>
      <c r="AG354" s="31">
        <v>89268</v>
      </c>
      <c r="AH354" s="31">
        <v>0</v>
      </c>
      <c r="AI354" s="31">
        <v>89268</v>
      </c>
      <c r="AJ354" s="45">
        <f t="shared" si="147"/>
        <v>29.598143236074272</v>
      </c>
      <c r="AK354" s="31">
        <v>0</v>
      </c>
      <c r="AL354" s="31">
        <v>0</v>
      </c>
      <c r="AM354" s="31">
        <v>0</v>
      </c>
      <c r="AN354" s="31">
        <v>0</v>
      </c>
      <c r="AO354" s="31">
        <v>4800</v>
      </c>
      <c r="AP354" s="31">
        <v>0</v>
      </c>
      <c r="AQ354" s="31">
        <v>4800</v>
      </c>
      <c r="AR354" s="31">
        <v>94068</v>
      </c>
      <c r="AS354" s="46">
        <f t="shared" si="148"/>
        <v>31.189655172413794</v>
      </c>
      <c r="AT354" s="31">
        <v>0</v>
      </c>
      <c r="AU354" s="31">
        <v>0</v>
      </c>
      <c r="AV354" s="31">
        <v>0</v>
      </c>
      <c r="AW354" s="31">
        <v>0</v>
      </c>
      <c r="AX354" s="31">
        <v>0</v>
      </c>
      <c r="AY354" s="31">
        <v>0</v>
      </c>
      <c r="AZ354" s="31">
        <v>0</v>
      </c>
      <c r="BA354" s="31">
        <v>0</v>
      </c>
      <c r="BB354" s="31">
        <v>0</v>
      </c>
      <c r="BC354" s="33" t="s">
        <v>25</v>
      </c>
      <c r="BD354" s="47">
        <v>12623</v>
      </c>
      <c r="BE354" s="47">
        <v>12758</v>
      </c>
      <c r="BF354" s="45">
        <f t="shared" si="149"/>
        <v>4.2301061007957559</v>
      </c>
      <c r="BG354" s="30">
        <v>168</v>
      </c>
      <c r="BH354" s="30">
        <v>169</v>
      </c>
      <c r="BI354" s="30">
        <v>0</v>
      </c>
      <c r="BJ354" s="30">
        <v>20</v>
      </c>
      <c r="BK354" s="30">
        <v>21</v>
      </c>
      <c r="BL354" s="30">
        <v>0</v>
      </c>
      <c r="BM354" s="30">
        <v>0</v>
      </c>
      <c r="BN354" s="30">
        <v>1</v>
      </c>
      <c r="BO354" s="30">
        <v>51</v>
      </c>
      <c r="BP354" s="30">
        <v>0</v>
      </c>
      <c r="BQ354" s="30">
        <v>52</v>
      </c>
      <c r="BR354" s="47">
        <v>12811</v>
      </c>
      <c r="BS354" s="47">
        <v>12949</v>
      </c>
      <c r="BT354" s="1">
        <f t="shared" si="150"/>
        <v>4.2934350132625996</v>
      </c>
      <c r="BU354" s="30">
        <v>8</v>
      </c>
      <c r="BV354" s="30">
        <v>0</v>
      </c>
      <c r="BW354" s="47">
        <v>3385</v>
      </c>
      <c r="BX354" s="52">
        <f t="shared" si="151"/>
        <v>1.1223474801061009</v>
      </c>
      <c r="BY354" s="47">
        <v>4119</v>
      </c>
      <c r="BZ354" s="47">
        <v>0</v>
      </c>
      <c r="CA354" s="47">
        <v>2012</v>
      </c>
      <c r="CB354" s="47">
        <v>0</v>
      </c>
      <c r="CC354" s="47">
        <v>6131</v>
      </c>
      <c r="CD354" s="55">
        <f t="shared" si="152"/>
        <v>2.0328249336870026</v>
      </c>
      <c r="CE354" s="3">
        <f t="shared" si="153"/>
        <v>4087.3333333333335</v>
      </c>
      <c r="CF354" s="55">
        <f t="shared" si="154"/>
        <v>3.5316820276497696</v>
      </c>
      <c r="CG354" s="55">
        <f t="shared" si="155"/>
        <v>0.87585714285714289</v>
      </c>
      <c r="CH354" s="55">
        <f t="shared" si="156"/>
        <v>0.47347285504672176</v>
      </c>
      <c r="CI354" s="30">
        <v>41</v>
      </c>
      <c r="CJ354" s="30">
        <v>33</v>
      </c>
      <c r="CK354" s="30">
        <v>0</v>
      </c>
      <c r="CL354" s="30">
        <v>74</v>
      </c>
      <c r="CM354" s="30">
        <v>995</v>
      </c>
      <c r="CN354" s="30">
        <v>422</v>
      </c>
      <c r="CO354" s="30">
        <v>12</v>
      </c>
      <c r="CP354" s="30">
        <v>1429</v>
      </c>
      <c r="CQ354" s="1">
        <f t="shared" si="164"/>
        <v>0.47380636604774534</v>
      </c>
      <c r="CR354" s="47">
        <v>7000</v>
      </c>
      <c r="CS354" s="55">
        <f t="shared" si="157"/>
        <v>2.3209549071618039</v>
      </c>
      <c r="CT354" s="59">
        <v>1368</v>
      </c>
      <c r="CU354" s="29" t="s">
        <v>25</v>
      </c>
      <c r="CV354" s="29" t="s">
        <v>25</v>
      </c>
      <c r="CW354" s="29" t="s">
        <v>25</v>
      </c>
      <c r="CX354" s="35">
        <v>0</v>
      </c>
      <c r="CY354" s="49">
        <v>0</v>
      </c>
      <c r="CZ354" s="35">
        <v>0.875</v>
      </c>
      <c r="DA354" s="35">
        <v>0.625</v>
      </c>
      <c r="DB354" s="35">
        <v>1.5</v>
      </c>
      <c r="DC354" s="49">
        <f t="shared" si="158"/>
        <v>2010.6666666666667</v>
      </c>
      <c r="DD354" s="30">
        <v>10</v>
      </c>
      <c r="DE354" s="31">
        <v>32603</v>
      </c>
      <c r="DF354" s="35">
        <v>35</v>
      </c>
      <c r="DG354" s="29" t="s">
        <v>25</v>
      </c>
      <c r="DH354" s="29" t="s">
        <v>25</v>
      </c>
      <c r="DI354" s="29" t="s">
        <v>25</v>
      </c>
      <c r="DJ354" s="47">
        <v>14</v>
      </c>
      <c r="DK354" s="47">
        <v>9</v>
      </c>
      <c r="DL354" s="47">
        <v>8</v>
      </c>
      <c r="DM354" s="47">
        <v>4267</v>
      </c>
      <c r="DN354" s="47">
        <v>10</v>
      </c>
      <c r="DO354" s="47">
        <v>0</v>
      </c>
      <c r="DP354" s="29" t="s">
        <v>2028</v>
      </c>
      <c r="DQ354" s="47">
        <v>0</v>
      </c>
      <c r="DR354" s="47">
        <v>1736</v>
      </c>
      <c r="DS354" s="30">
        <v>52</v>
      </c>
      <c r="DT354" s="30">
        <v>35</v>
      </c>
      <c r="DU354" s="30">
        <v>35</v>
      </c>
      <c r="DV354" s="30">
        <v>35</v>
      </c>
      <c r="DX354" s="2">
        <f t="shared" si="159"/>
        <v>1736</v>
      </c>
      <c r="DY354" s="33" t="s">
        <v>2178</v>
      </c>
      <c r="DZ354" s="33" t="s">
        <v>941</v>
      </c>
      <c r="EA354" s="33" t="s">
        <v>2031</v>
      </c>
      <c r="EB354" s="33" t="s">
        <v>2027</v>
      </c>
      <c r="EC354" s="36">
        <v>271</v>
      </c>
      <c r="ED354" s="29" t="s">
        <v>938</v>
      </c>
      <c r="EE354" s="29" t="s">
        <v>939</v>
      </c>
      <c r="EF354" s="37">
        <v>41640</v>
      </c>
      <c r="EG354" s="37">
        <v>42004</v>
      </c>
      <c r="EH354" s="29" t="s">
        <v>938</v>
      </c>
      <c r="EI354" s="55">
        <f t="shared" si="160"/>
        <v>1.3657161803713529</v>
      </c>
      <c r="EJ354" s="54">
        <f t="shared" si="161"/>
        <v>0</v>
      </c>
      <c r="EK354" s="55">
        <f t="shared" si="162"/>
        <v>0.66710875331564989</v>
      </c>
      <c r="EL354" s="54">
        <f t="shared" si="163"/>
        <v>0</v>
      </c>
    </row>
    <row r="355" spans="1:142" ht="28.8" x14ac:dyDescent="0.3">
      <c r="A355" s="29" t="s">
        <v>943</v>
      </c>
      <c r="B355" s="29"/>
      <c r="C355" s="30">
        <v>316</v>
      </c>
      <c r="D355" s="30">
        <v>0</v>
      </c>
      <c r="E355" s="30">
        <v>0</v>
      </c>
      <c r="F355" s="30">
        <v>2200</v>
      </c>
      <c r="H355" s="2">
        <f t="shared" si="139"/>
        <v>2200</v>
      </c>
      <c r="I355" s="1">
        <f t="shared" si="138"/>
        <v>6.962025316455696</v>
      </c>
      <c r="J355" s="31">
        <v>13092</v>
      </c>
      <c r="K355" s="31">
        <v>853</v>
      </c>
      <c r="L355" s="31">
        <v>13945</v>
      </c>
      <c r="M355" s="45">
        <f t="shared" si="140"/>
        <v>44.129746835443036</v>
      </c>
      <c r="N355" s="31">
        <v>8381</v>
      </c>
      <c r="O355" s="31">
        <v>0</v>
      </c>
      <c r="P355" s="31">
        <v>4097</v>
      </c>
      <c r="Q355" s="31">
        <v>12478</v>
      </c>
      <c r="R355" s="45">
        <f t="shared" si="141"/>
        <v>39.4873417721519</v>
      </c>
      <c r="S355" s="31">
        <v>10023</v>
      </c>
      <c r="T355" s="31">
        <v>36446</v>
      </c>
      <c r="U355" s="31">
        <v>0</v>
      </c>
      <c r="V355" s="31">
        <v>36446</v>
      </c>
      <c r="W355" s="45">
        <f t="shared" si="142"/>
        <v>115.33544303797468</v>
      </c>
      <c r="X355" s="4">
        <f t="shared" si="143"/>
        <v>0.3826208637436207</v>
      </c>
      <c r="Y355" s="4">
        <f t="shared" si="144"/>
        <v>0.34236953300773748</v>
      </c>
      <c r="Z355" s="4">
        <f t="shared" si="145"/>
        <v>0.27500960324864182</v>
      </c>
      <c r="AA355" s="4">
        <f t="shared" si="146"/>
        <v>0</v>
      </c>
      <c r="AB355" s="31">
        <v>0</v>
      </c>
      <c r="AC355" s="31">
        <v>12478</v>
      </c>
      <c r="AD355" s="31">
        <v>36446</v>
      </c>
      <c r="AE355" s="31">
        <v>5100</v>
      </c>
      <c r="AF355" s="31">
        <v>5100</v>
      </c>
      <c r="AG355" s="31">
        <v>0</v>
      </c>
      <c r="AH355" s="31">
        <v>0</v>
      </c>
      <c r="AI355" s="31">
        <v>5100</v>
      </c>
      <c r="AJ355" s="45">
        <f t="shared" si="147"/>
        <v>16.139240506329113</v>
      </c>
      <c r="AK355" s="31">
        <v>0</v>
      </c>
      <c r="AL355" s="31">
        <v>0</v>
      </c>
      <c r="AM355" s="31">
        <v>0</v>
      </c>
      <c r="AN355" s="31">
        <v>0</v>
      </c>
      <c r="AO355" s="31">
        <v>0</v>
      </c>
      <c r="AP355" s="31">
        <v>32313</v>
      </c>
      <c r="AQ355" s="31">
        <v>32313</v>
      </c>
      <c r="AR355" s="31">
        <v>37413</v>
      </c>
      <c r="AS355" s="46">
        <f t="shared" si="148"/>
        <v>118.39556962025317</v>
      </c>
      <c r="AT355" s="31">
        <v>0</v>
      </c>
      <c r="AU355" s="31">
        <v>0</v>
      </c>
      <c r="AV355" s="31">
        <v>0</v>
      </c>
      <c r="AW355" s="31">
        <v>0</v>
      </c>
      <c r="AX355" s="31">
        <v>0</v>
      </c>
      <c r="AY355" s="31">
        <v>0</v>
      </c>
      <c r="AZ355" s="31">
        <v>0</v>
      </c>
      <c r="BA355" s="31">
        <v>0</v>
      </c>
      <c r="BB355" s="31">
        <v>0</v>
      </c>
      <c r="BC355" s="33" t="s">
        <v>25</v>
      </c>
      <c r="BD355" s="47">
        <v>9693</v>
      </c>
      <c r="BE355" s="47">
        <v>9898</v>
      </c>
      <c r="BF355" s="45">
        <f t="shared" si="149"/>
        <v>31.322784810126581</v>
      </c>
      <c r="BG355" s="30">
        <v>0</v>
      </c>
      <c r="BH355" s="30">
        <v>0</v>
      </c>
      <c r="BI355" s="30">
        <v>0</v>
      </c>
      <c r="BJ355" s="30">
        <v>563</v>
      </c>
      <c r="BK355" s="30">
        <v>628</v>
      </c>
      <c r="BL355" s="30">
        <v>0</v>
      </c>
      <c r="BM355" s="30">
        <v>0</v>
      </c>
      <c r="BN355" s="30">
        <v>0</v>
      </c>
      <c r="BO355" s="30">
        <v>51</v>
      </c>
      <c r="BP355" s="30">
        <v>0</v>
      </c>
      <c r="BQ355" s="30">
        <v>51</v>
      </c>
      <c r="BR355" s="47">
        <v>10256</v>
      </c>
      <c r="BS355" s="47">
        <v>10526</v>
      </c>
      <c r="BT355" s="1">
        <f t="shared" si="150"/>
        <v>33.310126582278478</v>
      </c>
      <c r="BU355" s="30">
        <v>6</v>
      </c>
      <c r="BV355" s="30">
        <v>0</v>
      </c>
      <c r="BW355" s="47">
        <v>378</v>
      </c>
      <c r="BX355" s="52">
        <f t="shared" si="151"/>
        <v>1.1962025316455696</v>
      </c>
      <c r="BY355" s="47">
        <v>4440</v>
      </c>
      <c r="BZ355" s="47">
        <v>0</v>
      </c>
      <c r="CA355" s="47">
        <v>11056</v>
      </c>
      <c r="CB355" s="47">
        <v>0</v>
      </c>
      <c r="CC355" s="47">
        <v>15496</v>
      </c>
      <c r="CD355" s="55">
        <f t="shared" si="152"/>
        <v>49.037974683544306</v>
      </c>
      <c r="CE355" s="3">
        <f t="shared" si="153"/>
        <v>15893.333333333334</v>
      </c>
      <c r="CF355" s="55">
        <f t="shared" si="154"/>
        <v>15.373015873015873</v>
      </c>
      <c r="CG355" s="55">
        <f t="shared" si="155"/>
        <v>5.9122472338801986</v>
      </c>
      <c r="CH355" s="55">
        <f t="shared" si="156"/>
        <v>1.4721641649249477</v>
      </c>
      <c r="CI355" s="30">
        <v>4</v>
      </c>
      <c r="CJ355" s="30">
        <v>0</v>
      </c>
      <c r="CK355" s="30">
        <v>0</v>
      </c>
      <c r="CL355" s="30">
        <v>4</v>
      </c>
      <c r="CM355" s="30">
        <v>70</v>
      </c>
      <c r="CN355" s="30">
        <v>0</v>
      </c>
      <c r="CO355" s="30">
        <v>0</v>
      </c>
      <c r="CP355" s="30">
        <v>70</v>
      </c>
      <c r="CQ355" s="1">
        <f t="shared" si="164"/>
        <v>0.22151898734177214</v>
      </c>
      <c r="CR355" s="47">
        <v>2621</v>
      </c>
      <c r="CS355" s="55">
        <f t="shared" si="157"/>
        <v>8.2943037974683538</v>
      </c>
      <c r="CT355" s="59">
        <v>297</v>
      </c>
      <c r="CU355" s="29" t="s">
        <v>25</v>
      </c>
      <c r="CV355" s="29" t="s">
        <v>25</v>
      </c>
      <c r="CW355" s="29" t="s">
        <v>25</v>
      </c>
      <c r="CX355" s="35">
        <v>0</v>
      </c>
      <c r="CY355" s="49">
        <v>0</v>
      </c>
      <c r="CZ355" s="35">
        <v>0.97499999999999998</v>
      </c>
      <c r="DA355" s="35">
        <v>0</v>
      </c>
      <c r="DB355" s="35">
        <v>0.97499999999999998</v>
      </c>
      <c r="DC355" s="49">
        <f t="shared" si="158"/>
        <v>324.10256410256409</v>
      </c>
      <c r="DD355" s="30">
        <v>30</v>
      </c>
      <c r="DE355" s="31">
        <v>5807</v>
      </c>
      <c r="DF355" s="35">
        <v>21</v>
      </c>
      <c r="DG355" s="29" t="s">
        <v>25</v>
      </c>
      <c r="DH355" s="29" t="s">
        <v>26</v>
      </c>
      <c r="DI355" s="29" t="s">
        <v>26</v>
      </c>
      <c r="DJ355" s="47">
        <v>0</v>
      </c>
      <c r="DK355" s="47">
        <v>0</v>
      </c>
      <c r="DL355" s="47">
        <v>6</v>
      </c>
      <c r="DM355" s="47">
        <v>517</v>
      </c>
      <c r="DN355" s="47">
        <v>4</v>
      </c>
      <c r="DO355" s="47">
        <v>-1</v>
      </c>
      <c r="DP355" s="29" t="s">
        <v>2028</v>
      </c>
      <c r="DQ355" s="47">
        <v>0</v>
      </c>
      <c r="DR355" s="47">
        <v>1008</v>
      </c>
      <c r="DS355" s="30">
        <v>48</v>
      </c>
      <c r="DT355" s="30">
        <v>21</v>
      </c>
      <c r="DU355" s="30">
        <v>21</v>
      </c>
      <c r="DV355" s="30">
        <v>21</v>
      </c>
      <c r="DX355" s="2">
        <f t="shared" si="159"/>
        <v>1008</v>
      </c>
      <c r="DY355" s="33" t="s">
        <v>2186</v>
      </c>
      <c r="DZ355" s="33" t="s">
        <v>944</v>
      </c>
      <c r="EA355" s="33" t="s">
        <v>2030</v>
      </c>
      <c r="EB355" s="33" t="s">
        <v>2027</v>
      </c>
      <c r="EC355" s="36">
        <v>272</v>
      </c>
      <c r="ED355" s="29" t="s">
        <v>942</v>
      </c>
      <c r="EE355" s="29" t="s">
        <v>458</v>
      </c>
      <c r="EF355" s="37">
        <v>41365</v>
      </c>
      <c r="EG355" s="37">
        <v>41729</v>
      </c>
      <c r="EH355" s="29" t="s">
        <v>942</v>
      </c>
      <c r="EI355" s="55">
        <f t="shared" si="160"/>
        <v>14.050632911392405</v>
      </c>
      <c r="EJ355" s="54">
        <f t="shared" si="161"/>
        <v>0</v>
      </c>
      <c r="EK355" s="55">
        <f t="shared" si="162"/>
        <v>34.9873417721519</v>
      </c>
      <c r="EL355" s="54">
        <f t="shared" si="163"/>
        <v>0</v>
      </c>
    </row>
    <row r="356" spans="1:142" ht="28.8" x14ac:dyDescent="0.3">
      <c r="A356" s="29" t="s">
        <v>947</v>
      </c>
      <c r="B356" s="29"/>
      <c r="C356" s="30">
        <v>16113</v>
      </c>
      <c r="D356" s="30">
        <v>0</v>
      </c>
      <c r="E356" s="30">
        <v>0</v>
      </c>
      <c r="F356" s="30">
        <v>17600</v>
      </c>
      <c r="H356" s="2">
        <f t="shared" si="139"/>
        <v>17600</v>
      </c>
      <c r="I356" s="1">
        <f t="shared" si="138"/>
        <v>1.0922857320176256</v>
      </c>
      <c r="J356" s="31">
        <v>147848</v>
      </c>
      <c r="K356" s="31">
        <v>64605</v>
      </c>
      <c r="L356" s="31">
        <v>212453</v>
      </c>
      <c r="M356" s="45">
        <f t="shared" si="140"/>
        <v>13.185192080928443</v>
      </c>
      <c r="N356" s="31">
        <v>33000</v>
      </c>
      <c r="O356" s="31">
        <v>5560</v>
      </c>
      <c r="P356" s="31">
        <v>9046</v>
      </c>
      <c r="Q356" s="31">
        <v>47606</v>
      </c>
      <c r="R356" s="45">
        <f t="shared" si="141"/>
        <v>2.9545087817290385</v>
      </c>
      <c r="S356" s="31">
        <v>88520</v>
      </c>
      <c r="T356" s="31">
        <v>348579</v>
      </c>
      <c r="U356" s="31">
        <v>0</v>
      </c>
      <c r="V356" s="31">
        <v>348579</v>
      </c>
      <c r="W356" s="45">
        <f t="shared" si="142"/>
        <v>21.633401601191583</v>
      </c>
      <c r="X356" s="4">
        <f t="shared" si="143"/>
        <v>0.60948307270374869</v>
      </c>
      <c r="Y356" s="4">
        <f t="shared" si="144"/>
        <v>0.13657162364915845</v>
      </c>
      <c r="Z356" s="4">
        <f t="shared" si="145"/>
        <v>0.25394530364709289</v>
      </c>
      <c r="AA356" s="4">
        <f t="shared" si="146"/>
        <v>0</v>
      </c>
      <c r="AB356" s="31">
        <v>0</v>
      </c>
      <c r="AC356" s="31">
        <v>47606</v>
      </c>
      <c r="AD356" s="31">
        <v>348579</v>
      </c>
      <c r="AE356" s="31">
        <v>348579</v>
      </c>
      <c r="AF356" s="31">
        <v>348579</v>
      </c>
      <c r="AG356" s="31">
        <v>0</v>
      </c>
      <c r="AH356" s="31">
        <v>0</v>
      </c>
      <c r="AI356" s="31">
        <v>348579</v>
      </c>
      <c r="AJ356" s="45">
        <f t="shared" si="147"/>
        <v>21.633401601191583</v>
      </c>
      <c r="AK356" s="31">
        <v>0</v>
      </c>
      <c r="AL356" s="31">
        <v>0</v>
      </c>
      <c r="AM356" s="31">
        <v>0</v>
      </c>
      <c r="AN356" s="31">
        <v>0</v>
      </c>
      <c r="AO356" s="31">
        <v>3900</v>
      </c>
      <c r="AP356" s="31">
        <v>4600</v>
      </c>
      <c r="AQ356" s="31">
        <v>8500</v>
      </c>
      <c r="AR356" s="31">
        <v>357079</v>
      </c>
      <c r="AS356" s="46">
        <f t="shared" si="148"/>
        <v>22.160925960404644</v>
      </c>
      <c r="AT356" s="31">
        <v>0</v>
      </c>
      <c r="AU356" s="31">
        <v>0</v>
      </c>
      <c r="AV356" s="31">
        <v>0</v>
      </c>
      <c r="AW356" s="31">
        <v>0</v>
      </c>
      <c r="AX356" s="31">
        <v>0</v>
      </c>
      <c r="AY356" s="31">
        <v>0</v>
      </c>
      <c r="AZ356" s="31">
        <v>0</v>
      </c>
      <c r="BA356" s="31">
        <v>0</v>
      </c>
      <c r="BB356" s="31">
        <v>0</v>
      </c>
      <c r="BC356" s="33" t="s">
        <v>25</v>
      </c>
      <c r="BD356" s="47">
        <v>32576</v>
      </c>
      <c r="BE356" s="47">
        <v>33875</v>
      </c>
      <c r="BF356" s="45">
        <f t="shared" si="149"/>
        <v>2.1023397256873331</v>
      </c>
      <c r="BG356" s="30">
        <v>1115</v>
      </c>
      <c r="BH356" s="30">
        <v>1121</v>
      </c>
      <c r="BI356" s="30">
        <v>1104</v>
      </c>
      <c r="BJ356" s="30">
        <v>1280</v>
      </c>
      <c r="BK356" s="30">
        <v>1294</v>
      </c>
      <c r="BL356" s="30">
        <v>43</v>
      </c>
      <c r="BM356" s="30">
        <v>8039</v>
      </c>
      <c r="BN356" s="30">
        <v>5</v>
      </c>
      <c r="BO356" s="30">
        <v>51</v>
      </c>
      <c r="BP356" s="30">
        <v>0</v>
      </c>
      <c r="BQ356" s="30">
        <v>56</v>
      </c>
      <c r="BR356" s="47">
        <v>34971</v>
      </c>
      <c r="BS356" s="47">
        <v>45481</v>
      </c>
      <c r="BT356" s="1">
        <f t="shared" si="150"/>
        <v>2.8226276919257742</v>
      </c>
      <c r="BU356" s="30">
        <v>61</v>
      </c>
      <c r="BV356" s="30">
        <v>0</v>
      </c>
      <c r="BW356" s="47">
        <v>46675</v>
      </c>
      <c r="BX356" s="52">
        <f t="shared" si="151"/>
        <v>2.8967293489728791</v>
      </c>
      <c r="BY356" s="47">
        <v>46331</v>
      </c>
      <c r="BZ356" s="47">
        <v>580</v>
      </c>
      <c r="CA356" s="47">
        <v>90560</v>
      </c>
      <c r="CB356" s="47">
        <v>3021</v>
      </c>
      <c r="CC356" s="47">
        <v>140492</v>
      </c>
      <c r="CD356" s="55">
        <f t="shared" si="152"/>
        <v>8.7191708558306953</v>
      </c>
      <c r="CE356" s="3">
        <f t="shared" si="153"/>
        <v>31220.444444444445</v>
      </c>
      <c r="CF356" s="55">
        <f t="shared" si="154"/>
        <v>56.536016096579473</v>
      </c>
      <c r="CG356" s="55">
        <f t="shared" si="155"/>
        <v>1.8512340066674573</v>
      </c>
      <c r="CH356" s="55">
        <f t="shared" si="156"/>
        <v>3.0098502671445218</v>
      </c>
      <c r="CI356" s="30">
        <v>93</v>
      </c>
      <c r="CJ356" s="30">
        <v>20</v>
      </c>
      <c r="CK356" s="30">
        <v>55</v>
      </c>
      <c r="CL356" s="30">
        <v>168</v>
      </c>
      <c r="CM356" s="30">
        <v>2565</v>
      </c>
      <c r="CN356" s="30">
        <v>208</v>
      </c>
      <c r="CO356" s="30">
        <v>1403</v>
      </c>
      <c r="CP356" s="30">
        <v>4176</v>
      </c>
      <c r="CQ356" s="1">
        <f t="shared" si="164"/>
        <v>0.25916961459690935</v>
      </c>
      <c r="CR356" s="47">
        <v>75891</v>
      </c>
      <c r="CS356" s="55">
        <f t="shared" si="157"/>
        <v>4.7099236641221376</v>
      </c>
      <c r="CT356" s="59">
        <v>12450</v>
      </c>
      <c r="CU356" s="29" t="s">
        <v>25</v>
      </c>
      <c r="CV356" s="29" t="s">
        <v>25</v>
      </c>
      <c r="CW356" s="29" t="s">
        <v>25</v>
      </c>
      <c r="CX356" s="35">
        <v>0</v>
      </c>
      <c r="CY356" s="49">
        <v>0</v>
      </c>
      <c r="CZ356" s="35">
        <v>1</v>
      </c>
      <c r="DA356" s="35">
        <v>3.5</v>
      </c>
      <c r="DB356" s="35">
        <v>4.5</v>
      </c>
      <c r="DC356" s="49">
        <f t="shared" si="158"/>
        <v>3580.6666666666665</v>
      </c>
      <c r="DD356" s="30">
        <v>485</v>
      </c>
      <c r="DE356" s="31">
        <v>46675</v>
      </c>
      <c r="DF356" s="35">
        <v>40</v>
      </c>
      <c r="DG356" s="29" t="s">
        <v>25</v>
      </c>
      <c r="DH356" s="29" t="s">
        <v>25</v>
      </c>
      <c r="DI356" s="29" t="s">
        <v>25</v>
      </c>
      <c r="DJ356" s="47">
        <v>208</v>
      </c>
      <c r="DK356" s="47">
        <v>22</v>
      </c>
      <c r="DL356" s="47">
        <v>32</v>
      </c>
      <c r="DM356" s="47">
        <v>23706</v>
      </c>
      <c r="DN356" s="47">
        <v>9500</v>
      </c>
      <c r="DO356" s="47">
        <v>3500</v>
      </c>
      <c r="DP356" s="29" t="s">
        <v>25</v>
      </c>
      <c r="DQ356" s="47">
        <v>9125</v>
      </c>
      <c r="DR356" s="47">
        <v>2485</v>
      </c>
      <c r="DS356" s="30">
        <v>52</v>
      </c>
      <c r="DT356" s="30">
        <v>49</v>
      </c>
      <c r="DU356" s="30">
        <v>49</v>
      </c>
      <c r="DV356" s="30">
        <v>49</v>
      </c>
      <c r="DX356" s="2">
        <f t="shared" si="159"/>
        <v>2485</v>
      </c>
      <c r="DY356" s="33" t="s">
        <v>2182</v>
      </c>
      <c r="DZ356" s="33" t="s">
        <v>948</v>
      </c>
      <c r="EA356" s="33" t="s">
        <v>2030</v>
      </c>
      <c r="EB356" s="33" t="s">
        <v>2027</v>
      </c>
      <c r="EC356" s="36">
        <v>273</v>
      </c>
      <c r="ED356" s="29" t="s">
        <v>945</v>
      </c>
      <c r="EE356" s="29" t="s">
        <v>946</v>
      </c>
      <c r="EF356" s="37">
        <v>41548</v>
      </c>
      <c r="EG356" s="37">
        <v>41912</v>
      </c>
      <c r="EH356" s="29" t="s">
        <v>945</v>
      </c>
      <c r="EI356" s="55">
        <f t="shared" si="160"/>
        <v>2.8753801278470799</v>
      </c>
      <c r="EJ356" s="54">
        <f t="shared" si="161"/>
        <v>3.5995779805126298E-2</v>
      </c>
      <c r="EK356" s="55">
        <f t="shared" si="162"/>
        <v>5.6203065847452365</v>
      </c>
      <c r="EL356" s="54">
        <f t="shared" si="163"/>
        <v>0.18748836343325265</v>
      </c>
    </row>
    <row r="357" spans="1:142" ht="28.8" x14ac:dyDescent="0.3">
      <c r="A357" s="29" t="s">
        <v>950</v>
      </c>
      <c r="B357" s="29"/>
      <c r="C357" s="30">
        <v>8431</v>
      </c>
      <c r="D357" s="30">
        <v>0</v>
      </c>
      <c r="E357" s="30">
        <v>0</v>
      </c>
      <c r="F357" s="30">
        <v>4252</v>
      </c>
      <c r="H357" s="2">
        <f t="shared" si="139"/>
        <v>4252</v>
      </c>
      <c r="I357" s="1">
        <f t="shared" si="138"/>
        <v>0.50432926106037246</v>
      </c>
      <c r="J357" s="31">
        <v>96406</v>
      </c>
      <c r="K357" s="31">
        <v>38264</v>
      </c>
      <c r="L357" s="31">
        <v>134670</v>
      </c>
      <c r="M357" s="45">
        <f t="shared" si="140"/>
        <v>15.973194164393311</v>
      </c>
      <c r="N357" s="31">
        <v>15385</v>
      </c>
      <c r="O357" s="31">
        <v>3770</v>
      </c>
      <c r="P357" s="31">
        <v>3612</v>
      </c>
      <c r="Q357" s="31">
        <v>22767</v>
      </c>
      <c r="R357" s="45">
        <f t="shared" si="141"/>
        <v>2.7003914126438144</v>
      </c>
      <c r="S357" s="31">
        <v>27991</v>
      </c>
      <c r="T357" s="31">
        <v>185428</v>
      </c>
      <c r="U357" s="31">
        <v>0</v>
      </c>
      <c r="V357" s="31">
        <v>185428</v>
      </c>
      <c r="W357" s="45">
        <f t="shared" si="142"/>
        <v>21.99359506582849</v>
      </c>
      <c r="X357" s="4">
        <f t="shared" si="143"/>
        <v>0.72626572038742798</v>
      </c>
      <c r="Y357" s="4">
        <f t="shared" si="144"/>
        <v>0.12278080980218738</v>
      </c>
      <c r="Z357" s="4">
        <f t="shared" si="145"/>
        <v>0.15095346981038463</v>
      </c>
      <c r="AA357" s="4">
        <f t="shared" si="146"/>
        <v>0</v>
      </c>
      <c r="AB357" s="31">
        <v>0</v>
      </c>
      <c r="AC357" s="31">
        <v>22767</v>
      </c>
      <c r="AD357" s="31">
        <v>185428</v>
      </c>
      <c r="AE357" s="31">
        <v>178250</v>
      </c>
      <c r="AF357" s="31">
        <v>10000</v>
      </c>
      <c r="AG357" s="31">
        <v>168250</v>
      </c>
      <c r="AH357" s="31">
        <v>0</v>
      </c>
      <c r="AI357" s="31">
        <v>178250</v>
      </c>
      <c r="AJ357" s="45">
        <f t="shared" si="147"/>
        <v>21.142213260585933</v>
      </c>
      <c r="AK357" s="31">
        <v>0</v>
      </c>
      <c r="AL357" s="31">
        <v>0</v>
      </c>
      <c r="AM357" s="31">
        <v>0</v>
      </c>
      <c r="AN357" s="31">
        <v>0</v>
      </c>
      <c r="AO357" s="31">
        <v>0</v>
      </c>
      <c r="AP357" s="31">
        <v>12829</v>
      </c>
      <c r="AQ357" s="31">
        <v>12829</v>
      </c>
      <c r="AR357" s="31">
        <v>191079</v>
      </c>
      <c r="AS357" s="46">
        <f t="shared" si="148"/>
        <v>22.663859565887794</v>
      </c>
      <c r="AT357" s="31">
        <v>0</v>
      </c>
      <c r="AU357" s="31">
        <v>0</v>
      </c>
      <c r="AV357" s="31">
        <v>0</v>
      </c>
      <c r="AW357" s="31">
        <v>0</v>
      </c>
      <c r="AX357" s="31">
        <v>0</v>
      </c>
      <c r="AY357" s="31">
        <v>0</v>
      </c>
      <c r="AZ357" s="31">
        <v>0</v>
      </c>
      <c r="BA357" s="31">
        <v>0</v>
      </c>
      <c r="BB357" s="31">
        <v>0</v>
      </c>
      <c r="BC357" s="33" t="s">
        <v>25</v>
      </c>
      <c r="BD357" s="47">
        <v>13180</v>
      </c>
      <c r="BE357" s="47">
        <v>13942</v>
      </c>
      <c r="BF357" s="45">
        <f t="shared" si="149"/>
        <v>1.6536591151702051</v>
      </c>
      <c r="BG357" s="30">
        <v>693</v>
      </c>
      <c r="BH357" s="30">
        <v>693</v>
      </c>
      <c r="BI357" s="30">
        <v>1654</v>
      </c>
      <c r="BJ357" s="30">
        <v>1543</v>
      </c>
      <c r="BK357" s="30">
        <v>1543</v>
      </c>
      <c r="BL357" s="30">
        <v>43</v>
      </c>
      <c r="BM357" s="30">
        <v>53515</v>
      </c>
      <c r="BN357" s="30">
        <v>0</v>
      </c>
      <c r="BO357" s="30">
        <v>51</v>
      </c>
      <c r="BP357" s="30">
        <v>0</v>
      </c>
      <c r="BQ357" s="30">
        <v>51</v>
      </c>
      <c r="BR357" s="47">
        <v>15416</v>
      </c>
      <c r="BS357" s="47">
        <v>71390</v>
      </c>
      <c r="BT357" s="1">
        <f t="shared" si="150"/>
        <v>8.4675601945202228</v>
      </c>
      <c r="BU357" s="30">
        <v>42</v>
      </c>
      <c r="BV357" s="30">
        <v>0</v>
      </c>
      <c r="BW357" s="47">
        <v>8824</v>
      </c>
      <c r="BX357" s="52">
        <f t="shared" si="151"/>
        <v>1.0466136875815444</v>
      </c>
      <c r="BY357" s="47">
        <v>12406</v>
      </c>
      <c r="BZ357" s="47">
        <v>0</v>
      </c>
      <c r="CA357" s="47">
        <v>31638</v>
      </c>
      <c r="CB357" s="47">
        <v>1909</v>
      </c>
      <c r="CC357" s="47">
        <v>45953</v>
      </c>
      <c r="CD357" s="55">
        <f t="shared" si="152"/>
        <v>5.4504803700628637</v>
      </c>
      <c r="CE357" s="3">
        <f t="shared" si="153"/>
        <v>13595.562130177515</v>
      </c>
      <c r="CF357" s="55">
        <f t="shared" si="154"/>
        <v>21.137534498620056</v>
      </c>
      <c r="CG357" s="55">
        <f t="shared" si="155"/>
        <v>0.88289655702428527</v>
      </c>
      <c r="CH357" s="55">
        <f t="shared" si="156"/>
        <v>0.61694915254237293</v>
      </c>
      <c r="CI357" s="30">
        <v>21</v>
      </c>
      <c r="CJ357" s="30">
        <v>13</v>
      </c>
      <c r="CK357" s="30">
        <v>23</v>
      </c>
      <c r="CL357" s="30">
        <v>57</v>
      </c>
      <c r="CM357" s="30">
        <v>1906</v>
      </c>
      <c r="CN357" s="30">
        <v>238</v>
      </c>
      <c r="CO357" s="30">
        <v>373</v>
      </c>
      <c r="CP357" s="30">
        <v>2517</v>
      </c>
      <c r="CQ357" s="1">
        <f t="shared" si="164"/>
        <v>0.29854109832760051</v>
      </c>
      <c r="CR357" s="47">
        <v>52048</v>
      </c>
      <c r="CS357" s="55">
        <f t="shared" si="157"/>
        <v>6.1734076621990273</v>
      </c>
      <c r="CT357" s="59">
        <v>7314</v>
      </c>
      <c r="CU357" s="29" t="s">
        <v>25</v>
      </c>
      <c r="CV357" s="29" t="s">
        <v>25</v>
      </c>
      <c r="CW357" s="29" t="s">
        <v>25</v>
      </c>
      <c r="CX357" s="35">
        <v>0</v>
      </c>
      <c r="CY357" s="49">
        <v>0</v>
      </c>
      <c r="CZ357" s="35">
        <v>1</v>
      </c>
      <c r="DA357" s="35">
        <v>2.38</v>
      </c>
      <c r="DB357" s="35">
        <v>3.38</v>
      </c>
      <c r="DC357" s="49">
        <f t="shared" si="158"/>
        <v>2494.3786982248521</v>
      </c>
      <c r="DD357" s="30">
        <v>186</v>
      </c>
      <c r="DE357" s="31">
        <v>38701</v>
      </c>
      <c r="DF357" s="35">
        <v>40</v>
      </c>
      <c r="DG357" s="29" t="s">
        <v>25</v>
      </c>
      <c r="DH357" s="29" t="s">
        <v>26</v>
      </c>
      <c r="DI357" s="29" t="s">
        <v>26</v>
      </c>
      <c r="DJ357" s="47">
        <v>0</v>
      </c>
      <c r="DK357" s="47">
        <v>0</v>
      </c>
      <c r="DL357" s="47">
        <v>11</v>
      </c>
      <c r="DM357" s="47">
        <v>7556</v>
      </c>
      <c r="DN357" s="47">
        <v>142</v>
      </c>
      <c r="DO357" s="47">
        <v>3784</v>
      </c>
      <c r="DP357" s="29" t="s">
        <v>2028</v>
      </c>
      <c r="DQ357" s="47">
        <v>0</v>
      </c>
      <c r="DR357" s="47">
        <v>2174</v>
      </c>
      <c r="DS357" s="30">
        <v>52</v>
      </c>
      <c r="DT357" s="30">
        <v>44</v>
      </c>
      <c r="DU357" s="30">
        <v>44</v>
      </c>
      <c r="DV357" s="30">
        <v>44</v>
      </c>
      <c r="DX357" s="2">
        <f t="shared" si="159"/>
        <v>2174</v>
      </c>
      <c r="DY357" s="33" t="s">
        <v>2182</v>
      </c>
      <c r="DZ357" s="33" t="s">
        <v>951</v>
      </c>
      <c r="EA357" s="33" t="s">
        <v>2031</v>
      </c>
      <c r="EB357" s="33" t="s">
        <v>2027</v>
      </c>
      <c r="EC357" s="36">
        <v>274</v>
      </c>
      <c r="ED357" s="29" t="s">
        <v>949</v>
      </c>
      <c r="EE357" s="29" t="s">
        <v>17</v>
      </c>
      <c r="EF357" s="37">
        <v>41640</v>
      </c>
      <c r="EG357" s="37">
        <v>42004</v>
      </c>
      <c r="EH357" s="29" t="s">
        <v>949</v>
      </c>
      <c r="EI357" s="55">
        <f t="shared" si="160"/>
        <v>1.4714743209583678</v>
      </c>
      <c r="EJ357" s="54">
        <f t="shared" si="161"/>
        <v>0</v>
      </c>
      <c r="EK357" s="55">
        <f t="shared" si="162"/>
        <v>3.7525797651524138</v>
      </c>
      <c r="EL357" s="54">
        <f t="shared" si="163"/>
        <v>0.22642628395208161</v>
      </c>
    </row>
    <row r="358" spans="1:142" ht="28.8" x14ac:dyDescent="0.3">
      <c r="A358" s="29" t="s">
        <v>952</v>
      </c>
      <c r="B358" s="29"/>
      <c r="C358" s="30">
        <v>3059</v>
      </c>
      <c r="D358" s="30">
        <v>0</v>
      </c>
      <c r="E358" s="30">
        <v>0</v>
      </c>
      <c r="F358" s="30">
        <v>5300</v>
      </c>
      <c r="H358" s="2">
        <f t="shared" si="139"/>
        <v>5300</v>
      </c>
      <c r="I358" s="1">
        <f t="shared" si="138"/>
        <v>1.7325923504413208</v>
      </c>
      <c r="J358" s="31">
        <v>16094</v>
      </c>
      <c r="K358" s="31">
        <v>1072</v>
      </c>
      <c r="L358" s="31">
        <v>17166</v>
      </c>
      <c r="M358" s="45">
        <f t="shared" si="140"/>
        <v>5.6116377901274923</v>
      </c>
      <c r="N358" s="31">
        <v>13118</v>
      </c>
      <c r="O358" s="31">
        <v>0</v>
      </c>
      <c r="P358" s="31">
        <v>321</v>
      </c>
      <c r="Q358" s="31">
        <v>13439</v>
      </c>
      <c r="R358" s="45">
        <f t="shared" si="141"/>
        <v>4.3932657731284737</v>
      </c>
      <c r="S358" s="31">
        <v>21554</v>
      </c>
      <c r="T358" s="31">
        <v>52159</v>
      </c>
      <c r="U358" s="31">
        <v>0</v>
      </c>
      <c r="V358" s="31">
        <v>52159</v>
      </c>
      <c r="W358" s="45">
        <f t="shared" si="142"/>
        <v>17.050997057862045</v>
      </c>
      <c r="X358" s="4">
        <f t="shared" si="143"/>
        <v>0.32910907034260628</v>
      </c>
      <c r="Y358" s="4">
        <f t="shared" si="144"/>
        <v>0.25765447957207771</v>
      </c>
      <c r="Z358" s="4">
        <f t="shared" si="145"/>
        <v>0.41323645008531606</v>
      </c>
      <c r="AA358" s="4">
        <f t="shared" si="146"/>
        <v>0</v>
      </c>
      <c r="AB358" s="31">
        <v>0</v>
      </c>
      <c r="AC358" s="31">
        <v>13439</v>
      </c>
      <c r="AD358" s="31">
        <v>52159</v>
      </c>
      <c r="AE358" s="31">
        <v>30000</v>
      </c>
      <c r="AF358" s="31">
        <v>18000</v>
      </c>
      <c r="AG358" s="31">
        <v>12000</v>
      </c>
      <c r="AH358" s="31">
        <v>0</v>
      </c>
      <c r="AI358" s="31">
        <v>30000</v>
      </c>
      <c r="AJ358" s="45">
        <f t="shared" si="147"/>
        <v>9.8071265119320046</v>
      </c>
      <c r="AK358" s="31">
        <v>0</v>
      </c>
      <c r="AL358" s="31">
        <v>0</v>
      </c>
      <c r="AM358" s="31">
        <v>0</v>
      </c>
      <c r="AN358" s="31">
        <v>0</v>
      </c>
      <c r="AO358" s="31">
        <v>2000</v>
      </c>
      <c r="AP358" s="31">
        <v>20159</v>
      </c>
      <c r="AQ358" s="31">
        <v>22159</v>
      </c>
      <c r="AR358" s="31">
        <v>52159</v>
      </c>
      <c r="AS358" s="46">
        <f t="shared" si="148"/>
        <v>17.050997057862045</v>
      </c>
      <c r="AT358" s="31">
        <v>0</v>
      </c>
      <c r="AU358" s="31">
        <v>0</v>
      </c>
      <c r="AV358" s="31">
        <v>0</v>
      </c>
      <c r="AW358" s="31">
        <v>0</v>
      </c>
      <c r="AX358" s="31">
        <v>0</v>
      </c>
      <c r="AY358" s="31">
        <v>0</v>
      </c>
      <c r="AZ358" s="31">
        <v>0</v>
      </c>
      <c r="BA358" s="31">
        <v>0</v>
      </c>
      <c r="BB358" s="31">
        <v>0</v>
      </c>
      <c r="BC358" s="33" t="s">
        <v>25</v>
      </c>
      <c r="BD358" s="47">
        <v>18183</v>
      </c>
      <c r="BE358" s="47">
        <v>18273</v>
      </c>
      <c r="BF358" s="45">
        <f t="shared" si="149"/>
        <v>5.9735207584177834</v>
      </c>
      <c r="BG358" s="30">
        <v>467</v>
      </c>
      <c r="BH358" s="30">
        <v>471</v>
      </c>
      <c r="BI358" s="30">
        <v>0</v>
      </c>
      <c r="BJ358" s="30">
        <v>1186</v>
      </c>
      <c r="BK358" s="30">
        <v>1194</v>
      </c>
      <c r="BL358" s="30">
        <v>0</v>
      </c>
      <c r="BM358" s="30">
        <v>0</v>
      </c>
      <c r="BN358" s="30">
        <v>0</v>
      </c>
      <c r="BO358" s="30">
        <v>51</v>
      </c>
      <c r="BP358" s="30">
        <v>0</v>
      </c>
      <c r="BQ358" s="30">
        <v>51</v>
      </c>
      <c r="BR358" s="47">
        <v>19836</v>
      </c>
      <c r="BS358" s="47">
        <v>19938</v>
      </c>
      <c r="BT358" s="1">
        <f t="shared" si="150"/>
        <v>6.5178162798300097</v>
      </c>
      <c r="BU358" s="30">
        <v>23</v>
      </c>
      <c r="BV358" s="30">
        <v>0</v>
      </c>
      <c r="BW358" s="47">
        <v>660</v>
      </c>
      <c r="BX358" s="52">
        <f t="shared" si="151"/>
        <v>0.21575678326250408</v>
      </c>
      <c r="BY358" s="47">
        <v>6002</v>
      </c>
      <c r="BZ358" s="47">
        <v>0</v>
      </c>
      <c r="CA358" s="47">
        <v>8336</v>
      </c>
      <c r="CB358" s="47">
        <v>0</v>
      </c>
      <c r="CC358" s="47">
        <v>14338</v>
      </c>
      <c r="CD358" s="55">
        <f t="shared" si="152"/>
        <v>4.6871526642693695</v>
      </c>
      <c r="CE358" s="3">
        <f t="shared" si="153"/>
        <v>23896.666666666668</v>
      </c>
      <c r="CF358" s="55">
        <f t="shared" si="154"/>
        <v>9.9638637943015986</v>
      </c>
      <c r="CG358" s="55">
        <f t="shared" si="155"/>
        <v>1.9657252536331231</v>
      </c>
      <c r="CH358" s="55">
        <f t="shared" si="156"/>
        <v>0.71912930083258098</v>
      </c>
      <c r="CI358" s="30">
        <v>39</v>
      </c>
      <c r="CJ358" s="30">
        <v>1</v>
      </c>
      <c r="CK358" s="30">
        <v>3</v>
      </c>
      <c r="CL358" s="30">
        <v>43</v>
      </c>
      <c r="CM358" s="30">
        <v>780</v>
      </c>
      <c r="CN358" s="30">
        <v>13</v>
      </c>
      <c r="CO358" s="30">
        <v>24</v>
      </c>
      <c r="CP358" s="30">
        <v>817</v>
      </c>
      <c r="CQ358" s="1">
        <f t="shared" si="164"/>
        <v>0.26708074534161491</v>
      </c>
      <c r="CR358" s="47">
        <v>7294</v>
      </c>
      <c r="CS358" s="55">
        <f t="shared" si="157"/>
        <v>2.3844393592677346</v>
      </c>
      <c r="CT358" s="59">
        <v>1971</v>
      </c>
      <c r="CU358" s="29" t="s">
        <v>25</v>
      </c>
      <c r="CV358" s="29" t="s">
        <v>25</v>
      </c>
      <c r="CW358" s="29" t="s">
        <v>25</v>
      </c>
      <c r="CX358" s="35">
        <v>0</v>
      </c>
      <c r="CY358" s="49">
        <v>0</v>
      </c>
      <c r="CZ358" s="35">
        <v>0.6</v>
      </c>
      <c r="DA358" s="35">
        <v>0</v>
      </c>
      <c r="DB358" s="35">
        <v>0.6</v>
      </c>
      <c r="DC358" s="49">
        <f t="shared" si="158"/>
        <v>5098.3333333333339</v>
      </c>
      <c r="DD358" s="30">
        <v>2205</v>
      </c>
      <c r="DE358" s="31">
        <v>14057</v>
      </c>
      <c r="DF358" s="35">
        <v>24</v>
      </c>
      <c r="DG358" s="29" t="s">
        <v>25</v>
      </c>
      <c r="DH358" s="29" t="s">
        <v>26</v>
      </c>
      <c r="DI358" s="29" t="s">
        <v>26</v>
      </c>
      <c r="DJ358" s="47">
        <v>70</v>
      </c>
      <c r="DK358" s="47">
        <v>0</v>
      </c>
      <c r="DL358" s="47">
        <v>7</v>
      </c>
      <c r="DM358" s="47">
        <v>3699</v>
      </c>
      <c r="DN358" s="47">
        <v>62</v>
      </c>
      <c r="DO358" s="47">
        <v>300</v>
      </c>
      <c r="DP358" s="29" t="s">
        <v>2028</v>
      </c>
      <c r="DQ358" s="47">
        <v>0</v>
      </c>
      <c r="DR358" s="47">
        <v>1439</v>
      </c>
      <c r="DS358" s="30">
        <v>52</v>
      </c>
      <c r="DT358" s="30">
        <v>29</v>
      </c>
      <c r="DU358" s="30">
        <v>29</v>
      </c>
      <c r="DV358" s="30">
        <v>29</v>
      </c>
      <c r="DX358" s="2">
        <f t="shared" si="159"/>
        <v>1439</v>
      </c>
      <c r="DY358" s="33" t="s">
        <v>2182</v>
      </c>
      <c r="DZ358" s="33" t="s">
        <v>954</v>
      </c>
      <c r="EA358" s="33" t="s">
        <v>2032</v>
      </c>
      <c r="EB358" s="33" t="s">
        <v>2027</v>
      </c>
      <c r="EC358" s="36">
        <v>275</v>
      </c>
      <c r="ED358" s="29" t="s">
        <v>953</v>
      </c>
      <c r="EE358" s="29" t="s">
        <v>555</v>
      </c>
      <c r="EF358" s="37">
        <v>41548</v>
      </c>
      <c r="EG358" s="37">
        <v>41912</v>
      </c>
      <c r="EH358" s="29" t="s">
        <v>953</v>
      </c>
      <c r="EI358" s="55">
        <f t="shared" si="160"/>
        <v>1.9620791108205295</v>
      </c>
      <c r="EJ358" s="54">
        <f t="shared" si="161"/>
        <v>0</v>
      </c>
      <c r="EK358" s="55">
        <f t="shared" si="162"/>
        <v>2.7250735534488393</v>
      </c>
      <c r="EL358" s="54">
        <f t="shared" si="163"/>
        <v>0</v>
      </c>
    </row>
    <row r="359" spans="1:142" ht="28.8" x14ac:dyDescent="0.3">
      <c r="A359" s="29" t="s">
        <v>955</v>
      </c>
      <c r="B359" s="29"/>
      <c r="C359" s="30">
        <v>5123</v>
      </c>
      <c r="D359" s="30">
        <v>0</v>
      </c>
      <c r="E359" s="30">
        <v>0</v>
      </c>
      <c r="F359" s="30">
        <v>7400</v>
      </c>
      <c r="H359" s="2">
        <f t="shared" si="139"/>
        <v>7400</v>
      </c>
      <c r="I359" s="1">
        <f t="shared" si="138"/>
        <v>1.4444661331251221</v>
      </c>
      <c r="J359" s="31">
        <v>89970</v>
      </c>
      <c r="K359" s="31">
        <v>37510</v>
      </c>
      <c r="L359" s="31">
        <v>127480</v>
      </c>
      <c r="M359" s="45">
        <f t="shared" si="140"/>
        <v>24.883857114971697</v>
      </c>
      <c r="N359" s="31">
        <v>20084</v>
      </c>
      <c r="O359" s="31">
        <v>800</v>
      </c>
      <c r="P359" s="31">
        <v>3035</v>
      </c>
      <c r="Q359" s="31">
        <v>23919</v>
      </c>
      <c r="R359" s="45">
        <f t="shared" si="141"/>
        <v>4.6689439781378095</v>
      </c>
      <c r="S359" s="31">
        <v>18250</v>
      </c>
      <c r="T359" s="31">
        <v>169649</v>
      </c>
      <c r="U359" s="31">
        <v>0</v>
      </c>
      <c r="V359" s="31">
        <v>169649</v>
      </c>
      <c r="W359" s="45">
        <f t="shared" si="142"/>
        <v>33.115166894397817</v>
      </c>
      <c r="X359" s="4">
        <f t="shared" si="143"/>
        <v>0.75143384281663905</v>
      </c>
      <c r="Y359" s="4">
        <f t="shared" si="144"/>
        <v>0.14099110516419194</v>
      </c>
      <c r="Z359" s="4">
        <f t="shared" si="145"/>
        <v>0.10757505201916899</v>
      </c>
      <c r="AA359" s="4">
        <f t="shared" si="146"/>
        <v>0</v>
      </c>
      <c r="AB359" s="31">
        <v>0</v>
      </c>
      <c r="AC359" s="31">
        <v>23919</v>
      </c>
      <c r="AD359" s="31">
        <v>169649</v>
      </c>
      <c r="AE359" s="31">
        <v>169649</v>
      </c>
      <c r="AF359" s="31">
        <v>169649</v>
      </c>
      <c r="AG359" s="31">
        <v>0</v>
      </c>
      <c r="AH359" s="31">
        <v>0</v>
      </c>
      <c r="AI359" s="31">
        <v>169649</v>
      </c>
      <c r="AJ359" s="45">
        <f t="shared" si="147"/>
        <v>33.115166894397817</v>
      </c>
      <c r="AK359" s="31">
        <v>0</v>
      </c>
      <c r="AL359" s="31">
        <v>0</v>
      </c>
      <c r="AM359" s="31">
        <v>0</v>
      </c>
      <c r="AN359" s="31">
        <v>0</v>
      </c>
      <c r="AO359" s="31">
        <v>0</v>
      </c>
      <c r="AP359" s="31">
        <v>0</v>
      </c>
      <c r="AQ359" s="31">
        <v>0</v>
      </c>
      <c r="AR359" s="31">
        <v>169649</v>
      </c>
      <c r="AS359" s="46">
        <f t="shared" si="148"/>
        <v>33.115166894397817</v>
      </c>
      <c r="AT359" s="31">
        <v>0</v>
      </c>
      <c r="AU359" s="31">
        <v>0</v>
      </c>
      <c r="AV359" s="31">
        <v>0</v>
      </c>
      <c r="AW359" s="31">
        <v>0</v>
      </c>
      <c r="AX359" s="31">
        <v>0</v>
      </c>
      <c r="AY359" s="31">
        <v>0</v>
      </c>
      <c r="AZ359" s="31">
        <v>0</v>
      </c>
      <c r="BA359" s="31">
        <v>0</v>
      </c>
      <c r="BB359" s="31">
        <v>0</v>
      </c>
      <c r="BC359" s="33" t="s">
        <v>25</v>
      </c>
      <c r="BD359" s="47">
        <v>12628</v>
      </c>
      <c r="BE359" s="47">
        <v>12802</v>
      </c>
      <c r="BF359" s="45">
        <f t="shared" si="149"/>
        <v>2.4989264103064612</v>
      </c>
      <c r="BG359" s="30">
        <v>515</v>
      </c>
      <c r="BH359" s="30">
        <v>517</v>
      </c>
      <c r="BI359" s="30">
        <v>324</v>
      </c>
      <c r="BJ359" s="30">
        <v>633</v>
      </c>
      <c r="BK359" s="30">
        <v>633</v>
      </c>
      <c r="BL359" s="30">
        <v>0</v>
      </c>
      <c r="BM359" s="30">
        <v>7745</v>
      </c>
      <c r="BN359" s="30">
        <v>0</v>
      </c>
      <c r="BO359" s="30">
        <v>51</v>
      </c>
      <c r="BP359" s="30">
        <v>0</v>
      </c>
      <c r="BQ359" s="30">
        <v>51</v>
      </c>
      <c r="BR359" s="47">
        <v>13776</v>
      </c>
      <c r="BS359" s="47">
        <v>22021</v>
      </c>
      <c r="BT359" s="1">
        <f t="shared" si="150"/>
        <v>4.2984579348038263</v>
      </c>
      <c r="BU359" s="30">
        <v>10</v>
      </c>
      <c r="BV359" s="30">
        <v>0</v>
      </c>
      <c r="BW359" s="47">
        <v>13279</v>
      </c>
      <c r="BX359" s="52">
        <f t="shared" si="151"/>
        <v>2.592035916455202</v>
      </c>
      <c r="BY359" s="47">
        <v>7342</v>
      </c>
      <c r="BZ359" s="47">
        <v>0</v>
      </c>
      <c r="CA359" s="47">
        <v>56462</v>
      </c>
      <c r="CB359" s="47">
        <v>1453</v>
      </c>
      <c r="CC359" s="47">
        <v>65257</v>
      </c>
      <c r="CD359" s="55">
        <f t="shared" si="152"/>
        <v>12.738044114776498</v>
      </c>
      <c r="CE359" s="3">
        <f t="shared" si="153"/>
        <v>21752.333333333332</v>
      </c>
      <c r="CF359" s="55">
        <f t="shared" si="154"/>
        <v>28.496506550218342</v>
      </c>
      <c r="CG359" s="55">
        <f t="shared" si="155"/>
        <v>2.4853182008607226</v>
      </c>
      <c r="CH359" s="55">
        <f t="shared" si="156"/>
        <v>2.8974161028109533</v>
      </c>
      <c r="CI359" s="30">
        <v>38</v>
      </c>
      <c r="CJ359" s="30">
        <v>25</v>
      </c>
      <c r="CK359" s="30">
        <v>1</v>
      </c>
      <c r="CL359" s="30">
        <v>64</v>
      </c>
      <c r="CM359" s="30">
        <v>463</v>
      </c>
      <c r="CN359" s="30">
        <v>67</v>
      </c>
      <c r="CO359" s="30">
        <v>34</v>
      </c>
      <c r="CP359" s="30">
        <v>564</v>
      </c>
      <c r="CQ359" s="1">
        <f t="shared" si="164"/>
        <v>0.11009174311926606</v>
      </c>
      <c r="CR359" s="47">
        <v>26257</v>
      </c>
      <c r="CS359" s="55">
        <f t="shared" si="157"/>
        <v>5.1253171969549092</v>
      </c>
      <c r="CT359" s="59">
        <v>2905</v>
      </c>
      <c r="CU359" s="29" t="s">
        <v>25</v>
      </c>
      <c r="CV359" s="29" t="s">
        <v>25</v>
      </c>
      <c r="CW359" s="29" t="s">
        <v>25</v>
      </c>
      <c r="CX359" s="35">
        <v>0</v>
      </c>
      <c r="CY359" s="49">
        <v>0</v>
      </c>
      <c r="CZ359" s="35">
        <v>1</v>
      </c>
      <c r="DA359" s="35">
        <v>2</v>
      </c>
      <c r="DB359" s="35">
        <v>3</v>
      </c>
      <c r="DC359" s="49">
        <f t="shared" si="158"/>
        <v>1707.6666666666667</v>
      </c>
      <c r="DD359" s="30">
        <v>207</v>
      </c>
      <c r="DE359" s="31">
        <v>37640</v>
      </c>
      <c r="DF359" s="35">
        <v>40</v>
      </c>
      <c r="DG359" s="29" t="s">
        <v>25</v>
      </c>
      <c r="DH359" s="29" t="s">
        <v>25</v>
      </c>
      <c r="DI359" s="29" t="s">
        <v>25</v>
      </c>
      <c r="DJ359" s="47">
        <v>23</v>
      </c>
      <c r="DK359" s="47">
        <v>19</v>
      </c>
      <c r="DL359" s="47">
        <v>7</v>
      </c>
      <c r="DM359" s="47">
        <v>427</v>
      </c>
      <c r="DN359" s="47">
        <v>38</v>
      </c>
      <c r="DO359" s="47">
        <v>378</v>
      </c>
      <c r="DP359" s="29" t="s">
        <v>2028</v>
      </c>
      <c r="DQ359" s="47">
        <v>0</v>
      </c>
      <c r="DR359" s="47">
        <v>2290</v>
      </c>
      <c r="DS359" s="30">
        <v>52</v>
      </c>
      <c r="DT359" s="30">
        <v>45</v>
      </c>
      <c r="DU359" s="30">
        <v>45</v>
      </c>
      <c r="DV359" s="30">
        <v>45</v>
      </c>
      <c r="DX359" s="2">
        <f t="shared" si="159"/>
        <v>2290</v>
      </c>
      <c r="DY359" s="33" t="s">
        <v>2178</v>
      </c>
      <c r="DZ359" s="33" t="s">
        <v>957</v>
      </c>
      <c r="EA359" s="33" t="s">
        <v>2030</v>
      </c>
      <c r="EB359" s="33" t="s">
        <v>2027</v>
      </c>
      <c r="EC359" s="36">
        <v>276</v>
      </c>
      <c r="ED359" s="29" t="s">
        <v>956</v>
      </c>
      <c r="EE359" s="29" t="s">
        <v>422</v>
      </c>
      <c r="EF359" s="37">
        <v>41548</v>
      </c>
      <c r="EG359" s="37">
        <v>41912</v>
      </c>
      <c r="EH359" s="29" t="s">
        <v>956</v>
      </c>
      <c r="EI359" s="55">
        <f t="shared" si="160"/>
        <v>1.4331446418114386</v>
      </c>
      <c r="EJ359" s="54">
        <f t="shared" si="161"/>
        <v>0</v>
      </c>
      <c r="EK359" s="55">
        <f t="shared" si="162"/>
        <v>11.021276595744681</v>
      </c>
      <c r="EL359" s="54">
        <f t="shared" si="163"/>
        <v>0.28362287722037871</v>
      </c>
    </row>
    <row r="360" spans="1:142" ht="28.8" x14ac:dyDescent="0.3">
      <c r="A360" s="29" t="s">
        <v>958</v>
      </c>
      <c r="B360" s="29"/>
      <c r="C360" s="30">
        <v>3767</v>
      </c>
      <c r="D360" s="30">
        <v>0</v>
      </c>
      <c r="E360" s="30">
        <v>0</v>
      </c>
      <c r="F360" s="30">
        <v>2500</v>
      </c>
      <c r="H360" s="2">
        <f t="shared" si="139"/>
        <v>2500</v>
      </c>
      <c r="I360" s="1">
        <f t="shared" si="138"/>
        <v>0.66365808335545529</v>
      </c>
      <c r="J360" s="31">
        <v>7400</v>
      </c>
      <c r="K360" s="31">
        <v>1132</v>
      </c>
      <c r="L360" s="31">
        <v>8532</v>
      </c>
      <c r="M360" s="45">
        <f t="shared" si="140"/>
        <v>2.2649323068754978</v>
      </c>
      <c r="N360" s="31">
        <v>2250</v>
      </c>
      <c r="O360" s="31">
        <v>0</v>
      </c>
      <c r="P360" s="31">
        <v>0</v>
      </c>
      <c r="Q360" s="31">
        <v>2250</v>
      </c>
      <c r="R360" s="45">
        <f t="shared" si="141"/>
        <v>0.59729227501990978</v>
      </c>
      <c r="S360" s="31">
        <v>6320</v>
      </c>
      <c r="T360" s="31">
        <v>17102</v>
      </c>
      <c r="U360" s="31">
        <v>0</v>
      </c>
      <c r="V360" s="31">
        <v>17102</v>
      </c>
      <c r="W360" s="45">
        <f t="shared" si="142"/>
        <v>4.5399522166179986</v>
      </c>
      <c r="X360" s="4">
        <f t="shared" si="143"/>
        <v>0.49888901882820724</v>
      </c>
      <c r="Y360" s="4">
        <f t="shared" si="144"/>
        <v>0.13156355981756521</v>
      </c>
      <c r="Z360" s="4">
        <f t="shared" si="145"/>
        <v>0.36954742135422758</v>
      </c>
      <c r="AA360" s="4">
        <f t="shared" si="146"/>
        <v>0</v>
      </c>
      <c r="AB360" s="31">
        <v>0</v>
      </c>
      <c r="AC360" s="31">
        <v>2250</v>
      </c>
      <c r="AD360" s="31">
        <v>17102</v>
      </c>
      <c r="AE360" s="31">
        <v>10800</v>
      </c>
      <c r="AF360" s="31">
        <v>3300</v>
      </c>
      <c r="AG360" s="31">
        <v>7500</v>
      </c>
      <c r="AH360" s="31">
        <v>0</v>
      </c>
      <c r="AI360" s="31">
        <v>10800</v>
      </c>
      <c r="AJ360" s="45">
        <f t="shared" si="147"/>
        <v>2.8670029200955667</v>
      </c>
      <c r="AK360" s="31">
        <v>0</v>
      </c>
      <c r="AL360" s="31">
        <v>0</v>
      </c>
      <c r="AM360" s="31">
        <v>0</v>
      </c>
      <c r="AN360" s="31">
        <v>0</v>
      </c>
      <c r="AO360" s="31">
        <v>0</v>
      </c>
      <c r="AP360" s="31">
        <v>1984</v>
      </c>
      <c r="AQ360" s="31">
        <v>1984</v>
      </c>
      <c r="AR360" s="31">
        <v>12784</v>
      </c>
      <c r="AS360" s="46">
        <f t="shared" si="148"/>
        <v>3.393681975046456</v>
      </c>
      <c r="AT360" s="31">
        <v>0</v>
      </c>
      <c r="AU360" s="31">
        <v>0</v>
      </c>
      <c r="AV360" s="31">
        <v>0</v>
      </c>
      <c r="AW360" s="31">
        <v>0</v>
      </c>
      <c r="AX360" s="31">
        <v>0</v>
      </c>
      <c r="AY360" s="31">
        <v>0</v>
      </c>
      <c r="AZ360" s="31">
        <v>0</v>
      </c>
      <c r="BA360" s="31">
        <v>0</v>
      </c>
      <c r="BB360" s="31">
        <v>0</v>
      </c>
      <c r="BC360" s="33" t="s">
        <v>25</v>
      </c>
      <c r="BD360" s="47">
        <v>8200</v>
      </c>
      <c r="BE360" s="47">
        <v>8388</v>
      </c>
      <c r="BF360" s="45">
        <f t="shared" si="149"/>
        <v>2.2267056012742237</v>
      </c>
      <c r="BG360" s="30">
        <v>0</v>
      </c>
      <c r="BH360" s="30">
        <v>0</v>
      </c>
      <c r="BI360" s="30">
        <v>0</v>
      </c>
      <c r="BJ360" s="30">
        <v>0</v>
      </c>
      <c r="BK360" s="30">
        <v>0</v>
      </c>
      <c r="BL360" s="30">
        <v>0</v>
      </c>
      <c r="BM360" s="30">
        <v>0</v>
      </c>
      <c r="BN360" s="30">
        <v>0</v>
      </c>
      <c r="BO360" s="30">
        <v>51</v>
      </c>
      <c r="BP360" s="30">
        <v>0</v>
      </c>
      <c r="BQ360" s="30">
        <v>51</v>
      </c>
      <c r="BR360" s="47">
        <v>8200</v>
      </c>
      <c r="BS360" s="47">
        <v>8388</v>
      </c>
      <c r="BT360" s="1">
        <f t="shared" si="150"/>
        <v>2.2267056012742237</v>
      </c>
      <c r="BU360" s="30">
        <v>5</v>
      </c>
      <c r="BV360" s="30">
        <v>0</v>
      </c>
      <c r="BW360" s="47">
        <v>50</v>
      </c>
      <c r="BX360" s="52">
        <f t="shared" si="151"/>
        <v>1.3273161667109106E-2</v>
      </c>
      <c r="BY360" s="47">
        <v>383</v>
      </c>
      <c r="BZ360" s="47">
        <v>0</v>
      </c>
      <c r="CA360" s="47">
        <v>1460</v>
      </c>
      <c r="CB360" s="47">
        <v>0</v>
      </c>
      <c r="CC360" s="47">
        <v>1843</v>
      </c>
      <c r="CD360" s="55">
        <f t="shared" si="152"/>
        <v>0.48924873904964161</v>
      </c>
      <c r="CE360" s="3">
        <f t="shared" si="153"/>
        <v>3686</v>
      </c>
      <c r="CF360" s="55">
        <f t="shared" si="154"/>
        <v>2.4218134034165573</v>
      </c>
      <c r="CG360" s="55">
        <f t="shared" si="155"/>
        <v>1.7485768500948766</v>
      </c>
      <c r="CH360" s="55">
        <f t="shared" si="156"/>
        <v>0.21971864568431093</v>
      </c>
      <c r="CI360" s="30">
        <v>4</v>
      </c>
      <c r="CJ360" s="30">
        <v>0</v>
      </c>
      <c r="CK360" s="30">
        <v>0</v>
      </c>
      <c r="CL360" s="30">
        <v>4</v>
      </c>
      <c r="CM360" s="30">
        <v>223</v>
      </c>
      <c r="CN360" s="30">
        <v>0</v>
      </c>
      <c r="CO360" s="30">
        <v>0</v>
      </c>
      <c r="CP360" s="30">
        <v>223</v>
      </c>
      <c r="CQ360" s="1">
        <f t="shared" si="164"/>
        <v>5.9198301035306607E-2</v>
      </c>
      <c r="CR360" s="47">
        <v>1054</v>
      </c>
      <c r="CS360" s="55">
        <f t="shared" si="157"/>
        <v>0.27979824794265995</v>
      </c>
      <c r="CT360" s="59">
        <v>247</v>
      </c>
      <c r="CU360" s="29" t="s">
        <v>25</v>
      </c>
      <c r="CV360" s="29" t="s">
        <v>25</v>
      </c>
      <c r="CW360" s="29" t="s">
        <v>25</v>
      </c>
      <c r="CX360" s="35">
        <v>0</v>
      </c>
      <c r="CY360" s="49">
        <v>0</v>
      </c>
      <c r="CZ360" s="35">
        <v>0.5</v>
      </c>
      <c r="DA360" s="35">
        <v>0</v>
      </c>
      <c r="DB360" s="35">
        <v>0.5</v>
      </c>
      <c r="DC360" s="49">
        <f t="shared" si="158"/>
        <v>7534</v>
      </c>
      <c r="DD360" s="30">
        <v>74</v>
      </c>
      <c r="DE360" s="31">
        <v>7400</v>
      </c>
      <c r="DF360" s="35">
        <v>20</v>
      </c>
      <c r="DG360" s="29" t="s">
        <v>25</v>
      </c>
      <c r="DH360" s="29" t="s">
        <v>26</v>
      </c>
      <c r="DI360" s="29" t="s">
        <v>26</v>
      </c>
      <c r="DJ360" s="47">
        <v>0</v>
      </c>
      <c r="DK360" s="47">
        <v>0</v>
      </c>
      <c r="DL360" s="47">
        <v>4</v>
      </c>
      <c r="DM360" s="47">
        <v>378</v>
      </c>
      <c r="DN360" s="47">
        <v>0</v>
      </c>
      <c r="DO360" s="47">
        <v>20</v>
      </c>
      <c r="DP360" s="29" t="s">
        <v>2028</v>
      </c>
      <c r="DQ360" s="47">
        <v>0</v>
      </c>
      <c r="DR360" s="47">
        <v>761</v>
      </c>
      <c r="DS360" s="30">
        <v>51</v>
      </c>
      <c r="DT360" s="30">
        <v>20</v>
      </c>
      <c r="DU360" s="30">
        <v>20</v>
      </c>
      <c r="DV360" s="30">
        <v>20</v>
      </c>
      <c r="DX360" s="2">
        <f t="shared" si="159"/>
        <v>761</v>
      </c>
      <c r="DY360" s="33" t="s">
        <v>2179</v>
      </c>
      <c r="DZ360" s="33" t="s">
        <v>960</v>
      </c>
      <c r="EA360" s="33" t="s">
        <v>2034</v>
      </c>
      <c r="EB360" s="33" t="s">
        <v>2027</v>
      </c>
      <c r="EC360" s="36">
        <v>277</v>
      </c>
      <c r="ED360" s="29" t="s">
        <v>959</v>
      </c>
      <c r="EE360" s="29" t="s">
        <v>793</v>
      </c>
      <c r="EF360" s="37">
        <v>41640</v>
      </c>
      <c r="EG360" s="37">
        <v>42004</v>
      </c>
      <c r="EH360" s="29" t="s">
        <v>959</v>
      </c>
      <c r="EI360" s="55">
        <f t="shared" si="160"/>
        <v>0.10167241837005575</v>
      </c>
      <c r="EJ360" s="54">
        <f t="shared" si="161"/>
        <v>0</v>
      </c>
      <c r="EK360" s="55">
        <f t="shared" si="162"/>
        <v>0.38757632067958586</v>
      </c>
      <c r="EL360" s="54">
        <f t="shared" si="163"/>
        <v>0</v>
      </c>
    </row>
    <row r="361" spans="1:142" ht="28.8" x14ac:dyDescent="0.3">
      <c r="A361" s="29" t="s">
        <v>961</v>
      </c>
      <c r="B361" s="29"/>
      <c r="C361" s="30">
        <v>33868</v>
      </c>
      <c r="D361" s="30">
        <v>0</v>
      </c>
      <c r="E361" s="30">
        <v>0</v>
      </c>
      <c r="F361" s="30">
        <v>18322</v>
      </c>
      <c r="H361" s="2">
        <f t="shared" si="139"/>
        <v>18322</v>
      </c>
      <c r="I361" s="1">
        <f t="shared" si="138"/>
        <v>0.54098263847880002</v>
      </c>
      <c r="J361" s="31">
        <v>243267</v>
      </c>
      <c r="K361" s="31">
        <v>81424</v>
      </c>
      <c r="L361" s="31">
        <v>324691</v>
      </c>
      <c r="M361" s="45">
        <f t="shared" si="140"/>
        <v>9.5869552379827567</v>
      </c>
      <c r="N361" s="31">
        <v>47769</v>
      </c>
      <c r="O361" s="31">
        <v>32417</v>
      </c>
      <c r="P361" s="31">
        <v>6291</v>
      </c>
      <c r="Q361" s="31">
        <v>86477</v>
      </c>
      <c r="R361" s="45">
        <f t="shared" si="141"/>
        <v>2.5533541986535964</v>
      </c>
      <c r="S361" s="31">
        <v>184908</v>
      </c>
      <c r="T361" s="31">
        <v>596076</v>
      </c>
      <c r="U361" s="31">
        <v>0</v>
      </c>
      <c r="V361" s="31">
        <v>596076</v>
      </c>
      <c r="W361" s="45">
        <f t="shared" si="142"/>
        <v>17.599976378882722</v>
      </c>
      <c r="X361" s="4">
        <f t="shared" si="143"/>
        <v>0.54471409686013195</v>
      </c>
      <c r="Y361" s="4">
        <f t="shared" si="144"/>
        <v>0.1450771378146411</v>
      </c>
      <c r="Z361" s="4">
        <f t="shared" si="145"/>
        <v>0.31020876532522701</v>
      </c>
      <c r="AA361" s="4">
        <f t="shared" si="146"/>
        <v>0</v>
      </c>
      <c r="AB361" s="31">
        <v>56375</v>
      </c>
      <c r="AC361" s="31">
        <v>86477</v>
      </c>
      <c r="AD361" s="31">
        <v>593341</v>
      </c>
      <c r="AE361" s="31">
        <v>459610</v>
      </c>
      <c r="AF361" s="31">
        <v>479410</v>
      </c>
      <c r="AG361" s="31">
        <v>0</v>
      </c>
      <c r="AH361" s="31">
        <v>0</v>
      </c>
      <c r="AI361" s="31">
        <v>479410</v>
      </c>
      <c r="AJ361" s="45">
        <f t="shared" si="147"/>
        <v>14.155249793315225</v>
      </c>
      <c r="AK361" s="31">
        <v>0</v>
      </c>
      <c r="AL361" s="31">
        <v>0</v>
      </c>
      <c r="AM361" s="31">
        <v>0</v>
      </c>
      <c r="AN361" s="31">
        <v>0</v>
      </c>
      <c r="AO361" s="31">
        <v>1110</v>
      </c>
      <c r="AP361" s="31">
        <v>21869</v>
      </c>
      <c r="AQ361" s="31">
        <v>22979</v>
      </c>
      <c r="AR361" s="31">
        <v>502389</v>
      </c>
      <c r="AS361" s="46">
        <f t="shared" si="148"/>
        <v>14.833736860753513</v>
      </c>
      <c r="AT361" s="31">
        <v>0</v>
      </c>
      <c r="AU361" s="31">
        <v>0</v>
      </c>
      <c r="AV361" s="31">
        <v>0</v>
      </c>
      <c r="AW361" s="31">
        <v>0</v>
      </c>
      <c r="AX361" s="31">
        <v>0</v>
      </c>
      <c r="AY361" s="31">
        <v>0</v>
      </c>
      <c r="AZ361" s="31">
        <v>0</v>
      </c>
      <c r="BA361" s="31">
        <v>0</v>
      </c>
      <c r="BB361" s="31">
        <v>0</v>
      </c>
      <c r="BC361" s="33" t="s">
        <v>25</v>
      </c>
      <c r="BD361" s="47">
        <v>86177</v>
      </c>
      <c r="BE361" s="47">
        <v>93442</v>
      </c>
      <c r="BF361" s="45">
        <f t="shared" si="149"/>
        <v>2.7590055509625606</v>
      </c>
      <c r="BG361" s="30">
        <v>3578</v>
      </c>
      <c r="BH361" s="30">
        <v>3880</v>
      </c>
      <c r="BI361" s="30">
        <v>14</v>
      </c>
      <c r="BJ361" s="30">
        <v>2568</v>
      </c>
      <c r="BK361" s="30">
        <v>2743</v>
      </c>
      <c r="BL361" s="30">
        <v>0</v>
      </c>
      <c r="BM361" s="30">
        <v>1550</v>
      </c>
      <c r="BN361" s="30">
        <v>2</v>
      </c>
      <c r="BO361" s="30">
        <v>51</v>
      </c>
      <c r="BP361" s="30">
        <v>2</v>
      </c>
      <c r="BQ361" s="30">
        <v>55</v>
      </c>
      <c r="BR361" s="47">
        <v>92323</v>
      </c>
      <c r="BS361" s="47">
        <v>101631</v>
      </c>
      <c r="BT361" s="1">
        <f t="shared" si="150"/>
        <v>3.0007972127081612</v>
      </c>
      <c r="BU361" s="30">
        <v>111</v>
      </c>
      <c r="BV361" s="30">
        <v>0</v>
      </c>
      <c r="BW361" s="47">
        <v>6760</v>
      </c>
      <c r="BX361" s="52">
        <f t="shared" si="151"/>
        <v>0.19959844100625959</v>
      </c>
      <c r="BY361" s="47">
        <v>50227</v>
      </c>
      <c r="BZ361" s="47">
        <v>1269</v>
      </c>
      <c r="CA361" s="47">
        <v>82254</v>
      </c>
      <c r="CB361" s="47">
        <v>5131</v>
      </c>
      <c r="CC361" s="47">
        <v>138881</v>
      </c>
      <c r="CD361" s="55">
        <f t="shared" si="152"/>
        <v>4.1006554860044879</v>
      </c>
      <c r="CE361" s="3">
        <f t="shared" si="153"/>
        <v>18517.466666666667</v>
      </c>
      <c r="CF361" s="55">
        <f t="shared" si="154"/>
        <v>50.210050614605926</v>
      </c>
      <c r="CG361" s="55">
        <f t="shared" si="155"/>
        <v>0.86205804945873477</v>
      </c>
      <c r="CH361" s="55">
        <f t="shared" si="156"/>
        <v>1.3035491139514519</v>
      </c>
      <c r="CI361" s="30">
        <v>203</v>
      </c>
      <c r="CJ361" s="30">
        <v>48</v>
      </c>
      <c r="CK361" s="30">
        <v>183</v>
      </c>
      <c r="CL361" s="30">
        <v>434</v>
      </c>
      <c r="CM361" s="30">
        <v>6472</v>
      </c>
      <c r="CN361" s="30">
        <v>553</v>
      </c>
      <c r="CO361" s="30">
        <v>1811</v>
      </c>
      <c r="CP361" s="30">
        <v>8836</v>
      </c>
      <c r="CQ361" s="1">
        <f t="shared" si="164"/>
        <v>0.26089524034486833</v>
      </c>
      <c r="CR361" s="47">
        <v>161104</v>
      </c>
      <c r="CS361" s="55">
        <f t="shared" si="157"/>
        <v>4.7568205976142668</v>
      </c>
      <c r="CT361" s="59">
        <v>36026</v>
      </c>
      <c r="CU361" s="29" t="s">
        <v>25</v>
      </c>
      <c r="CV361" s="29" t="s">
        <v>25</v>
      </c>
      <c r="CW361" s="29" t="s">
        <v>25</v>
      </c>
      <c r="CX361" s="35">
        <v>2</v>
      </c>
      <c r="CY361" s="49">
        <f>C361/CX361</f>
        <v>16934</v>
      </c>
      <c r="CZ361" s="35">
        <v>1</v>
      </c>
      <c r="DA361" s="35">
        <v>4.5</v>
      </c>
      <c r="DB361" s="35">
        <v>7.5</v>
      </c>
      <c r="DC361" s="49">
        <f t="shared" si="158"/>
        <v>4515.7333333333336</v>
      </c>
      <c r="DD361" s="30">
        <v>443</v>
      </c>
      <c r="DE361" s="31">
        <v>61918</v>
      </c>
      <c r="DF361" s="35">
        <v>40</v>
      </c>
      <c r="DG361" s="29" t="s">
        <v>25</v>
      </c>
      <c r="DH361" s="29" t="s">
        <v>25</v>
      </c>
      <c r="DI361" s="29" t="s">
        <v>25</v>
      </c>
      <c r="DJ361" s="47">
        <v>22</v>
      </c>
      <c r="DK361" s="47">
        <v>14</v>
      </c>
      <c r="DL361" s="47">
        <v>21</v>
      </c>
      <c r="DM361" s="47">
        <v>39406</v>
      </c>
      <c r="DN361" s="47">
        <v>193</v>
      </c>
      <c r="DO361" s="47">
        <v>0</v>
      </c>
      <c r="DP361" s="29" t="s">
        <v>2028</v>
      </c>
      <c r="DQ361" s="47">
        <v>0</v>
      </c>
      <c r="DR361" s="47">
        <v>2766</v>
      </c>
      <c r="DS361" s="30">
        <v>52</v>
      </c>
      <c r="DT361" s="30">
        <v>57</v>
      </c>
      <c r="DU361" s="30">
        <v>57</v>
      </c>
      <c r="DV361" s="30">
        <v>57</v>
      </c>
      <c r="DX361" s="2">
        <f t="shared" si="159"/>
        <v>2766</v>
      </c>
      <c r="DY361" s="33" t="s">
        <v>2185</v>
      </c>
      <c r="DZ361" s="33" t="s">
        <v>963</v>
      </c>
      <c r="EA361" s="33" t="s">
        <v>2030</v>
      </c>
      <c r="EB361" s="33" t="s">
        <v>2027</v>
      </c>
      <c r="EC361" s="36">
        <v>278</v>
      </c>
      <c r="ED361" s="29" t="s">
        <v>962</v>
      </c>
      <c r="EE361" s="29" t="s">
        <v>961</v>
      </c>
      <c r="EF361" s="37">
        <v>41548</v>
      </c>
      <c r="EG361" s="37">
        <v>41912</v>
      </c>
      <c r="EH361" s="29" t="s">
        <v>962</v>
      </c>
      <c r="EI361" s="55">
        <f t="shared" si="160"/>
        <v>1.4830223219558285</v>
      </c>
      <c r="EJ361" s="54">
        <f t="shared" si="161"/>
        <v>3.746899728357151E-2</v>
      </c>
      <c r="EK361" s="55">
        <f t="shared" si="162"/>
        <v>2.4286642258178812</v>
      </c>
      <c r="EL361" s="54">
        <f t="shared" si="163"/>
        <v>0.15149994094720681</v>
      </c>
    </row>
    <row r="362" spans="1:142" ht="28.8" x14ac:dyDescent="0.3">
      <c r="A362" s="29" t="s">
        <v>1698</v>
      </c>
      <c r="B362" s="29"/>
      <c r="C362" s="30">
        <v>1371</v>
      </c>
      <c r="D362" s="30">
        <v>0</v>
      </c>
      <c r="E362" s="30">
        <v>0</v>
      </c>
      <c r="F362" s="30">
        <v>1396</v>
      </c>
      <c r="H362" s="2">
        <f t="shared" si="139"/>
        <v>1396</v>
      </c>
      <c r="I362" s="1">
        <f t="shared" si="138"/>
        <v>1.0182348650619986</v>
      </c>
      <c r="J362" s="31">
        <v>9653</v>
      </c>
      <c r="K362" s="31">
        <v>1021</v>
      </c>
      <c r="L362" s="31">
        <v>10674</v>
      </c>
      <c r="M362" s="45">
        <f t="shared" si="140"/>
        <v>7.7855579868708968</v>
      </c>
      <c r="N362" s="31">
        <v>563</v>
      </c>
      <c r="O362" s="31">
        <v>0</v>
      </c>
      <c r="P362" s="31">
        <v>515</v>
      </c>
      <c r="Q362" s="31">
        <v>1078</v>
      </c>
      <c r="R362" s="45">
        <f t="shared" si="141"/>
        <v>0.78628738147337707</v>
      </c>
      <c r="S362" s="31">
        <v>8751</v>
      </c>
      <c r="T362" s="31">
        <v>20503</v>
      </c>
      <c r="U362" s="31">
        <v>0</v>
      </c>
      <c r="V362" s="31">
        <v>20503</v>
      </c>
      <c r="W362" s="45">
        <f t="shared" si="142"/>
        <v>14.954777534646244</v>
      </c>
      <c r="X362" s="4">
        <f t="shared" si="143"/>
        <v>0.52060674047700339</v>
      </c>
      <c r="Y362" s="4">
        <f t="shared" si="144"/>
        <v>5.2577671560259477E-2</v>
      </c>
      <c r="Z362" s="4">
        <f t="shared" si="145"/>
        <v>0.42681558796273716</v>
      </c>
      <c r="AA362" s="4">
        <f t="shared" si="146"/>
        <v>0</v>
      </c>
      <c r="AB362" s="31">
        <v>0</v>
      </c>
      <c r="AC362" s="31">
        <v>1078</v>
      </c>
      <c r="AD362" s="31">
        <v>20503</v>
      </c>
      <c r="AE362" s="31">
        <v>11101</v>
      </c>
      <c r="AF362" s="31">
        <v>11101</v>
      </c>
      <c r="AG362" s="31">
        <v>0</v>
      </c>
      <c r="AH362" s="31">
        <v>0</v>
      </c>
      <c r="AI362" s="31">
        <v>11101</v>
      </c>
      <c r="AJ362" s="45">
        <f t="shared" si="147"/>
        <v>8.0970094821298328</v>
      </c>
      <c r="AK362" s="31">
        <v>0</v>
      </c>
      <c r="AL362" s="31">
        <v>0</v>
      </c>
      <c r="AM362" s="31">
        <v>0</v>
      </c>
      <c r="AN362" s="31">
        <v>0</v>
      </c>
      <c r="AO362" s="31">
        <v>2500</v>
      </c>
      <c r="AP362" s="31">
        <v>7322</v>
      </c>
      <c r="AQ362" s="31">
        <v>9822</v>
      </c>
      <c r="AR362" s="31">
        <v>20923</v>
      </c>
      <c r="AS362" s="46">
        <f t="shared" si="148"/>
        <v>15.26112326768782</v>
      </c>
      <c r="AT362" s="31">
        <v>0</v>
      </c>
      <c r="AU362" s="31">
        <v>0</v>
      </c>
      <c r="AV362" s="31">
        <v>0</v>
      </c>
      <c r="AW362" s="31">
        <v>0</v>
      </c>
      <c r="AX362" s="31">
        <v>0</v>
      </c>
      <c r="AY362" s="31">
        <v>0</v>
      </c>
      <c r="AZ362" s="31">
        <v>0</v>
      </c>
      <c r="BA362" s="31">
        <v>0</v>
      </c>
      <c r="BB362" s="31">
        <v>0</v>
      </c>
      <c r="BC362" s="33" t="s">
        <v>25</v>
      </c>
      <c r="BD362" s="47">
        <v>11000</v>
      </c>
      <c r="BE362" s="47">
        <v>11588</v>
      </c>
      <c r="BF362" s="45">
        <f t="shared" si="149"/>
        <v>8.4522246535375647</v>
      </c>
      <c r="BG362" s="30">
        <v>0</v>
      </c>
      <c r="BH362" s="30">
        <v>0</v>
      </c>
      <c r="BI362" s="30">
        <v>0</v>
      </c>
      <c r="BJ362" s="30">
        <v>1438</v>
      </c>
      <c r="BK362" s="30">
        <v>1458</v>
      </c>
      <c r="BL362" s="30">
        <v>0</v>
      </c>
      <c r="BM362" s="30">
        <v>0</v>
      </c>
      <c r="BN362" s="30">
        <v>0</v>
      </c>
      <c r="BO362" s="30">
        <v>51</v>
      </c>
      <c r="BP362" s="30">
        <v>0</v>
      </c>
      <c r="BQ362" s="30">
        <v>51</v>
      </c>
      <c r="BR362" s="47">
        <v>12438</v>
      </c>
      <c r="BS362" s="47">
        <v>13046</v>
      </c>
      <c r="BT362" s="1">
        <f t="shared" si="150"/>
        <v>9.5156819839533195</v>
      </c>
      <c r="BU362" s="30">
        <v>15</v>
      </c>
      <c r="BV362" s="30">
        <v>0</v>
      </c>
      <c r="BW362" s="47">
        <v>2634</v>
      </c>
      <c r="BX362" s="52">
        <f t="shared" si="151"/>
        <v>1.9212253829321664</v>
      </c>
      <c r="BY362" s="47">
        <v>2498</v>
      </c>
      <c r="BZ362" s="47">
        <v>0</v>
      </c>
      <c r="CA362" s="47">
        <v>4119</v>
      </c>
      <c r="CB362" s="47">
        <v>0</v>
      </c>
      <c r="CC362" s="47">
        <v>6617</v>
      </c>
      <c r="CD362" s="55">
        <f t="shared" si="152"/>
        <v>4.8264040846097735</v>
      </c>
      <c r="CE362" s="3">
        <f t="shared" si="153"/>
        <v>5293.6</v>
      </c>
      <c r="CF362" s="55">
        <f t="shared" si="154"/>
        <v>5.3148594377510037</v>
      </c>
      <c r="CG362" s="55">
        <f t="shared" si="155"/>
        <v>1.5062599590257228</v>
      </c>
      <c r="CH362" s="55">
        <f t="shared" si="156"/>
        <v>0.50720527364709489</v>
      </c>
      <c r="CI362" s="30">
        <v>6</v>
      </c>
      <c r="CJ362" s="30">
        <v>0</v>
      </c>
      <c r="CK362" s="30">
        <v>0</v>
      </c>
      <c r="CL362" s="30">
        <v>6</v>
      </c>
      <c r="CM362" s="30">
        <v>92</v>
      </c>
      <c r="CN362" s="30">
        <v>0</v>
      </c>
      <c r="CO362" s="30">
        <v>0</v>
      </c>
      <c r="CP362" s="30">
        <v>92</v>
      </c>
      <c r="CQ362" s="1">
        <f t="shared" si="164"/>
        <v>6.7104303428154627E-2</v>
      </c>
      <c r="CR362" s="47">
        <v>4393</v>
      </c>
      <c r="CS362" s="55">
        <f t="shared" si="157"/>
        <v>3.2042304886943835</v>
      </c>
      <c r="CT362" s="59">
        <v>1541</v>
      </c>
      <c r="CU362" s="29" t="s">
        <v>25</v>
      </c>
      <c r="CV362" s="29" t="s">
        <v>25</v>
      </c>
      <c r="CW362" s="29" t="s">
        <v>25</v>
      </c>
      <c r="CX362" s="35">
        <v>0</v>
      </c>
      <c r="CY362" s="49">
        <v>0</v>
      </c>
      <c r="CZ362" s="35">
        <v>0.625</v>
      </c>
      <c r="DA362" s="35">
        <v>0.625</v>
      </c>
      <c r="DB362" s="35">
        <v>1.25</v>
      </c>
      <c r="DC362" s="49">
        <f t="shared" si="158"/>
        <v>1096.8</v>
      </c>
      <c r="DD362" s="30">
        <v>1637</v>
      </c>
      <c r="DE362" s="31">
        <v>5634</v>
      </c>
      <c r="DF362" s="35">
        <v>25</v>
      </c>
      <c r="DG362" s="29" t="s">
        <v>25</v>
      </c>
      <c r="DH362" s="29" t="s">
        <v>25</v>
      </c>
      <c r="DI362" s="29" t="s">
        <v>25</v>
      </c>
      <c r="DJ362" s="47">
        <v>10</v>
      </c>
      <c r="DK362" s="47">
        <v>15</v>
      </c>
      <c r="DL362" s="47">
        <v>6</v>
      </c>
      <c r="DM362" s="47">
        <v>1541</v>
      </c>
      <c r="DN362" s="47">
        <v>35</v>
      </c>
      <c r="DO362" s="47">
        <v>0</v>
      </c>
      <c r="DP362" s="29" t="s">
        <v>2028</v>
      </c>
      <c r="DQ362" s="47">
        <v>0</v>
      </c>
      <c r="DR362" s="47">
        <v>1245</v>
      </c>
      <c r="DS362" s="30">
        <v>51</v>
      </c>
      <c r="DT362" s="30">
        <v>25</v>
      </c>
      <c r="DU362" s="30">
        <v>25</v>
      </c>
      <c r="DV362" s="30">
        <v>25</v>
      </c>
      <c r="DX362" s="2">
        <f t="shared" si="159"/>
        <v>1245</v>
      </c>
      <c r="DY362" s="33" t="s">
        <v>2182</v>
      </c>
      <c r="DZ362" s="33" t="s">
        <v>1700</v>
      </c>
      <c r="EA362" s="33" t="s">
        <v>2032</v>
      </c>
      <c r="EB362" s="33" t="s">
        <v>2027</v>
      </c>
      <c r="EC362" s="36">
        <v>580</v>
      </c>
      <c r="ED362" s="29" t="s">
        <v>1699</v>
      </c>
      <c r="EE362" s="29" t="s">
        <v>5</v>
      </c>
      <c r="EF362" s="37">
        <v>41640</v>
      </c>
      <c r="EG362" s="37">
        <v>42004</v>
      </c>
      <c r="EH362" s="29" t="s">
        <v>1699</v>
      </c>
      <c r="EI362" s="55">
        <f t="shared" si="160"/>
        <v>1.8220277169948942</v>
      </c>
      <c r="EJ362" s="54">
        <f t="shared" si="161"/>
        <v>0</v>
      </c>
      <c r="EK362" s="55">
        <f t="shared" si="162"/>
        <v>3.0043763676148796</v>
      </c>
      <c r="EL362" s="54">
        <f t="shared" si="163"/>
        <v>0</v>
      </c>
    </row>
    <row r="363" spans="1:142" ht="28.8" x14ac:dyDescent="0.3">
      <c r="A363" s="29" t="s">
        <v>2061</v>
      </c>
      <c r="B363" s="29"/>
      <c r="C363" s="30">
        <v>1470</v>
      </c>
      <c r="D363" s="30">
        <v>0</v>
      </c>
      <c r="E363" s="30">
        <v>0</v>
      </c>
      <c r="F363" s="30">
        <v>1800</v>
      </c>
      <c r="H363" s="2">
        <f t="shared" si="139"/>
        <v>1800</v>
      </c>
      <c r="I363" s="1">
        <f t="shared" si="138"/>
        <v>1.2244897959183674</v>
      </c>
      <c r="J363" s="31">
        <v>10900</v>
      </c>
      <c r="K363" s="31">
        <v>864</v>
      </c>
      <c r="L363" s="31">
        <v>11764</v>
      </c>
      <c r="M363" s="45">
        <f t="shared" si="140"/>
        <v>8.0027210884353739</v>
      </c>
      <c r="N363" s="31">
        <v>450</v>
      </c>
      <c r="O363" s="31">
        <v>0</v>
      </c>
      <c r="P363" s="31">
        <v>0</v>
      </c>
      <c r="Q363" s="31">
        <v>450</v>
      </c>
      <c r="R363" s="45">
        <f t="shared" si="141"/>
        <v>0.30612244897959184</v>
      </c>
      <c r="S363" s="31">
        <v>7961</v>
      </c>
      <c r="T363" s="31">
        <v>20175</v>
      </c>
      <c r="U363" s="31">
        <v>0</v>
      </c>
      <c r="V363" s="31">
        <v>20175</v>
      </c>
      <c r="W363" s="45">
        <f t="shared" si="142"/>
        <v>13.724489795918368</v>
      </c>
      <c r="X363" s="4">
        <f t="shared" si="143"/>
        <v>0.58309789343246587</v>
      </c>
      <c r="Y363" s="4">
        <f t="shared" si="144"/>
        <v>2.2304832713754646E-2</v>
      </c>
      <c r="Z363" s="4">
        <f t="shared" si="145"/>
        <v>0.39459727385377941</v>
      </c>
      <c r="AA363" s="4">
        <f t="shared" si="146"/>
        <v>0</v>
      </c>
      <c r="AB363" s="31">
        <v>834</v>
      </c>
      <c r="AC363" s="31">
        <v>450</v>
      </c>
      <c r="AD363" s="31">
        <v>13319</v>
      </c>
      <c r="AE363" s="31">
        <v>13319</v>
      </c>
      <c r="AF363" s="31">
        <v>14500</v>
      </c>
      <c r="AG363" s="31">
        <v>0</v>
      </c>
      <c r="AH363" s="31">
        <v>0</v>
      </c>
      <c r="AI363" s="31">
        <v>14500</v>
      </c>
      <c r="AJ363" s="45">
        <f t="shared" si="147"/>
        <v>9.8639455782312933</v>
      </c>
      <c r="AK363" s="31">
        <v>0</v>
      </c>
      <c r="AL363" s="31">
        <v>0</v>
      </c>
      <c r="AM363" s="31">
        <v>0</v>
      </c>
      <c r="AN363" s="31">
        <v>0</v>
      </c>
      <c r="AO363" s="31">
        <v>2200</v>
      </c>
      <c r="AP363" s="31">
        <v>4034</v>
      </c>
      <c r="AQ363" s="31">
        <v>6234</v>
      </c>
      <c r="AR363" s="31">
        <v>20734</v>
      </c>
      <c r="AS363" s="46">
        <f t="shared" si="148"/>
        <v>14.104761904761904</v>
      </c>
      <c r="AT363" s="31">
        <v>0</v>
      </c>
      <c r="AU363" s="31">
        <v>0</v>
      </c>
      <c r="AV363" s="31">
        <v>0</v>
      </c>
      <c r="AW363" s="31">
        <v>0</v>
      </c>
      <c r="AX363" s="31">
        <v>0</v>
      </c>
      <c r="AY363" s="31">
        <v>0</v>
      </c>
      <c r="AZ363" s="31">
        <v>0</v>
      </c>
      <c r="BA363" s="31">
        <v>0</v>
      </c>
      <c r="BB363" s="31">
        <v>0</v>
      </c>
      <c r="BC363" s="33" t="s">
        <v>25</v>
      </c>
      <c r="BD363" s="47">
        <v>9493</v>
      </c>
      <c r="BE363" s="47">
        <v>9493</v>
      </c>
      <c r="BF363" s="45">
        <f t="shared" si="149"/>
        <v>6.4578231292517003</v>
      </c>
      <c r="BG363" s="30">
        <v>176</v>
      </c>
      <c r="BH363" s="30">
        <v>176</v>
      </c>
      <c r="BI363" s="30">
        <v>0</v>
      </c>
      <c r="BJ363" s="30">
        <v>330</v>
      </c>
      <c r="BK363" s="30">
        <v>330</v>
      </c>
      <c r="BL363" s="30">
        <v>0</v>
      </c>
      <c r="BM363" s="30">
        <v>35</v>
      </c>
      <c r="BN363" s="30">
        <v>0</v>
      </c>
      <c r="BO363" s="30">
        <v>0</v>
      </c>
      <c r="BP363" s="30">
        <v>1</v>
      </c>
      <c r="BQ363" s="30">
        <v>1</v>
      </c>
      <c r="BR363" s="47">
        <v>9999</v>
      </c>
      <c r="BS363" s="47">
        <v>10034</v>
      </c>
      <c r="BT363" s="1">
        <f t="shared" si="150"/>
        <v>6.8258503401360544</v>
      </c>
      <c r="BU363" s="30">
        <v>9</v>
      </c>
      <c r="BV363" s="30">
        <v>0</v>
      </c>
      <c r="BW363" s="47">
        <v>1080</v>
      </c>
      <c r="BX363" s="52">
        <f t="shared" si="151"/>
        <v>0.73469387755102045</v>
      </c>
      <c r="BY363" s="47">
        <v>5000</v>
      </c>
      <c r="BZ363" s="47">
        <v>0</v>
      </c>
      <c r="CA363" s="47">
        <v>0</v>
      </c>
      <c r="CB363" s="47">
        <v>0</v>
      </c>
      <c r="CC363" s="47">
        <v>5000</v>
      </c>
      <c r="CD363" s="55">
        <f t="shared" si="152"/>
        <v>3.4013605442176869</v>
      </c>
      <c r="CE363" s="3">
        <f t="shared" si="153"/>
        <v>8000</v>
      </c>
      <c r="CF363" s="55">
        <f t="shared" si="154"/>
        <v>3.8461538461538463</v>
      </c>
      <c r="CG363" s="55">
        <f t="shared" si="155"/>
        <v>1.6160310277957337</v>
      </c>
      <c r="CH363" s="55">
        <f t="shared" si="156"/>
        <v>0.4983057604145904</v>
      </c>
      <c r="CI363" s="30">
        <v>7</v>
      </c>
      <c r="CJ363" s="30">
        <v>1</v>
      </c>
      <c r="CK363" s="30">
        <v>3</v>
      </c>
      <c r="CL363" s="30">
        <v>11</v>
      </c>
      <c r="CM363" s="30">
        <v>360</v>
      </c>
      <c r="CN363" s="30">
        <v>2</v>
      </c>
      <c r="CO363" s="30">
        <v>78</v>
      </c>
      <c r="CP363" s="30">
        <v>440</v>
      </c>
      <c r="CQ363" s="1">
        <f t="shared" si="164"/>
        <v>0.29931972789115646</v>
      </c>
      <c r="CR363" s="47">
        <v>3094</v>
      </c>
      <c r="CS363" s="55">
        <f t="shared" si="157"/>
        <v>2.1047619047619048</v>
      </c>
      <c r="CT363" s="59">
        <v>546</v>
      </c>
      <c r="CU363" s="29" t="s">
        <v>25</v>
      </c>
      <c r="CV363" s="29" t="s">
        <v>25</v>
      </c>
      <c r="CW363" s="29" t="s">
        <v>25</v>
      </c>
      <c r="CX363" s="35">
        <v>0</v>
      </c>
      <c r="CY363" s="49">
        <v>0</v>
      </c>
      <c r="CZ363" s="35">
        <v>0.625</v>
      </c>
      <c r="DA363" s="35">
        <v>0</v>
      </c>
      <c r="DB363" s="35">
        <v>0.625</v>
      </c>
      <c r="DC363" s="49">
        <f t="shared" si="158"/>
        <v>2352</v>
      </c>
      <c r="DD363" s="30">
        <v>1000</v>
      </c>
      <c r="DE363" s="31">
        <v>10900</v>
      </c>
      <c r="DF363" s="35">
        <v>25</v>
      </c>
      <c r="DG363" s="29" t="s">
        <v>25</v>
      </c>
      <c r="DH363" s="29" t="s">
        <v>26</v>
      </c>
      <c r="DI363" s="29" t="s">
        <v>26</v>
      </c>
      <c r="DJ363" s="47">
        <v>0</v>
      </c>
      <c r="DK363" s="47">
        <v>0</v>
      </c>
      <c r="DL363" s="47">
        <v>3</v>
      </c>
      <c r="DM363" s="47">
        <v>1062</v>
      </c>
      <c r="DN363" s="47">
        <v>1</v>
      </c>
      <c r="DO363" s="47">
        <v>0</v>
      </c>
      <c r="DP363" s="29" t="s">
        <v>2028</v>
      </c>
      <c r="DQ363" s="47">
        <v>0</v>
      </c>
      <c r="DR363" s="47">
        <v>1300</v>
      </c>
      <c r="DS363" s="30">
        <v>52</v>
      </c>
      <c r="DT363" s="30">
        <v>25</v>
      </c>
      <c r="DU363" s="30">
        <v>25</v>
      </c>
      <c r="DV363" s="30">
        <v>25</v>
      </c>
      <c r="DX363" s="2">
        <f t="shared" si="159"/>
        <v>1300</v>
      </c>
      <c r="DY363" s="33" t="s">
        <v>2187</v>
      </c>
      <c r="DZ363" s="33" t="s">
        <v>28</v>
      </c>
      <c r="EA363" s="33" t="s">
        <v>2032</v>
      </c>
      <c r="EB363" s="33" t="s">
        <v>2027</v>
      </c>
      <c r="EC363" s="36">
        <v>651</v>
      </c>
      <c r="ED363" s="29" t="s">
        <v>2201</v>
      </c>
      <c r="EE363" s="29" t="s">
        <v>277</v>
      </c>
      <c r="EF363" s="37">
        <v>41548</v>
      </c>
      <c r="EG363" s="37">
        <v>41912</v>
      </c>
      <c r="EH363" s="29" t="s">
        <v>2201</v>
      </c>
      <c r="EI363" s="55">
        <f t="shared" si="160"/>
        <v>3.4013605442176869</v>
      </c>
      <c r="EJ363" s="54">
        <f t="shared" si="161"/>
        <v>0</v>
      </c>
      <c r="EK363" s="55">
        <f t="shared" si="162"/>
        <v>0</v>
      </c>
      <c r="EL363" s="54">
        <f t="shared" si="163"/>
        <v>0</v>
      </c>
    </row>
    <row r="364" spans="1:142" ht="28.8" x14ac:dyDescent="0.3">
      <c r="A364" s="29" t="s">
        <v>964</v>
      </c>
      <c r="B364" s="29"/>
      <c r="C364" s="30">
        <v>12561</v>
      </c>
      <c r="D364" s="30">
        <v>0</v>
      </c>
      <c r="E364" s="30">
        <v>0</v>
      </c>
      <c r="F364" s="30">
        <v>8300</v>
      </c>
      <c r="H364" s="2">
        <f t="shared" si="139"/>
        <v>8300</v>
      </c>
      <c r="I364" s="1">
        <f t="shared" si="138"/>
        <v>0.66077541597006606</v>
      </c>
      <c r="J364" s="31">
        <v>129250</v>
      </c>
      <c r="K364" s="31">
        <v>40826</v>
      </c>
      <c r="L364" s="31">
        <v>170076</v>
      </c>
      <c r="M364" s="45">
        <f t="shared" si="140"/>
        <v>13.540004776689754</v>
      </c>
      <c r="N364" s="31">
        <v>32195</v>
      </c>
      <c r="O364" s="31">
        <v>1805</v>
      </c>
      <c r="P364" s="31">
        <v>9105</v>
      </c>
      <c r="Q364" s="31">
        <v>43105</v>
      </c>
      <c r="R364" s="45">
        <f t="shared" si="141"/>
        <v>3.431653530769843</v>
      </c>
      <c r="S364" s="31">
        <v>46278</v>
      </c>
      <c r="T364" s="31">
        <v>259459</v>
      </c>
      <c r="U364" s="31">
        <v>0</v>
      </c>
      <c r="V364" s="31">
        <v>259459</v>
      </c>
      <c r="W364" s="45">
        <f t="shared" si="142"/>
        <v>20.655919114720167</v>
      </c>
      <c r="X364" s="4">
        <f t="shared" si="143"/>
        <v>0.65550241078551907</v>
      </c>
      <c r="Y364" s="4">
        <f t="shared" si="144"/>
        <v>0.16613414836255438</v>
      </c>
      <c r="Z364" s="4">
        <f t="shared" si="145"/>
        <v>0.17836344085192651</v>
      </c>
      <c r="AA364" s="4">
        <f t="shared" si="146"/>
        <v>0</v>
      </c>
      <c r="AB364" s="31">
        <v>0</v>
      </c>
      <c r="AC364" s="31">
        <v>43105</v>
      </c>
      <c r="AD364" s="31">
        <v>259459</v>
      </c>
      <c r="AE364" s="31">
        <v>259459</v>
      </c>
      <c r="AF364" s="31">
        <v>253259</v>
      </c>
      <c r="AG364" s="31">
        <v>12500</v>
      </c>
      <c r="AH364" s="31">
        <v>0</v>
      </c>
      <c r="AI364" s="31">
        <v>265759</v>
      </c>
      <c r="AJ364" s="45">
        <f t="shared" si="147"/>
        <v>21.157471538890217</v>
      </c>
      <c r="AK364" s="31">
        <v>0</v>
      </c>
      <c r="AL364" s="31">
        <v>0</v>
      </c>
      <c r="AM364" s="31">
        <v>0</v>
      </c>
      <c r="AN364" s="31">
        <v>0</v>
      </c>
      <c r="AO364" s="31">
        <v>49868</v>
      </c>
      <c r="AP364" s="31">
        <v>4800</v>
      </c>
      <c r="AQ364" s="31">
        <v>54668</v>
      </c>
      <c r="AR364" s="31">
        <v>320427</v>
      </c>
      <c r="AS364" s="46">
        <f t="shared" si="148"/>
        <v>25.50967279675185</v>
      </c>
      <c r="AT364" s="31">
        <v>0</v>
      </c>
      <c r="AU364" s="31">
        <v>0</v>
      </c>
      <c r="AV364" s="31">
        <v>0</v>
      </c>
      <c r="AW364" s="31">
        <v>0</v>
      </c>
      <c r="AX364" s="31">
        <v>0</v>
      </c>
      <c r="AY364" s="31">
        <v>0</v>
      </c>
      <c r="AZ364" s="31">
        <v>0</v>
      </c>
      <c r="BA364" s="31">
        <v>0</v>
      </c>
      <c r="BB364" s="31">
        <v>0</v>
      </c>
      <c r="BC364" s="33" t="s">
        <v>25</v>
      </c>
      <c r="BD364" s="47">
        <v>49758</v>
      </c>
      <c r="BE364" s="47">
        <v>53448</v>
      </c>
      <c r="BF364" s="45">
        <f t="shared" si="149"/>
        <v>4.2550752328636259</v>
      </c>
      <c r="BG364" s="30">
        <v>2876</v>
      </c>
      <c r="BH364" s="30">
        <v>3835</v>
      </c>
      <c r="BI364" s="30">
        <v>0</v>
      </c>
      <c r="BJ364" s="30">
        <v>2730</v>
      </c>
      <c r="BK364" s="30">
        <v>2915</v>
      </c>
      <c r="BL364" s="30">
        <v>0</v>
      </c>
      <c r="BM364" s="30">
        <v>0</v>
      </c>
      <c r="BN364" s="30">
        <v>8</v>
      </c>
      <c r="BO364" s="30">
        <v>51</v>
      </c>
      <c r="BP364" s="30">
        <v>5</v>
      </c>
      <c r="BQ364" s="30">
        <v>64</v>
      </c>
      <c r="BR364" s="47">
        <v>55364</v>
      </c>
      <c r="BS364" s="47">
        <v>60206</v>
      </c>
      <c r="BT364" s="1">
        <f t="shared" si="150"/>
        <v>4.7930897221558793</v>
      </c>
      <c r="BU364" s="30">
        <v>75</v>
      </c>
      <c r="BV364" s="30">
        <v>0</v>
      </c>
      <c r="BW364" s="47">
        <v>36779</v>
      </c>
      <c r="BX364" s="52">
        <f t="shared" si="151"/>
        <v>2.9280312077063928</v>
      </c>
      <c r="BY364" s="47">
        <v>40689</v>
      </c>
      <c r="BZ364" s="47">
        <v>0</v>
      </c>
      <c r="CA364" s="47">
        <v>58225</v>
      </c>
      <c r="CB364" s="47">
        <v>0</v>
      </c>
      <c r="CC364" s="47">
        <v>98914</v>
      </c>
      <c r="CD364" s="55">
        <f t="shared" si="152"/>
        <v>7.874691505453387</v>
      </c>
      <c r="CE364" s="3">
        <f t="shared" si="153"/>
        <v>16349.421487603306</v>
      </c>
      <c r="CF364" s="55">
        <f t="shared" si="154"/>
        <v>47.923449612403104</v>
      </c>
      <c r="CG364" s="55">
        <f t="shared" si="155"/>
        <v>0.96646669141930319</v>
      </c>
      <c r="CH364" s="55">
        <f t="shared" si="156"/>
        <v>1.6429259542238315</v>
      </c>
      <c r="CI364" s="30">
        <v>145</v>
      </c>
      <c r="CJ364" s="30">
        <v>56</v>
      </c>
      <c r="CK364" s="30">
        <v>24</v>
      </c>
      <c r="CL364" s="30">
        <v>225</v>
      </c>
      <c r="CM364" s="30">
        <v>2865</v>
      </c>
      <c r="CN364" s="30">
        <v>323</v>
      </c>
      <c r="CO364" s="30">
        <v>162</v>
      </c>
      <c r="CP364" s="30">
        <v>3350</v>
      </c>
      <c r="CQ364" s="1">
        <f t="shared" si="164"/>
        <v>0.26669851126502669</v>
      </c>
      <c r="CR364" s="47">
        <v>102346</v>
      </c>
      <c r="CS364" s="55">
        <f t="shared" si="157"/>
        <v>8.1479181593822148</v>
      </c>
      <c r="CT364" s="59">
        <v>12534</v>
      </c>
      <c r="CU364" s="29" t="s">
        <v>25</v>
      </c>
      <c r="CV364" s="29" t="s">
        <v>25</v>
      </c>
      <c r="CW364" s="29" t="s">
        <v>25</v>
      </c>
      <c r="CX364" s="35">
        <v>0</v>
      </c>
      <c r="CY364" s="49">
        <v>0</v>
      </c>
      <c r="CZ364" s="35">
        <v>3</v>
      </c>
      <c r="DA364" s="35">
        <v>3.05</v>
      </c>
      <c r="DB364" s="35">
        <v>6.05</v>
      </c>
      <c r="DC364" s="49">
        <f t="shared" si="158"/>
        <v>2076.1983471074382</v>
      </c>
      <c r="DD364" s="30">
        <v>350</v>
      </c>
      <c r="DE364" s="31">
        <v>48500</v>
      </c>
      <c r="DF364" s="35">
        <v>40</v>
      </c>
      <c r="DG364" s="29" t="s">
        <v>25</v>
      </c>
      <c r="DH364" s="29" t="s">
        <v>26</v>
      </c>
      <c r="DI364" s="29" t="s">
        <v>26</v>
      </c>
      <c r="DJ364" s="47">
        <v>5</v>
      </c>
      <c r="DK364" s="47">
        <v>4</v>
      </c>
      <c r="DL364" s="47">
        <v>12</v>
      </c>
      <c r="DM364" s="47">
        <v>7556</v>
      </c>
      <c r="DN364" s="47">
        <v>6</v>
      </c>
      <c r="DO364" s="47">
        <v>1598</v>
      </c>
      <c r="DP364" s="29" t="s">
        <v>2028</v>
      </c>
      <c r="DQ364" s="47">
        <v>0</v>
      </c>
      <c r="DR364" s="47">
        <v>2064</v>
      </c>
      <c r="DS364" s="30">
        <v>52</v>
      </c>
      <c r="DT364" s="30">
        <v>43</v>
      </c>
      <c r="DU364" s="30">
        <v>43</v>
      </c>
      <c r="DV364" s="30">
        <v>43</v>
      </c>
      <c r="DX364" s="2">
        <f t="shared" si="159"/>
        <v>2064</v>
      </c>
      <c r="DY364" s="33" t="s">
        <v>2186</v>
      </c>
      <c r="DZ364" s="33" t="s">
        <v>967</v>
      </c>
      <c r="EA364" s="33" t="s">
        <v>2030</v>
      </c>
      <c r="EB364" s="33" t="s">
        <v>2027</v>
      </c>
      <c r="EC364" s="36">
        <v>279</v>
      </c>
      <c r="ED364" s="29" t="s">
        <v>965</v>
      </c>
      <c r="EE364" s="29" t="s">
        <v>966</v>
      </c>
      <c r="EF364" s="37">
        <v>41548</v>
      </c>
      <c r="EG364" s="37">
        <v>41912</v>
      </c>
      <c r="EH364" s="29" t="s">
        <v>965</v>
      </c>
      <c r="EI364" s="55">
        <f t="shared" si="160"/>
        <v>3.2393121566754237</v>
      </c>
      <c r="EJ364" s="54">
        <f t="shared" si="161"/>
        <v>0</v>
      </c>
      <c r="EK364" s="55">
        <f t="shared" si="162"/>
        <v>4.6353793487779633</v>
      </c>
      <c r="EL364" s="54">
        <f t="shared" si="163"/>
        <v>0</v>
      </c>
    </row>
    <row r="365" spans="1:142" ht="43.2" x14ac:dyDescent="0.3">
      <c r="A365" s="29" t="s">
        <v>968</v>
      </c>
      <c r="B365" s="29"/>
      <c r="C365" s="30">
        <v>17563</v>
      </c>
      <c r="D365" s="30">
        <v>0</v>
      </c>
      <c r="E365" s="30">
        <v>0</v>
      </c>
      <c r="F365" s="30">
        <v>16000</v>
      </c>
      <c r="H365" s="2">
        <f t="shared" si="139"/>
        <v>16000</v>
      </c>
      <c r="I365" s="1">
        <f t="shared" si="138"/>
        <v>0.91100609235324259</v>
      </c>
      <c r="J365" s="31">
        <v>221251</v>
      </c>
      <c r="K365" s="31">
        <v>70347</v>
      </c>
      <c r="L365" s="31">
        <v>291598</v>
      </c>
      <c r="M365" s="45">
        <f t="shared" si="140"/>
        <v>16.602972157376303</v>
      </c>
      <c r="N365" s="31">
        <v>43650</v>
      </c>
      <c r="O365" s="31">
        <v>7147</v>
      </c>
      <c r="P365" s="31">
        <v>13264</v>
      </c>
      <c r="Q365" s="31">
        <v>64061</v>
      </c>
      <c r="R365" s="45">
        <f t="shared" si="141"/>
        <v>3.6474975801400671</v>
      </c>
      <c r="S365" s="31">
        <v>139741</v>
      </c>
      <c r="T365" s="31">
        <v>495400</v>
      </c>
      <c r="U365" s="31">
        <v>0</v>
      </c>
      <c r="V365" s="31">
        <v>495400</v>
      </c>
      <c r="W365" s="45">
        <f t="shared" si="142"/>
        <v>28.207026134487275</v>
      </c>
      <c r="X365" s="4">
        <f t="shared" si="143"/>
        <v>0.58861122325393622</v>
      </c>
      <c r="Y365" s="4">
        <f t="shared" si="144"/>
        <v>0.12931166733952362</v>
      </c>
      <c r="Z365" s="4">
        <f t="shared" si="145"/>
        <v>0.28207710940654018</v>
      </c>
      <c r="AA365" s="4">
        <f t="shared" si="146"/>
        <v>0</v>
      </c>
      <c r="AB365" s="31">
        <v>27370</v>
      </c>
      <c r="AC365" s="31">
        <v>35187</v>
      </c>
      <c r="AD365" s="31">
        <v>444512</v>
      </c>
      <c r="AE365" s="31">
        <v>441443</v>
      </c>
      <c r="AF365" s="31">
        <v>441443</v>
      </c>
      <c r="AG365" s="31">
        <v>0</v>
      </c>
      <c r="AH365" s="31">
        <v>0</v>
      </c>
      <c r="AI365" s="31">
        <v>441443</v>
      </c>
      <c r="AJ365" s="45">
        <f t="shared" si="147"/>
        <v>25.134828901668278</v>
      </c>
      <c r="AK365" s="31">
        <v>0</v>
      </c>
      <c r="AL365" s="31">
        <v>0</v>
      </c>
      <c r="AM365" s="31">
        <v>0</v>
      </c>
      <c r="AN365" s="31">
        <v>0</v>
      </c>
      <c r="AO365" s="31">
        <v>37630</v>
      </c>
      <c r="AP365" s="31">
        <v>9567</v>
      </c>
      <c r="AQ365" s="31">
        <v>47197</v>
      </c>
      <c r="AR365" s="31">
        <v>488640</v>
      </c>
      <c r="AS365" s="46">
        <f t="shared" si="148"/>
        <v>27.82212606046803</v>
      </c>
      <c r="AT365" s="31">
        <v>17000</v>
      </c>
      <c r="AU365" s="31">
        <v>0</v>
      </c>
      <c r="AV365" s="31">
        <v>0</v>
      </c>
      <c r="AW365" s="31">
        <v>0</v>
      </c>
      <c r="AX365" s="31">
        <v>0</v>
      </c>
      <c r="AY365" s="31">
        <v>0</v>
      </c>
      <c r="AZ365" s="31">
        <v>10370</v>
      </c>
      <c r="BA365" s="31">
        <v>0</v>
      </c>
      <c r="BB365" s="31">
        <v>27370</v>
      </c>
      <c r="BC365" s="33" t="s">
        <v>25</v>
      </c>
      <c r="BD365" s="47">
        <v>64270</v>
      </c>
      <c r="BE365" s="47">
        <v>69141</v>
      </c>
      <c r="BF365" s="45">
        <f t="shared" si="149"/>
        <v>3.9367420144622218</v>
      </c>
      <c r="BG365" s="30">
        <v>4379</v>
      </c>
      <c r="BH365" s="30">
        <v>4439</v>
      </c>
      <c r="BI365" s="30">
        <v>11978</v>
      </c>
      <c r="BJ365" s="30">
        <v>6307</v>
      </c>
      <c r="BK365" s="30">
        <v>6728</v>
      </c>
      <c r="BL365" s="30">
        <v>322</v>
      </c>
      <c r="BM365" s="30">
        <v>30938</v>
      </c>
      <c r="BN365" s="30">
        <v>5</v>
      </c>
      <c r="BO365" s="30">
        <v>51</v>
      </c>
      <c r="BP365" s="30">
        <v>0</v>
      </c>
      <c r="BQ365" s="30">
        <v>56</v>
      </c>
      <c r="BR365" s="47">
        <v>74956</v>
      </c>
      <c r="BS365" s="47">
        <v>123551</v>
      </c>
      <c r="BT365" s="1">
        <f t="shared" si="150"/>
        <v>7.0347321072709672</v>
      </c>
      <c r="BU365" s="30">
        <v>65</v>
      </c>
      <c r="BV365" s="30">
        <v>0</v>
      </c>
      <c r="BW365" s="47">
        <v>5353</v>
      </c>
      <c r="BX365" s="52">
        <f t="shared" si="151"/>
        <v>0.30478847577293172</v>
      </c>
      <c r="BY365" s="47">
        <v>32232</v>
      </c>
      <c r="BZ365" s="47">
        <v>322</v>
      </c>
      <c r="CA365" s="47">
        <v>58067</v>
      </c>
      <c r="CB365" s="47">
        <v>5828</v>
      </c>
      <c r="CC365" s="47">
        <v>96449</v>
      </c>
      <c r="CD365" s="55">
        <f t="shared" si="152"/>
        <v>5.4916016625861186</v>
      </c>
      <c r="CE365" s="3">
        <f t="shared" si="153"/>
        <v>14838.307692307691</v>
      </c>
      <c r="CF365" s="55">
        <f t="shared" si="154"/>
        <v>44.901769087523277</v>
      </c>
      <c r="CG365" s="55">
        <f t="shared" si="155"/>
        <v>1.4142704224526006</v>
      </c>
      <c r="CH365" s="55">
        <f t="shared" si="156"/>
        <v>0.73086417754611455</v>
      </c>
      <c r="CI365" s="30">
        <v>109</v>
      </c>
      <c r="CJ365" s="30">
        <v>88</v>
      </c>
      <c r="CK365" s="30">
        <v>86</v>
      </c>
      <c r="CL365" s="30">
        <v>283</v>
      </c>
      <c r="CM365" s="30">
        <v>3080</v>
      </c>
      <c r="CN365" s="30">
        <v>540</v>
      </c>
      <c r="CO365" s="30">
        <v>206</v>
      </c>
      <c r="CP365" s="30">
        <v>3826</v>
      </c>
      <c r="CQ365" s="1">
        <f t="shared" si="164"/>
        <v>0.21784433183396915</v>
      </c>
      <c r="CR365" s="47">
        <v>68197</v>
      </c>
      <c r="CS365" s="55">
        <f t="shared" si="157"/>
        <v>3.8829926550133802</v>
      </c>
      <c r="CT365" s="59">
        <v>4806</v>
      </c>
      <c r="CU365" s="29" t="s">
        <v>25</v>
      </c>
      <c r="CV365" s="29" t="s">
        <v>25</v>
      </c>
      <c r="CW365" s="29" t="s">
        <v>25</v>
      </c>
      <c r="CX365" s="35">
        <v>1</v>
      </c>
      <c r="CY365" s="49">
        <f>C365/CX365</f>
        <v>17563</v>
      </c>
      <c r="CZ365" s="35">
        <v>0</v>
      </c>
      <c r="DA365" s="35">
        <v>5.5</v>
      </c>
      <c r="DB365" s="35">
        <v>6.5</v>
      </c>
      <c r="DC365" s="49">
        <f t="shared" si="158"/>
        <v>2702</v>
      </c>
      <c r="DD365" s="30">
        <v>345</v>
      </c>
      <c r="DE365" s="31">
        <v>68944</v>
      </c>
      <c r="DF365" s="35">
        <v>40</v>
      </c>
      <c r="DG365" s="29" t="s">
        <v>25</v>
      </c>
      <c r="DH365" s="29" t="s">
        <v>25</v>
      </c>
      <c r="DI365" s="29" t="s">
        <v>25</v>
      </c>
      <c r="DJ365" s="47">
        <v>557</v>
      </c>
      <c r="DK365" s="47">
        <v>250</v>
      </c>
      <c r="DL365" s="47">
        <v>11</v>
      </c>
      <c r="DM365" s="47">
        <v>9918</v>
      </c>
      <c r="DN365" s="47">
        <v>116</v>
      </c>
      <c r="DO365" s="47">
        <v>0</v>
      </c>
      <c r="DP365" s="29" t="s">
        <v>25</v>
      </c>
      <c r="DQ365" s="47">
        <v>116760</v>
      </c>
      <c r="DR365" s="47">
        <v>2148</v>
      </c>
      <c r="DS365" s="30">
        <v>52</v>
      </c>
      <c r="DT365" s="30">
        <v>44</v>
      </c>
      <c r="DU365" s="30">
        <v>44</v>
      </c>
      <c r="DV365" s="30">
        <v>44</v>
      </c>
      <c r="DX365" s="2">
        <f t="shared" si="159"/>
        <v>2148</v>
      </c>
      <c r="DY365" s="33" t="s">
        <v>2185</v>
      </c>
      <c r="DZ365" s="33" t="s">
        <v>970</v>
      </c>
      <c r="EA365" s="33" t="s">
        <v>2030</v>
      </c>
      <c r="EB365" s="33" t="s">
        <v>2027</v>
      </c>
      <c r="EC365" s="36">
        <v>280</v>
      </c>
      <c r="ED365" s="29" t="s">
        <v>969</v>
      </c>
      <c r="EE365" s="29" t="s">
        <v>144</v>
      </c>
      <c r="EF365" s="37">
        <v>41548</v>
      </c>
      <c r="EG365" s="37">
        <v>41912</v>
      </c>
      <c r="EH365" s="29" t="s">
        <v>969</v>
      </c>
      <c r="EI365" s="55">
        <f t="shared" si="160"/>
        <v>1.8352217730456073</v>
      </c>
      <c r="EJ365" s="54">
        <f t="shared" si="161"/>
        <v>1.8333997608609008E-2</v>
      </c>
      <c r="EK365" s="55">
        <f t="shared" si="162"/>
        <v>3.3062119227922335</v>
      </c>
      <c r="EL365" s="54">
        <f t="shared" si="163"/>
        <v>0.33183396913966862</v>
      </c>
    </row>
    <row r="366" spans="1:142" ht="28.8" x14ac:dyDescent="0.3">
      <c r="A366" s="29" t="s">
        <v>1563</v>
      </c>
      <c r="B366" s="29"/>
      <c r="C366" s="30">
        <v>1801</v>
      </c>
      <c r="D366" s="30">
        <v>0</v>
      </c>
      <c r="E366" s="30">
        <v>0</v>
      </c>
      <c r="F366" s="30">
        <v>3600</v>
      </c>
      <c r="H366" s="2">
        <f t="shared" si="139"/>
        <v>3600</v>
      </c>
      <c r="I366" s="1">
        <f t="shared" si="138"/>
        <v>1.9988895058300944</v>
      </c>
      <c r="J366" s="31">
        <v>19914</v>
      </c>
      <c r="K366" s="31">
        <v>0</v>
      </c>
      <c r="L366" s="31">
        <v>19914</v>
      </c>
      <c r="M366" s="45">
        <f t="shared" si="140"/>
        <v>11.05719044975014</v>
      </c>
      <c r="N366" s="31">
        <v>1508</v>
      </c>
      <c r="O366" s="31">
        <v>0</v>
      </c>
      <c r="P366" s="31">
        <v>100</v>
      </c>
      <c r="Q366" s="31">
        <v>1608</v>
      </c>
      <c r="R366" s="45">
        <f t="shared" si="141"/>
        <v>0.89283731260410881</v>
      </c>
      <c r="S366" s="31">
        <v>12772</v>
      </c>
      <c r="T366" s="31">
        <v>34294</v>
      </c>
      <c r="U366" s="31">
        <v>0</v>
      </c>
      <c r="V366" s="31">
        <v>34294</v>
      </c>
      <c r="W366" s="45">
        <f t="shared" si="142"/>
        <v>19.041643531371459</v>
      </c>
      <c r="X366" s="4">
        <f t="shared" si="143"/>
        <v>0.58068466787193096</v>
      </c>
      <c r="Y366" s="4">
        <f t="shared" si="144"/>
        <v>4.6888668571761827E-2</v>
      </c>
      <c r="Z366" s="4">
        <f t="shared" si="145"/>
        <v>0.37242666355630721</v>
      </c>
      <c r="AA366" s="4">
        <f t="shared" si="146"/>
        <v>0</v>
      </c>
      <c r="AB366" s="31">
        <v>0</v>
      </c>
      <c r="AC366" s="31">
        <v>1608</v>
      </c>
      <c r="AD366" s="31">
        <v>34294</v>
      </c>
      <c r="AE366" s="31">
        <v>30742</v>
      </c>
      <c r="AF366" s="31">
        <v>10318</v>
      </c>
      <c r="AG366" s="31">
        <v>20424</v>
      </c>
      <c r="AH366" s="31">
        <v>0</v>
      </c>
      <c r="AI366" s="31">
        <v>30742</v>
      </c>
      <c r="AJ366" s="45">
        <f t="shared" si="147"/>
        <v>17.069405885619101</v>
      </c>
      <c r="AK366" s="31">
        <v>0</v>
      </c>
      <c r="AL366" s="31">
        <v>0</v>
      </c>
      <c r="AM366" s="31">
        <v>0</v>
      </c>
      <c r="AN366" s="31">
        <v>0</v>
      </c>
      <c r="AO366" s="31">
        <v>0</v>
      </c>
      <c r="AP366" s="31">
        <v>0</v>
      </c>
      <c r="AQ366" s="31">
        <v>0</v>
      </c>
      <c r="AR366" s="31">
        <v>30742</v>
      </c>
      <c r="AS366" s="46">
        <f t="shared" si="148"/>
        <v>17.069405885619101</v>
      </c>
      <c r="AT366" s="31">
        <v>0</v>
      </c>
      <c r="AU366" s="31">
        <v>0</v>
      </c>
      <c r="AV366" s="31">
        <v>0</v>
      </c>
      <c r="AW366" s="31">
        <v>0</v>
      </c>
      <c r="AX366" s="31">
        <v>0</v>
      </c>
      <c r="AY366" s="31">
        <v>0</v>
      </c>
      <c r="AZ366" s="31">
        <v>0</v>
      </c>
      <c r="BA366" s="31">
        <v>0</v>
      </c>
      <c r="BB366" s="31">
        <v>0</v>
      </c>
      <c r="BC366" s="33" t="s">
        <v>25</v>
      </c>
      <c r="BD366" s="47">
        <v>8701</v>
      </c>
      <c r="BE366" s="47">
        <v>8711</v>
      </c>
      <c r="BF366" s="45">
        <f t="shared" si="149"/>
        <v>4.8367573570238758</v>
      </c>
      <c r="BG366" s="30">
        <v>185</v>
      </c>
      <c r="BH366" s="30">
        <v>187</v>
      </c>
      <c r="BI366" s="30">
        <v>0</v>
      </c>
      <c r="BJ366" s="30">
        <v>779</v>
      </c>
      <c r="BK366" s="30">
        <v>779</v>
      </c>
      <c r="BL366" s="30">
        <v>0</v>
      </c>
      <c r="BM366" s="30">
        <v>0</v>
      </c>
      <c r="BN366" s="30">
        <v>0</v>
      </c>
      <c r="BO366" s="30">
        <v>51</v>
      </c>
      <c r="BP366" s="30">
        <v>0</v>
      </c>
      <c r="BQ366" s="30">
        <v>51</v>
      </c>
      <c r="BR366" s="47">
        <v>9665</v>
      </c>
      <c r="BS366" s="47">
        <v>9677</v>
      </c>
      <c r="BT366" s="1">
        <f t="shared" si="150"/>
        <v>5.373126041088284</v>
      </c>
      <c r="BU366" s="30">
        <v>5</v>
      </c>
      <c r="BV366" s="30">
        <v>0</v>
      </c>
      <c r="BW366" s="47">
        <v>1200</v>
      </c>
      <c r="BX366" s="52">
        <f t="shared" si="151"/>
        <v>0.66629650194336476</v>
      </c>
      <c r="BY366" s="47">
        <v>1193</v>
      </c>
      <c r="BZ366" s="47">
        <v>0</v>
      </c>
      <c r="CA366" s="47">
        <v>4655</v>
      </c>
      <c r="CB366" s="47">
        <v>0</v>
      </c>
      <c r="CC366" s="47">
        <v>5848</v>
      </c>
      <c r="CD366" s="55">
        <f t="shared" si="152"/>
        <v>3.2470849528039976</v>
      </c>
      <c r="CE366" s="3">
        <f t="shared" si="153"/>
        <v>6322.1621621621616</v>
      </c>
      <c r="CF366" s="55">
        <f t="shared" si="154"/>
        <v>5.2167707404103476</v>
      </c>
      <c r="CG366" s="55">
        <f t="shared" si="155"/>
        <v>2.1659259259259258</v>
      </c>
      <c r="CH366" s="55">
        <f t="shared" si="156"/>
        <v>0.60431952051255555</v>
      </c>
      <c r="CI366" s="30">
        <v>6</v>
      </c>
      <c r="CJ366" s="30">
        <v>3</v>
      </c>
      <c r="CK366" s="30">
        <v>4</v>
      </c>
      <c r="CL366" s="30">
        <v>13</v>
      </c>
      <c r="CM366" s="30">
        <v>58</v>
      </c>
      <c r="CN366" s="30">
        <v>35</v>
      </c>
      <c r="CO366" s="30">
        <v>20</v>
      </c>
      <c r="CP366" s="30">
        <v>113</v>
      </c>
      <c r="CQ366" s="1">
        <f t="shared" si="164"/>
        <v>6.2742920599666852E-2</v>
      </c>
      <c r="CR366" s="47">
        <v>2700</v>
      </c>
      <c r="CS366" s="55">
        <f t="shared" si="157"/>
        <v>1.4991671293725708</v>
      </c>
      <c r="CT366" s="59">
        <v>706</v>
      </c>
      <c r="CU366" s="29" t="s">
        <v>25</v>
      </c>
      <c r="CV366" s="29" t="s">
        <v>25</v>
      </c>
      <c r="CW366" s="29" t="s">
        <v>25</v>
      </c>
      <c r="CX366" s="35">
        <v>0</v>
      </c>
      <c r="CY366" s="49">
        <v>0</v>
      </c>
      <c r="CZ366" s="35">
        <v>0.625</v>
      </c>
      <c r="DA366" s="35">
        <v>0.3</v>
      </c>
      <c r="DB366" s="35">
        <v>0.92500000000000004</v>
      </c>
      <c r="DC366" s="49">
        <f t="shared" si="158"/>
        <v>1947.0270270270269</v>
      </c>
      <c r="DD366" s="30">
        <v>690</v>
      </c>
      <c r="DE366" s="31">
        <v>16900</v>
      </c>
      <c r="DF366" s="35">
        <v>25</v>
      </c>
      <c r="DG366" s="29" t="s">
        <v>25</v>
      </c>
      <c r="DH366" s="29" t="s">
        <v>26</v>
      </c>
      <c r="DI366" s="29" t="s">
        <v>26</v>
      </c>
      <c r="DJ366" s="47">
        <v>0</v>
      </c>
      <c r="DK366" s="47">
        <v>0</v>
      </c>
      <c r="DL366" s="47">
        <v>5</v>
      </c>
      <c r="DM366" s="47">
        <v>756</v>
      </c>
      <c r="DN366" s="47">
        <v>75</v>
      </c>
      <c r="DO366" s="47">
        <v>280</v>
      </c>
      <c r="DP366" s="29" t="s">
        <v>2028</v>
      </c>
      <c r="DQ366" s="47">
        <v>0</v>
      </c>
      <c r="DR366" s="47">
        <v>1121</v>
      </c>
      <c r="DS366" s="30">
        <v>48</v>
      </c>
      <c r="DT366" s="30">
        <v>23</v>
      </c>
      <c r="DU366" s="30">
        <v>23</v>
      </c>
      <c r="DV366" s="30">
        <v>23</v>
      </c>
      <c r="DX366" s="2">
        <f t="shared" si="159"/>
        <v>1121</v>
      </c>
      <c r="DY366" s="33" t="s">
        <v>2181</v>
      </c>
      <c r="DZ366" s="33" t="s">
        <v>1565</v>
      </c>
      <c r="EA366" s="33" t="s">
        <v>2030</v>
      </c>
      <c r="EB366" s="33" t="s">
        <v>2027</v>
      </c>
      <c r="EC366" s="36">
        <v>511</v>
      </c>
      <c r="ED366" s="29" t="s">
        <v>1564</v>
      </c>
      <c r="EE366" s="29" t="s">
        <v>206</v>
      </c>
      <c r="EF366" s="37">
        <v>41548</v>
      </c>
      <c r="EG366" s="37">
        <v>41912</v>
      </c>
      <c r="EH366" s="29" t="s">
        <v>1564</v>
      </c>
      <c r="EI366" s="55">
        <f t="shared" si="160"/>
        <v>0.66240977234869514</v>
      </c>
      <c r="EJ366" s="54">
        <f t="shared" si="161"/>
        <v>0</v>
      </c>
      <c r="EK366" s="55">
        <f t="shared" si="162"/>
        <v>2.5846751804553025</v>
      </c>
      <c r="EL366" s="54">
        <f t="shared" si="163"/>
        <v>0</v>
      </c>
    </row>
    <row r="367" spans="1:142" ht="28.8" x14ac:dyDescent="0.3">
      <c r="A367" s="29" t="s">
        <v>972</v>
      </c>
      <c r="B367" s="29"/>
      <c r="C367" s="30">
        <v>4546</v>
      </c>
      <c r="D367" s="30">
        <v>0</v>
      </c>
      <c r="E367" s="30">
        <v>0</v>
      </c>
      <c r="F367" s="30">
        <v>5500</v>
      </c>
      <c r="H367" s="2">
        <f t="shared" si="139"/>
        <v>5500</v>
      </c>
      <c r="I367" s="1">
        <f t="shared" si="138"/>
        <v>1.2098548174219095</v>
      </c>
      <c r="J367" s="31">
        <v>35500</v>
      </c>
      <c r="K367" s="31">
        <v>11183</v>
      </c>
      <c r="L367" s="31">
        <v>46683</v>
      </c>
      <c r="M367" s="45">
        <f t="shared" si="140"/>
        <v>10.269027716674</v>
      </c>
      <c r="N367" s="31">
        <v>17495</v>
      </c>
      <c r="O367" s="31">
        <v>0</v>
      </c>
      <c r="P367" s="31">
        <v>7544</v>
      </c>
      <c r="Q367" s="31">
        <v>25039</v>
      </c>
      <c r="R367" s="45">
        <f t="shared" si="141"/>
        <v>5.507919049714034</v>
      </c>
      <c r="S367" s="31">
        <v>52517</v>
      </c>
      <c r="T367" s="31">
        <v>124239</v>
      </c>
      <c r="U367" s="31">
        <v>0</v>
      </c>
      <c r="V367" s="31">
        <v>124239</v>
      </c>
      <c r="W367" s="45">
        <f t="shared" si="142"/>
        <v>27.329300483941928</v>
      </c>
      <c r="X367" s="4">
        <f t="shared" si="143"/>
        <v>0.37575157559220534</v>
      </c>
      <c r="Y367" s="4">
        <f t="shared" si="144"/>
        <v>0.20153896924476211</v>
      </c>
      <c r="Z367" s="4">
        <f t="shared" si="145"/>
        <v>0.42270945516303254</v>
      </c>
      <c r="AA367" s="4">
        <f t="shared" si="146"/>
        <v>0</v>
      </c>
      <c r="AB367" s="31">
        <v>0</v>
      </c>
      <c r="AC367" s="31">
        <v>25039</v>
      </c>
      <c r="AD367" s="31">
        <v>124239</v>
      </c>
      <c r="AE367" s="31">
        <v>102053</v>
      </c>
      <c r="AF367" s="31">
        <v>114889</v>
      </c>
      <c r="AG367" s="31">
        <v>0</v>
      </c>
      <c r="AH367" s="31">
        <v>0</v>
      </c>
      <c r="AI367" s="31">
        <v>114889</v>
      </c>
      <c r="AJ367" s="45">
        <f t="shared" si="147"/>
        <v>25.272547294324681</v>
      </c>
      <c r="AK367" s="31">
        <v>0</v>
      </c>
      <c r="AL367" s="31">
        <v>0</v>
      </c>
      <c r="AM367" s="31">
        <v>0</v>
      </c>
      <c r="AN367" s="31">
        <v>0</v>
      </c>
      <c r="AO367" s="31">
        <v>6477</v>
      </c>
      <c r="AP367" s="31">
        <v>1500</v>
      </c>
      <c r="AQ367" s="31">
        <v>7977</v>
      </c>
      <c r="AR367" s="31">
        <v>122866</v>
      </c>
      <c r="AS367" s="46">
        <f t="shared" si="148"/>
        <v>27.027276726792785</v>
      </c>
      <c r="AT367" s="31">
        <v>0</v>
      </c>
      <c r="AU367" s="31">
        <v>0</v>
      </c>
      <c r="AV367" s="31">
        <v>0</v>
      </c>
      <c r="AW367" s="31">
        <v>0</v>
      </c>
      <c r="AX367" s="31">
        <v>0</v>
      </c>
      <c r="AY367" s="31">
        <v>0</v>
      </c>
      <c r="AZ367" s="31">
        <v>0</v>
      </c>
      <c r="BA367" s="31">
        <v>0</v>
      </c>
      <c r="BB367" s="31">
        <v>0</v>
      </c>
      <c r="BC367" s="33" t="s">
        <v>25</v>
      </c>
      <c r="BD367" s="47">
        <v>24888</v>
      </c>
      <c r="BE367" s="47">
        <v>24890</v>
      </c>
      <c r="BF367" s="45">
        <f t="shared" si="149"/>
        <v>5.4751429828420592</v>
      </c>
      <c r="BG367" s="30">
        <v>292</v>
      </c>
      <c r="BH367" s="30">
        <v>292</v>
      </c>
      <c r="BI367" s="30">
        <v>0</v>
      </c>
      <c r="BJ367" s="30">
        <v>1499</v>
      </c>
      <c r="BK367" s="30">
        <v>1499</v>
      </c>
      <c r="BL367" s="30">
        <v>0</v>
      </c>
      <c r="BM367" s="30">
        <v>0</v>
      </c>
      <c r="BN367" s="30">
        <v>0</v>
      </c>
      <c r="BO367" s="30">
        <v>51</v>
      </c>
      <c r="BP367" s="30">
        <v>0</v>
      </c>
      <c r="BQ367" s="30">
        <v>51</v>
      </c>
      <c r="BR367" s="47">
        <v>26679</v>
      </c>
      <c r="BS367" s="47">
        <v>26681</v>
      </c>
      <c r="BT367" s="1">
        <f t="shared" si="150"/>
        <v>5.8691157061152666</v>
      </c>
      <c r="BU367" s="30">
        <v>20</v>
      </c>
      <c r="BV367" s="30">
        <v>0</v>
      </c>
      <c r="BW367" s="47">
        <v>2688</v>
      </c>
      <c r="BX367" s="52">
        <f t="shared" si="151"/>
        <v>0.59128904531456228</v>
      </c>
      <c r="BY367" s="47">
        <v>12639</v>
      </c>
      <c r="BZ367" s="47">
        <v>0</v>
      </c>
      <c r="CA367" s="47">
        <v>12639</v>
      </c>
      <c r="CB367" s="47">
        <v>0</v>
      </c>
      <c r="CC367" s="47">
        <v>25278</v>
      </c>
      <c r="CD367" s="55">
        <f t="shared" si="152"/>
        <v>5.5604927408710951</v>
      </c>
      <c r="CE367" s="3">
        <f t="shared" si="153"/>
        <v>17137.627118644068</v>
      </c>
      <c r="CF367" s="55">
        <f t="shared" si="154"/>
        <v>13.431455897980872</v>
      </c>
      <c r="CG367" s="55">
        <f t="shared" si="155"/>
        <v>1.0017039825638994</v>
      </c>
      <c r="CH367" s="55">
        <f t="shared" si="156"/>
        <v>0.94741576402683558</v>
      </c>
      <c r="CI367" s="30">
        <v>17</v>
      </c>
      <c r="CJ367" s="30">
        <v>6</v>
      </c>
      <c r="CK367" s="30">
        <v>48</v>
      </c>
      <c r="CL367" s="30">
        <v>71</v>
      </c>
      <c r="CM367" s="30">
        <v>510</v>
      </c>
      <c r="CN367" s="30">
        <v>132</v>
      </c>
      <c r="CO367" s="30">
        <v>1044</v>
      </c>
      <c r="CP367" s="30">
        <v>1686</v>
      </c>
      <c r="CQ367" s="1">
        <f t="shared" si="164"/>
        <v>0.37087549494060712</v>
      </c>
      <c r="CR367" s="47">
        <v>25235</v>
      </c>
      <c r="CS367" s="55">
        <f t="shared" si="157"/>
        <v>5.5510338759348876</v>
      </c>
      <c r="CT367" s="59">
        <v>6684</v>
      </c>
      <c r="CU367" s="29" t="s">
        <v>25</v>
      </c>
      <c r="CV367" s="29" t="s">
        <v>25</v>
      </c>
      <c r="CW367" s="29" t="s">
        <v>25</v>
      </c>
      <c r="CX367" s="35">
        <v>0</v>
      </c>
      <c r="CY367" s="49">
        <v>0</v>
      </c>
      <c r="CZ367" s="35">
        <v>1</v>
      </c>
      <c r="DA367" s="35">
        <v>0.47499999999999998</v>
      </c>
      <c r="DB367" s="35">
        <v>1.4750000000000001</v>
      </c>
      <c r="DC367" s="49">
        <f t="shared" si="158"/>
        <v>3082.0338983050847</v>
      </c>
      <c r="DD367" s="30">
        <v>3335</v>
      </c>
      <c r="DE367" s="31">
        <v>17372</v>
      </c>
      <c r="DF367" s="35">
        <v>40</v>
      </c>
      <c r="DG367" s="29" t="s">
        <v>25</v>
      </c>
      <c r="DH367" s="29" t="s">
        <v>25</v>
      </c>
      <c r="DI367" s="29" t="s">
        <v>25</v>
      </c>
      <c r="DJ367" s="47">
        <v>82</v>
      </c>
      <c r="DK367" s="47">
        <v>84</v>
      </c>
      <c r="DL367" s="47">
        <v>5</v>
      </c>
      <c r="DM367" s="47">
        <v>4539</v>
      </c>
      <c r="DN367" s="47">
        <v>15</v>
      </c>
      <c r="DO367" s="47">
        <v>0</v>
      </c>
      <c r="DP367" s="29" t="s">
        <v>2028</v>
      </c>
      <c r="DQ367" s="47">
        <v>0</v>
      </c>
      <c r="DR367" s="47">
        <v>1882</v>
      </c>
      <c r="DS367" s="30">
        <v>52</v>
      </c>
      <c r="DT367" s="30">
        <v>41</v>
      </c>
      <c r="DU367" s="30">
        <v>41</v>
      </c>
      <c r="DV367" s="30">
        <v>41</v>
      </c>
      <c r="DX367" s="2">
        <f t="shared" si="159"/>
        <v>1882</v>
      </c>
      <c r="DY367" s="33" t="s">
        <v>2182</v>
      </c>
      <c r="DZ367" s="33" t="s">
        <v>973</v>
      </c>
      <c r="EA367" s="33" t="s">
        <v>2030</v>
      </c>
      <c r="EB367" s="33" t="s">
        <v>2027</v>
      </c>
      <c r="EC367" s="36">
        <v>282</v>
      </c>
      <c r="ED367" s="29" t="s">
        <v>971</v>
      </c>
      <c r="EE367" s="29" t="s">
        <v>186</v>
      </c>
      <c r="EF367" s="37">
        <v>41548</v>
      </c>
      <c r="EG367" s="37">
        <v>41912</v>
      </c>
      <c r="EH367" s="29" t="s">
        <v>971</v>
      </c>
      <c r="EI367" s="55">
        <f t="shared" si="160"/>
        <v>2.7802463704355476</v>
      </c>
      <c r="EJ367" s="54">
        <f t="shared" si="161"/>
        <v>0</v>
      </c>
      <c r="EK367" s="55">
        <f t="shared" si="162"/>
        <v>2.7802463704355476</v>
      </c>
      <c r="EL367" s="54">
        <f t="shared" si="163"/>
        <v>0</v>
      </c>
    </row>
    <row r="368" spans="1:142" ht="28.8" x14ac:dyDescent="0.3">
      <c r="A368" s="29" t="s">
        <v>975</v>
      </c>
      <c r="B368" s="29"/>
      <c r="C368" s="30">
        <v>63279</v>
      </c>
      <c r="D368" s="30">
        <v>1</v>
      </c>
      <c r="E368" s="30">
        <v>0</v>
      </c>
      <c r="F368" s="30">
        <v>26700</v>
      </c>
      <c r="G368">
        <v>805</v>
      </c>
      <c r="H368" s="2">
        <f t="shared" si="139"/>
        <v>27505</v>
      </c>
      <c r="I368" s="1">
        <f t="shared" si="138"/>
        <v>0.43466236824222887</v>
      </c>
      <c r="J368" s="31">
        <v>959486</v>
      </c>
      <c r="K368" s="31">
        <v>330517</v>
      </c>
      <c r="L368" s="31">
        <v>1290003</v>
      </c>
      <c r="M368" s="45">
        <f t="shared" si="140"/>
        <v>20.385957426634427</v>
      </c>
      <c r="N368" s="31">
        <v>115497</v>
      </c>
      <c r="O368" s="31">
        <v>50859</v>
      </c>
      <c r="P368" s="31">
        <v>33840</v>
      </c>
      <c r="Q368" s="31">
        <v>200196</v>
      </c>
      <c r="R368" s="45">
        <f t="shared" si="141"/>
        <v>3.1637035983501636</v>
      </c>
      <c r="S368" s="31">
        <v>343126</v>
      </c>
      <c r="T368" s="31">
        <v>1833325</v>
      </c>
      <c r="U368" s="31">
        <v>0</v>
      </c>
      <c r="V368" s="31">
        <v>1833325</v>
      </c>
      <c r="W368" s="45">
        <f t="shared" si="142"/>
        <v>28.972091847216298</v>
      </c>
      <c r="X368" s="4">
        <f t="shared" si="143"/>
        <v>0.70364119836908345</v>
      </c>
      <c r="Y368" s="4">
        <f t="shared" si="144"/>
        <v>0.10919831453779336</v>
      </c>
      <c r="Z368" s="4">
        <f t="shared" si="145"/>
        <v>0.18716048709312316</v>
      </c>
      <c r="AA368" s="4">
        <f t="shared" si="146"/>
        <v>0</v>
      </c>
      <c r="AB368" s="31">
        <v>0</v>
      </c>
      <c r="AC368" s="31">
        <v>200196</v>
      </c>
      <c r="AD368" s="31">
        <v>1833325</v>
      </c>
      <c r="AE368" s="31">
        <v>1779391</v>
      </c>
      <c r="AF368" s="31">
        <v>1779391</v>
      </c>
      <c r="AG368" s="31">
        <v>0</v>
      </c>
      <c r="AH368" s="31">
        <v>0</v>
      </c>
      <c r="AI368" s="31">
        <v>1779391</v>
      </c>
      <c r="AJ368" s="45">
        <f t="shared" si="147"/>
        <v>28.119771172110809</v>
      </c>
      <c r="AK368" s="31">
        <v>0</v>
      </c>
      <c r="AL368" s="31">
        <v>0</v>
      </c>
      <c r="AM368" s="31">
        <v>0</v>
      </c>
      <c r="AN368" s="31">
        <v>0</v>
      </c>
      <c r="AO368" s="31">
        <v>0</v>
      </c>
      <c r="AP368" s="31">
        <v>55225</v>
      </c>
      <c r="AQ368" s="31">
        <v>55225</v>
      </c>
      <c r="AR368" s="31">
        <v>1834616</v>
      </c>
      <c r="AS368" s="46">
        <f t="shared" si="148"/>
        <v>28.992493560264858</v>
      </c>
      <c r="AT368" s="31">
        <v>0</v>
      </c>
      <c r="AU368" s="31">
        <v>0</v>
      </c>
      <c r="AV368" s="31">
        <v>0</v>
      </c>
      <c r="AW368" s="31">
        <v>0</v>
      </c>
      <c r="AX368" s="31">
        <v>0</v>
      </c>
      <c r="AY368" s="31">
        <v>0</v>
      </c>
      <c r="AZ368" s="31">
        <v>0</v>
      </c>
      <c r="BA368" s="31">
        <v>0</v>
      </c>
      <c r="BB368" s="31">
        <v>0</v>
      </c>
      <c r="BC368" s="33" t="s">
        <v>25</v>
      </c>
      <c r="BD368" s="47">
        <v>96603</v>
      </c>
      <c r="BE368" s="47">
        <v>103951</v>
      </c>
      <c r="BF368" s="45">
        <f t="shared" si="149"/>
        <v>1.6427408777003429</v>
      </c>
      <c r="BG368" s="30">
        <v>9428</v>
      </c>
      <c r="BH368" s="30">
        <v>9817</v>
      </c>
      <c r="BI368" s="30">
        <v>1067</v>
      </c>
      <c r="BJ368" s="30">
        <v>12051</v>
      </c>
      <c r="BK368" s="30">
        <v>14167</v>
      </c>
      <c r="BL368" s="30">
        <v>155</v>
      </c>
      <c r="BM368" s="30">
        <v>4531</v>
      </c>
      <c r="BN368" s="30">
        <v>12</v>
      </c>
      <c r="BO368" s="30">
        <v>51</v>
      </c>
      <c r="BP368" s="30">
        <v>1</v>
      </c>
      <c r="BQ368" s="30">
        <v>64</v>
      </c>
      <c r="BR368" s="47">
        <v>118082</v>
      </c>
      <c r="BS368" s="47">
        <v>133700</v>
      </c>
      <c r="BT368" s="1">
        <f t="shared" si="150"/>
        <v>2.1128652475544811</v>
      </c>
      <c r="BU368" s="30">
        <v>222</v>
      </c>
      <c r="BV368" s="30">
        <v>20</v>
      </c>
      <c r="BW368" s="47">
        <v>8904</v>
      </c>
      <c r="BX368" s="52">
        <f t="shared" si="151"/>
        <v>0.14071018821409947</v>
      </c>
      <c r="BY368" s="47">
        <v>350384</v>
      </c>
      <c r="BZ368" s="47">
        <v>1853</v>
      </c>
      <c r="CA368" s="47">
        <v>352446</v>
      </c>
      <c r="CB368" s="47">
        <v>12095</v>
      </c>
      <c r="CC368" s="47">
        <v>716778</v>
      </c>
      <c r="CD368" s="55">
        <f t="shared" si="152"/>
        <v>11.327264969421135</v>
      </c>
      <c r="CE368" s="3">
        <f t="shared" si="153"/>
        <v>33145.803468208091</v>
      </c>
      <c r="CF368" s="55">
        <f t="shared" si="154"/>
        <v>161.65493910690122</v>
      </c>
      <c r="CG368" s="55">
        <f t="shared" si="155"/>
        <v>2.525733817259241</v>
      </c>
      <c r="CH368" s="55">
        <f t="shared" si="156"/>
        <v>5.2567688855646972</v>
      </c>
      <c r="CI368" s="30">
        <v>411</v>
      </c>
      <c r="CJ368" s="30">
        <v>160</v>
      </c>
      <c r="CK368" s="30">
        <v>585</v>
      </c>
      <c r="CL368" s="30">
        <v>1156</v>
      </c>
      <c r="CM368" s="30">
        <v>13697</v>
      </c>
      <c r="CN368" s="30">
        <v>2000</v>
      </c>
      <c r="CO368" s="30">
        <v>6526</v>
      </c>
      <c r="CP368" s="30">
        <v>22223</v>
      </c>
      <c r="CQ368" s="1">
        <f t="shared" si="164"/>
        <v>0.35119075838745872</v>
      </c>
      <c r="CR368" s="47">
        <v>283790</v>
      </c>
      <c r="CS368" s="55">
        <f t="shared" si="157"/>
        <v>4.484742173548887</v>
      </c>
      <c r="CT368" s="59">
        <v>52809</v>
      </c>
      <c r="CU368" s="29" t="s">
        <v>25</v>
      </c>
      <c r="CV368" s="29" t="s">
        <v>25</v>
      </c>
      <c r="CW368" s="29" t="s">
        <v>25</v>
      </c>
      <c r="CX368" s="35">
        <v>6</v>
      </c>
      <c r="CY368" s="49">
        <f>C368/CX368</f>
        <v>10546.5</v>
      </c>
      <c r="CZ368" s="35">
        <v>0</v>
      </c>
      <c r="DA368" s="35">
        <v>15.625</v>
      </c>
      <c r="DB368" s="35">
        <v>21.625</v>
      </c>
      <c r="DC368" s="49">
        <f t="shared" si="158"/>
        <v>2926.1965317919075</v>
      </c>
      <c r="DD368" s="30">
        <v>6722</v>
      </c>
      <c r="DE368" s="31">
        <v>96366</v>
      </c>
      <c r="DF368" s="35">
        <v>40</v>
      </c>
      <c r="DG368" s="29" t="s">
        <v>25</v>
      </c>
      <c r="DH368" s="29" t="s">
        <v>25</v>
      </c>
      <c r="DI368" s="29" t="s">
        <v>25</v>
      </c>
      <c r="DJ368" s="47">
        <v>450</v>
      </c>
      <c r="DK368" s="47">
        <v>599</v>
      </c>
      <c r="DL368" s="47">
        <v>45</v>
      </c>
      <c r="DM368" s="47">
        <v>67427</v>
      </c>
      <c r="DN368" s="47">
        <v>7821</v>
      </c>
      <c r="DO368" s="47">
        <v>14865</v>
      </c>
      <c r="DP368" s="29" t="s">
        <v>25</v>
      </c>
      <c r="DQ368" s="47">
        <v>119086</v>
      </c>
      <c r="DR368" s="47">
        <v>3434</v>
      </c>
      <c r="DS368" s="30">
        <v>52</v>
      </c>
      <c r="DT368" s="30">
        <v>89</v>
      </c>
      <c r="DU368" s="30">
        <v>69</v>
      </c>
      <c r="DV368" s="30">
        <v>69</v>
      </c>
      <c r="DW368">
        <f>VLOOKUP(EC368,branch!$I$4:$K$77,3,0)</f>
        <v>1000</v>
      </c>
      <c r="DX368" s="2">
        <f t="shared" si="159"/>
        <v>4434</v>
      </c>
      <c r="DY368" s="33" t="s">
        <v>2187</v>
      </c>
      <c r="DZ368" s="33" t="s">
        <v>976</v>
      </c>
      <c r="EA368" s="33" t="s">
        <v>2030</v>
      </c>
      <c r="EB368" s="33" t="s">
        <v>2027</v>
      </c>
      <c r="EC368" s="36">
        <v>283</v>
      </c>
      <c r="ED368" s="29" t="s">
        <v>974</v>
      </c>
      <c r="EE368" s="29" t="s">
        <v>259</v>
      </c>
      <c r="EF368" s="37">
        <v>41548</v>
      </c>
      <c r="EG368" s="37">
        <v>41912</v>
      </c>
      <c r="EH368" s="29" t="s">
        <v>974</v>
      </c>
      <c r="EI368" s="55">
        <f t="shared" si="160"/>
        <v>5.5371292213846619</v>
      </c>
      <c r="EJ368" s="54">
        <f t="shared" si="161"/>
        <v>2.9283016482561354E-2</v>
      </c>
      <c r="EK368" s="55">
        <f t="shared" si="162"/>
        <v>5.5697150713506849</v>
      </c>
      <c r="EL368" s="54">
        <f t="shared" si="163"/>
        <v>0.19113766020322698</v>
      </c>
    </row>
    <row r="369" spans="1:142" ht="28.8" x14ac:dyDescent="0.3">
      <c r="A369" s="29" t="s">
        <v>977</v>
      </c>
      <c r="B369" s="29"/>
      <c r="C369" s="30">
        <v>14140</v>
      </c>
      <c r="D369" s="30">
        <v>1</v>
      </c>
      <c r="E369" s="30">
        <v>0</v>
      </c>
      <c r="F369" s="30">
        <v>9180</v>
      </c>
      <c r="G369">
        <v>736</v>
      </c>
      <c r="H369" s="2">
        <f t="shared" si="139"/>
        <v>9916</v>
      </c>
      <c r="I369" s="1">
        <f t="shared" si="138"/>
        <v>0.70127298444130126</v>
      </c>
      <c r="J369" s="31">
        <v>69154</v>
      </c>
      <c r="K369" s="31">
        <v>18777</v>
      </c>
      <c r="L369" s="31">
        <v>87931</v>
      </c>
      <c r="M369" s="45">
        <f t="shared" si="140"/>
        <v>6.2185997171145688</v>
      </c>
      <c r="N369" s="31">
        <v>15464</v>
      </c>
      <c r="O369" s="31">
        <v>1500</v>
      </c>
      <c r="P369" s="31">
        <v>2823</v>
      </c>
      <c r="Q369" s="31">
        <v>19787</v>
      </c>
      <c r="R369" s="45">
        <f t="shared" si="141"/>
        <v>1.3993635077793494</v>
      </c>
      <c r="S369" s="31">
        <v>26597</v>
      </c>
      <c r="T369" s="31">
        <v>134315</v>
      </c>
      <c r="U369" s="31">
        <v>17818</v>
      </c>
      <c r="V369" s="31">
        <v>152133</v>
      </c>
      <c r="W369" s="45">
        <f t="shared" si="142"/>
        <v>10.759052333804808</v>
      </c>
      <c r="X369" s="4">
        <f t="shared" si="143"/>
        <v>0.57798768183102944</v>
      </c>
      <c r="Y369" s="4">
        <f t="shared" si="144"/>
        <v>0.13006382573143235</v>
      </c>
      <c r="Z369" s="4">
        <f t="shared" si="145"/>
        <v>0.17482728927977492</v>
      </c>
      <c r="AA369" s="4">
        <f t="shared" si="146"/>
        <v>0.11712120315776327</v>
      </c>
      <c r="AB369" s="31">
        <v>0</v>
      </c>
      <c r="AC369" s="31">
        <v>19787</v>
      </c>
      <c r="AD369" s="31">
        <v>152133</v>
      </c>
      <c r="AE369" s="31">
        <v>152133</v>
      </c>
      <c r="AF369" s="31">
        <v>10000</v>
      </c>
      <c r="AG369" s="31">
        <v>142133</v>
      </c>
      <c r="AH369" s="31">
        <v>0</v>
      </c>
      <c r="AI369" s="31">
        <v>152133</v>
      </c>
      <c r="AJ369" s="45">
        <f t="shared" si="147"/>
        <v>10.759052333804808</v>
      </c>
      <c r="AK369" s="31">
        <v>0</v>
      </c>
      <c r="AL369" s="31">
        <v>0</v>
      </c>
      <c r="AM369" s="31">
        <v>0</v>
      </c>
      <c r="AN369" s="31">
        <v>0</v>
      </c>
      <c r="AO369" s="31">
        <v>7000</v>
      </c>
      <c r="AP369" s="31">
        <v>10064</v>
      </c>
      <c r="AQ369" s="31">
        <v>17064</v>
      </c>
      <c r="AR369" s="31">
        <v>169197</v>
      </c>
      <c r="AS369" s="46">
        <f t="shared" si="148"/>
        <v>11.965841584158415</v>
      </c>
      <c r="AT369" s="31">
        <v>0</v>
      </c>
      <c r="AU369" s="31">
        <v>0</v>
      </c>
      <c r="AV369" s="31">
        <v>0</v>
      </c>
      <c r="AW369" s="31">
        <v>0</v>
      </c>
      <c r="AX369" s="31">
        <v>0</v>
      </c>
      <c r="AY369" s="31">
        <v>0</v>
      </c>
      <c r="AZ369" s="31">
        <v>4986</v>
      </c>
      <c r="BA369" s="31">
        <v>0</v>
      </c>
      <c r="BB369" s="31">
        <v>4986</v>
      </c>
      <c r="BC369" s="33" t="s">
        <v>25</v>
      </c>
      <c r="BD369" s="47">
        <v>27265</v>
      </c>
      <c r="BE369" s="47">
        <v>27503</v>
      </c>
      <c r="BF369" s="45">
        <f t="shared" si="149"/>
        <v>1.945049504950495</v>
      </c>
      <c r="BG369" s="30">
        <v>596</v>
      </c>
      <c r="BH369" s="30">
        <v>607</v>
      </c>
      <c r="BI369" s="30">
        <v>0</v>
      </c>
      <c r="BJ369" s="30">
        <v>3182</v>
      </c>
      <c r="BK369" s="30">
        <v>3189</v>
      </c>
      <c r="BL369" s="30">
        <v>0</v>
      </c>
      <c r="BM369" s="30">
        <v>0</v>
      </c>
      <c r="BN369" s="30">
        <v>0</v>
      </c>
      <c r="BO369" s="30">
        <v>51</v>
      </c>
      <c r="BP369" s="30">
        <v>0</v>
      </c>
      <c r="BQ369" s="30">
        <v>51</v>
      </c>
      <c r="BR369" s="47">
        <v>31043</v>
      </c>
      <c r="BS369" s="47">
        <v>31299</v>
      </c>
      <c r="BT369" s="1">
        <f t="shared" si="150"/>
        <v>2.2135077793493636</v>
      </c>
      <c r="BU369" s="30">
        <v>32</v>
      </c>
      <c r="BV369" s="30">
        <v>0</v>
      </c>
      <c r="BW369" s="47">
        <v>8843</v>
      </c>
      <c r="BX369" s="52">
        <f t="shared" si="151"/>
        <v>0.62538896746817541</v>
      </c>
      <c r="BY369" s="47">
        <v>4103</v>
      </c>
      <c r="BZ369" s="47">
        <v>0</v>
      </c>
      <c r="CA369" s="47">
        <v>15663</v>
      </c>
      <c r="CB369" s="47">
        <v>0</v>
      </c>
      <c r="CC369" s="47">
        <v>19766</v>
      </c>
      <c r="CD369" s="55">
        <f t="shared" si="152"/>
        <v>1.3978783592644979</v>
      </c>
      <c r="CE369" s="3">
        <f t="shared" si="153"/>
        <v>6081.8461538461543</v>
      </c>
      <c r="CF369" s="55">
        <f t="shared" si="154"/>
        <v>5.6701090074584046</v>
      </c>
      <c r="CG369" s="55">
        <f t="shared" si="155"/>
        <v>0.63552183139347951</v>
      </c>
      <c r="CH369" s="55">
        <f t="shared" si="156"/>
        <v>0.63152177385858976</v>
      </c>
      <c r="CI369" s="30">
        <v>106</v>
      </c>
      <c r="CJ369" s="30">
        <v>10</v>
      </c>
      <c r="CK369" s="30">
        <v>19</v>
      </c>
      <c r="CL369" s="30">
        <v>135</v>
      </c>
      <c r="CM369" s="30">
        <v>2882</v>
      </c>
      <c r="CN369" s="30">
        <v>279</v>
      </c>
      <c r="CO369" s="30">
        <v>691</v>
      </c>
      <c r="CP369" s="30">
        <v>3852</v>
      </c>
      <c r="CQ369" s="1">
        <f t="shared" si="164"/>
        <v>0.2724186704384724</v>
      </c>
      <c r="CR369" s="47">
        <v>31102</v>
      </c>
      <c r="CS369" s="55">
        <f t="shared" si="157"/>
        <v>2.1995756718528994</v>
      </c>
      <c r="CT369" s="59">
        <v>6650</v>
      </c>
      <c r="CU369" s="29" t="s">
        <v>25</v>
      </c>
      <c r="CV369" s="29" t="s">
        <v>25</v>
      </c>
      <c r="CW369" s="29" t="s">
        <v>25</v>
      </c>
      <c r="CX369" s="35">
        <v>0</v>
      </c>
      <c r="CY369" s="49">
        <v>0</v>
      </c>
      <c r="CZ369" s="35">
        <v>1</v>
      </c>
      <c r="DA369" s="35">
        <v>2.25</v>
      </c>
      <c r="DB369" s="35">
        <v>3.25</v>
      </c>
      <c r="DC369" s="49">
        <f t="shared" si="158"/>
        <v>4350.7692307692305</v>
      </c>
      <c r="DD369" s="30">
        <v>114</v>
      </c>
      <c r="DE369" s="31">
        <v>30405</v>
      </c>
      <c r="DF369" s="35">
        <v>40</v>
      </c>
      <c r="DG369" s="29" t="s">
        <v>25</v>
      </c>
      <c r="DH369" s="29" t="s">
        <v>25</v>
      </c>
      <c r="DI369" s="29" t="s">
        <v>25</v>
      </c>
      <c r="DJ369" s="47">
        <v>54</v>
      </c>
      <c r="DK369" s="47">
        <v>102</v>
      </c>
      <c r="DL369" s="47">
        <v>14</v>
      </c>
      <c r="DM369" s="47">
        <v>6545</v>
      </c>
      <c r="DN369" s="47">
        <v>7</v>
      </c>
      <c r="DO369" s="47">
        <v>6615</v>
      </c>
      <c r="DP369" s="29" t="s">
        <v>2028</v>
      </c>
      <c r="DQ369" s="47">
        <v>0</v>
      </c>
      <c r="DR369" s="47">
        <v>2108</v>
      </c>
      <c r="DS369" s="30">
        <v>52</v>
      </c>
      <c r="DT369" s="30">
        <v>43</v>
      </c>
      <c r="DU369" s="30">
        <v>43</v>
      </c>
      <c r="DV369" s="30">
        <v>43</v>
      </c>
      <c r="DW369">
        <f>VLOOKUP(EC369,branch!$I$4:$K$77,3,0)</f>
        <v>1378</v>
      </c>
      <c r="DX369" s="2">
        <f t="shared" si="159"/>
        <v>3486</v>
      </c>
      <c r="DY369" s="33" t="s">
        <v>2185</v>
      </c>
      <c r="DZ369" s="33" t="s">
        <v>979</v>
      </c>
      <c r="EA369" s="33" t="s">
        <v>2031</v>
      </c>
      <c r="EB369" s="33" t="s">
        <v>2027</v>
      </c>
      <c r="EC369" s="36">
        <v>284</v>
      </c>
      <c r="ED369" s="29" t="s">
        <v>978</v>
      </c>
      <c r="EE369" s="29" t="s">
        <v>977</v>
      </c>
      <c r="EF369" s="37">
        <v>41640</v>
      </c>
      <c r="EG369" s="37">
        <v>42004</v>
      </c>
      <c r="EH369" s="29" t="s">
        <v>978</v>
      </c>
      <c r="EI369" s="55">
        <f t="shared" si="160"/>
        <v>0.29016973125884016</v>
      </c>
      <c r="EJ369" s="54">
        <f t="shared" si="161"/>
        <v>0</v>
      </c>
      <c r="EK369" s="55">
        <f t="shared" si="162"/>
        <v>1.1077086280056576</v>
      </c>
      <c r="EL369" s="54">
        <f t="shared" si="163"/>
        <v>0</v>
      </c>
    </row>
    <row r="370" spans="1:142" ht="28.8" x14ac:dyDescent="0.3">
      <c r="A370" s="29" t="s">
        <v>1579</v>
      </c>
      <c r="B370" s="29"/>
      <c r="C370" s="30">
        <v>4661</v>
      </c>
      <c r="D370" s="30">
        <v>0</v>
      </c>
      <c r="E370" s="30">
        <v>0</v>
      </c>
      <c r="F370" s="30">
        <v>10000</v>
      </c>
      <c r="H370" s="2">
        <f t="shared" si="139"/>
        <v>10000</v>
      </c>
      <c r="I370" s="1">
        <f t="shared" si="138"/>
        <v>2.1454623471358079</v>
      </c>
      <c r="J370" s="31">
        <v>25766</v>
      </c>
      <c r="K370" s="31">
        <v>930</v>
      </c>
      <c r="L370" s="31">
        <v>26696</v>
      </c>
      <c r="M370" s="45">
        <f t="shared" si="140"/>
        <v>5.727526281913752</v>
      </c>
      <c r="N370" s="31">
        <v>7007</v>
      </c>
      <c r="O370" s="31">
        <v>0</v>
      </c>
      <c r="P370" s="31">
        <v>1325</v>
      </c>
      <c r="Q370" s="31">
        <v>8332</v>
      </c>
      <c r="R370" s="45">
        <f t="shared" si="141"/>
        <v>1.7875992276335551</v>
      </c>
      <c r="S370" s="31">
        <v>25238</v>
      </c>
      <c r="T370" s="31">
        <v>60266</v>
      </c>
      <c r="U370" s="31">
        <v>0</v>
      </c>
      <c r="V370" s="31">
        <v>60266</v>
      </c>
      <c r="W370" s="45">
        <f t="shared" si="142"/>
        <v>12.929843381248659</v>
      </c>
      <c r="X370" s="4">
        <f t="shared" si="143"/>
        <v>0.44296950187502077</v>
      </c>
      <c r="Y370" s="4">
        <f t="shared" si="144"/>
        <v>0.1382537417449308</v>
      </c>
      <c r="Z370" s="4">
        <f t="shared" si="145"/>
        <v>0.41877675638004846</v>
      </c>
      <c r="AA370" s="4">
        <f t="shared" si="146"/>
        <v>0</v>
      </c>
      <c r="AB370" s="31">
        <v>0</v>
      </c>
      <c r="AC370" s="31">
        <v>8332</v>
      </c>
      <c r="AD370" s="31">
        <v>60266</v>
      </c>
      <c r="AE370" s="31">
        <v>27000</v>
      </c>
      <c r="AF370" s="31">
        <v>25000</v>
      </c>
      <c r="AG370" s="31">
        <v>0</v>
      </c>
      <c r="AH370" s="31">
        <v>2500</v>
      </c>
      <c r="AI370" s="31">
        <v>27500</v>
      </c>
      <c r="AJ370" s="45">
        <f t="shared" si="147"/>
        <v>5.9000214546234711</v>
      </c>
      <c r="AK370" s="31">
        <v>0</v>
      </c>
      <c r="AL370" s="31">
        <v>0</v>
      </c>
      <c r="AM370" s="31">
        <v>0</v>
      </c>
      <c r="AN370" s="31">
        <v>0</v>
      </c>
      <c r="AO370" s="31">
        <v>0</v>
      </c>
      <c r="AP370" s="31">
        <v>35799</v>
      </c>
      <c r="AQ370" s="31">
        <v>35799</v>
      </c>
      <c r="AR370" s="31">
        <v>63299</v>
      </c>
      <c r="AS370" s="46">
        <f t="shared" si="148"/>
        <v>13.580562111134949</v>
      </c>
      <c r="AT370" s="31">
        <v>0</v>
      </c>
      <c r="AU370" s="31">
        <v>0</v>
      </c>
      <c r="AV370" s="31">
        <v>0</v>
      </c>
      <c r="AW370" s="31">
        <v>0</v>
      </c>
      <c r="AX370" s="31">
        <v>0</v>
      </c>
      <c r="AY370" s="31">
        <v>0</v>
      </c>
      <c r="AZ370" s="31">
        <v>0</v>
      </c>
      <c r="BA370" s="31">
        <v>0</v>
      </c>
      <c r="BB370" s="31">
        <v>0</v>
      </c>
      <c r="BC370" s="33" t="s">
        <v>25</v>
      </c>
      <c r="BD370" s="47">
        <v>22576</v>
      </c>
      <c r="BE370" s="47">
        <v>24262</v>
      </c>
      <c r="BF370" s="45">
        <f t="shared" si="149"/>
        <v>5.2053207466208971</v>
      </c>
      <c r="BG370" s="30">
        <v>119</v>
      </c>
      <c r="BH370" s="30">
        <v>119</v>
      </c>
      <c r="BI370" s="30">
        <v>0</v>
      </c>
      <c r="BJ370" s="30">
        <v>1278</v>
      </c>
      <c r="BK370" s="30">
        <v>1327</v>
      </c>
      <c r="BL370" s="30">
        <v>0</v>
      </c>
      <c r="BM370" s="30">
        <v>0</v>
      </c>
      <c r="BN370" s="30">
        <v>0</v>
      </c>
      <c r="BO370" s="30">
        <v>51</v>
      </c>
      <c r="BP370" s="30">
        <v>0</v>
      </c>
      <c r="BQ370" s="30">
        <v>51</v>
      </c>
      <c r="BR370" s="47">
        <v>23973</v>
      </c>
      <c r="BS370" s="47">
        <v>25708</v>
      </c>
      <c r="BT370" s="1">
        <f t="shared" si="150"/>
        <v>5.515554602016735</v>
      </c>
      <c r="BU370" s="30">
        <v>10</v>
      </c>
      <c r="BV370" s="30">
        <v>0</v>
      </c>
      <c r="BW370" s="47">
        <v>253</v>
      </c>
      <c r="BX370" s="52">
        <f t="shared" si="151"/>
        <v>5.4280197382535936E-2</v>
      </c>
      <c r="BY370" s="47">
        <v>6583</v>
      </c>
      <c r="BZ370" s="47">
        <v>0</v>
      </c>
      <c r="CA370" s="47">
        <v>12618</v>
      </c>
      <c r="CB370" s="47">
        <v>0</v>
      </c>
      <c r="CC370" s="47">
        <v>19201</v>
      </c>
      <c r="CD370" s="55">
        <f t="shared" si="152"/>
        <v>4.1195022527354643</v>
      </c>
      <c r="CE370" s="3">
        <f t="shared" si="153"/>
        <v>10972</v>
      </c>
      <c r="CF370" s="55">
        <f t="shared" si="154"/>
        <v>11.241803278688524</v>
      </c>
      <c r="CG370" s="55">
        <f t="shared" si="155"/>
        <v>1.0607701231976134</v>
      </c>
      <c r="CH370" s="55">
        <f t="shared" si="156"/>
        <v>0.74688812820911776</v>
      </c>
      <c r="CI370" s="30">
        <v>33</v>
      </c>
      <c r="CJ370" s="30">
        <v>18</v>
      </c>
      <c r="CK370" s="30">
        <v>0</v>
      </c>
      <c r="CL370" s="30">
        <v>51</v>
      </c>
      <c r="CM370" s="30">
        <v>375</v>
      </c>
      <c r="CN370" s="30">
        <v>76</v>
      </c>
      <c r="CO370" s="30">
        <v>0</v>
      </c>
      <c r="CP370" s="30">
        <v>451</v>
      </c>
      <c r="CQ370" s="1">
        <f t="shared" si="164"/>
        <v>9.6760351855824933E-2</v>
      </c>
      <c r="CR370" s="47">
        <v>18101</v>
      </c>
      <c r="CS370" s="55">
        <f t="shared" si="157"/>
        <v>3.8835013945505255</v>
      </c>
      <c r="CT370" s="59">
        <v>5077</v>
      </c>
      <c r="CU370" s="29" t="s">
        <v>25</v>
      </c>
      <c r="CV370" s="29" t="s">
        <v>25</v>
      </c>
      <c r="CW370" s="29" t="s">
        <v>25</v>
      </c>
      <c r="CX370" s="35">
        <v>0</v>
      </c>
      <c r="CY370" s="49">
        <v>0</v>
      </c>
      <c r="CZ370" s="35">
        <v>1.75</v>
      </c>
      <c r="DA370" s="35">
        <v>0</v>
      </c>
      <c r="DB370" s="35">
        <v>1.75</v>
      </c>
      <c r="DC370" s="49">
        <f t="shared" si="158"/>
        <v>2663.4285714285716</v>
      </c>
      <c r="DD370" s="30">
        <v>2845</v>
      </c>
      <c r="DE370" s="31">
        <v>20000</v>
      </c>
      <c r="DF370" s="35">
        <v>35</v>
      </c>
      <c r="DG370" s="29" t="s">
        <v>25</v>
      </c>
      <c r="DH370" s="29" t="s">
        <v>25</v>
      </c>
      <c r="DI370" s="29" t="s">
        <v>25</v>
      </c>
      <c r="DJ370" s="47">
        <v>101</v>
      </c>
      <c r="DK370" s="47">
        <v>57</v>
      </c>
      <c r="DL370" s="47">
        <v>15</v>
      </c>
      <c r="DM370" s="47">
        <v>3765</v>
      </c>
      <c r="DN370" s="47">
        <v>52</v>
      </c>
      <c r="DO370" s="47">
        <v>1460</v>
      </c>
      <c r="DP370" s="29" t="s">
        <v>2028</v>
      </c>
      <c r="DQ370" s="47">
        <v>0</v>
      </c>
      <c r="DR370" s="47">
        <v>1708</v>
      </c>
      <c r="DS370" s="30">
        <v>52</v>
      </c>
      <c r="DT370" s="30">
        <v>35</v>
      </c>
      <c r="DU370" s="30">
        <v>35</v>
      </c>
      <c r="DV370" s="30">
        <v>35</v>
      </c>
      <c r="DX370" s="2">
        <f t="shared" si="159"/>
        <v>1708</v>
      </c>
      <c r="DY370" s="33" t="s">
        <v>2185</v>
      </c>
      <c r="DZ370" s="33" t="s">
        <v>1580</v>
      </c>
      <c r="EA370" s="33" t="s">
        <v>2032</v>
      </c>
      <c r="EB370" s="33" t="s">
        <v>2027</v>
      </c>
      <c r="EC370" s="36">
        <v>519</v>
      </c>
      <c r="ED370" s="29" t="s">
        <v>1578</v>
      </c>
      <c r="EE370" s="29" t="s">
        <v>118</v>
      </c>
      <c r="EF370" s="37">
        <v>41640</v>
      </c>
      <c r="EG370" s="37">
        <v>42004</v>
      </c>
      <c r="EH370" s="29" t="s">
        <v>1578</v>
      </c>
      <c r="EI370" s="55">
        <f t="shared" si="160"/>
        <v>1.4123578631195022</v>
      </c>
      <c r="EJ370" s="54">
        <f t="shared" si="161"/>
        <v>0</v>
      </c>
      <c r="EK370" s="55">
        <f t="shared" si="162"/>
        <v>2.7071443896159622</v>
      </c>
      <c r="EL370" s="54">
        <f t="shared" si="163"/>
        <v>0</v>
      </c>
    </row>
    <row r="371" spans="1:142" ht="43.2" x14ac:dyDescent="0.3">
      <c r="A371" s="29" t="s">
        <v>980</v>
      </c>
      <c r="B371" s="29"/>
      <c r="C371" s="30">
        <v>7452</v>
      </c>
      <c r="D371" s="30">
        <v>0</v>
      </c>
      <c r="E371" s="30">
        <v>0</v>
      </c>
      <c r="F371" s="30">
        <v>2092</v>
      </c>
      <c r="H371" s="2">
        <f t="shared" si="139"/>
        <v>2092</v>
      </c>
      <c r="I371" s="1">
        <f t="shared" si="138"/>
        <v>0.28073000536768655</v>
      </c>
      <c r="J371" s="31">
        <v>16664</v>
      </c>
      <c r="K371" s="31">
        <v>1228</v>
      </c>
      <c r="L371" s="31">
        <v>17892</v>
      </c>
      <c r="M371" s="45">
        <f t="shared" si="140"/>
        <v>2.4009661835748792</v>
      </c>
      <c r="N371" s="31">
        <v>1266</v>
      </c>
      <c r="O371" s="31">
        <v>0</v>
      </c>
      <c r="P371" s="31">
        <v>1956</v>
      </c>
      <c r="Q371" s="31">
        <v>3222</v>
      </c>
      <c r="R371" s="45">
        <f t="shared" si="141"/>
        <v>0.43236714975845408</v>
      </c>
      <c r="S371" s="31">
        <v>27888</v>
      </c>
      <c r="T371" s="31">
        <v>49002</v>
      </c>
      <c r="U371" s="31">
        <v>0</v>
      </c>
      <c r="V371" s="31">
        <v>49002</v>
      </c>
      <c r="W371" s="45">
        <f t="shared" si="142"/>
        <v>6.5756843800322065</v>
      </c>
      <c r="X371" s="4">
        <f t="shared" si="143"/>
        <v>0.36512795396106279</v>
      </c>
      <c r="Y371" s="4">
        <f t="shared" si="144"/>
        <v>6.5752418268642102E-2</v>
      </c>
      <c r="Z371" s="4">
        <f t="shared" si="145"/>
        <v>0.56911962777029512</v>
      </c>
      <c r="AA371" s="4">
        <f t="shared" si="146"/>
        <v>0</v>
      </c>
      <c r="AB371" s="31">
        <v>0</v>
      </c>
      <c r="AC371" s="31">
        <v>3222</v>
      </c>
      <c r="AD371" s="31">
        <v>49002</v>
      </c>
      <c r="AE371" s="31">
        <v>44894</v>
      </c>
      <c r="AF371" s="31">
        <v>43894</v>
      </c>
      <c r="AG371" s="31">
        <v>1000</v>
      </c>
      <c r="AH371" s="31">
        <v>0</v>
      </c>
      <c r="AI371" s="31">
        <v>44894</v>
      </c>
      <c r="AJ371" s="45">
        <f t="shared" si="147"/>
        <v>6.0244229736983357</v>
      </c>
      <c r="AK371" s="31">
        <v>0</v>
      </c>
      <c r="AL371" s="31">
        <v>0</v>
      </c>
      <c r="AM371" s="31">
        <v>0</v>
      </c>
      <c r="AN371" s="31">
        <v>0</v>
      </c>
      <c r="AO371" s="31">
        <v>0</v>
      </c>
      <c r="AP371" s="31">
        <v>3108</v>
      </c>
      <c r="AQ371" s="31">
        <v>3108</v>
      </c>
      <c r="AR371" s="31">
        <v>48002</v>
      </c>
      <c r="AS371" s="46">
        <f t="shared" si="148"/>
        <v>6.4414922168545354</v>
      </c>
      <c r="AT371" s="31">
        <v>0</v>
      </c>
      <c r="AU371" s="31">
        <v>0</v>
      </c>
      <c r="AV371" s="31">
        <v>0</v>
      </c>
      <c r="AW371" s="31">
        <v>0</v>
      </c>
      <c r="AX371" s="31">
        <v>0</v>
      </c>
      <c r="AY371" s="31">
        <v>0</v>
      </c>
      <c r="AZ371" s="31">
        <v>0</v>
      </c>
      <c r="BA371" s="31">
        <v>0</v>
      </c>
      <c r="BB371" s="31">
        <v>0</v>
      </c>
      <c r="BC371" s="33" t="s">
        <v>25</v>
      </c>
      <c r="BD371" s="47">
        <v>12397</v>
      </c>
      <c r="BE371" s="47">
        <v>12793</v>
      </c>
      <c r="BF371" s="45">
        <f t="shared" si="149"/>
        <v>1.7167203435319378</v>
      </c>
      <c r="BG371" s="30">
        <v>393</v>
      </c>
      <c r="BH371" s="30">
        <v>1492</v>
      </c>
      <c r="BI371" s="30">
        <v>0</v>
      </c>
      <c r="BJ371" s="30">
        <v>1398</v>
      </c>
      <c r="BK371" s="30">
        <v>1408</v>
      </c>
      <c r="BL371" s="30">
        <v>0</v>
      </c>
      <c r="BM371" s="30">
        <v>0</v>
      </c>
      <c r="BN371" s="30">
        <v>0</v>
      </c>
      <c r="BO371" s="30">
        <v>51</v>
      </c>
      <c r="BP371" s="30">
        <v>0</v>
      </c>
      <c r="BQ371" s="30">
        <v>51</v>
      </c>
      <c r="BR371" s="47">
        <v>14188</v>
      </c>
      <c r="BS371" s="47">
        <v>15693</v>
      </c>
      <c r="BT371" s="1">
        <f t="shared" si="150"/>
        <v>2.1058776167471818</v>
      </c>
      <c r="BU371" s="30">
        <v>5</v>
      </c>
      <c r="BV371" s="30">
        <v>0</v>
      </c>
      <c r="BW371" s="47">
        <v>1060</v>
      </c>
      <c r="BX371" s="52">
        <f t="shared" si="151"/>
        <v>0.14224369296833064</v>
      </c>
      <c r="BY371" s="47">
        <v>3373</v>
      </c>
      <c r="BZ371" s="47">
        <v>0</v>
      </c>
      <c r="CA371" s="47">
        <v>2894</v>
      </c>
      <c r="CB371" s="47">
        <v>0</v>
      </c>
      <c r="CC371" s="47">
        <v>6267</v>
      </c>
      <c r="CD371" s="55">
        <f t="shared" si="152"/>
        <v>0.84098228663446051</v>
      </c>
      <c r="CE371" s="3">
        <f t="shared" si="153"/>
        <v>10027.200000000001</v>
      </c>
      <c r="CF371" s="55">
        <f t="shared" si="154"/>
        <v>5.0951219512195118</v>
      </c>
      <c r="CG371" s="55">
        <f t="shared" si="155"/>
        <v>0.96341275941583393</v>
      </c>
      <c r="CH371" s="55">
        <f t="shared" si="156"/>
        <v>0.39935002867520553</v>
      </c>
      <c r="CI371" s="30">
        <v>3</v>
      </c>
      <c r="CJ371" s="30">
        <v>3</v>
      </c>
      <c r="CK371" s="30">
        <v>0</v>
      </c>
      <c r="CL371" s="30">
        <v>6</v>
      </c>
      <c r="CM371" s="30">
        <v>49</v>
      </c>
      <c r="CN371" s="30">
        <v>49</v>
      </c>
      <c r="CO371" s="30">
        <v>0</v>
      </c>
      <c r="CP371" s="30">
        <v>98</v>
      </c>
      <c r="CQ371" s="1">
        <f t="shared" si="164"/>
        <v>1.3150831991411701E-2</v>
      </c>
      <c r="CR371" s="47">
        <v>6505</v>
      </c>
      <c r="CS371" s="55">
        <f t="shared" si="157"/>
        <v>0.8729200214707461</v>
      </c>
      <c r="CT371" s="59">
        <v>4716</v>
      </c>
      <c r="CU371" s="29" t="s">
        <v>25</v>
      </c>
      <c r="CV371" s="29" t="s">
        <v>25</v>
      </c>
      <c r="CW371" s="29" t="s">
        <v>25</v>
      </c>
      <c r="CX371" s="35">
        <v>0</v>
      </c>
      <c r="CY371" s="49">
        <v>0</v>
      </c>
      <c r="CZ371" s="35">
        <v>0.625</v>
      </c>
      <c r="DA371" s="35">
        <v>0</v>
      </c>
      <c r="DB371" s="35">
        <v>0.625</v>
      </c>
      <c r="DC371" s="49">
        <f t="shared" si="158"/>
        <v>11923.2</v>
      </c>
      <c r="DD371" s="30">
        <v>44</v>
      </c>
      <c r="DE371" s="31">
        <v>16664</v>
      </c>
      <c r="DF371" s="35">
        <v>25</v>
      </c>
      <c r="DG371" s="29" t="s">
        <v>25</v>
      </c>
      <c r="DH371" s="29" t="s">
        <v>26</v>
      </c>
      <c r="DI371" s="29" t="s">
        <v>26</v>
      </c>
      <c r="DJ371" s="47">
        <v>0</v>
      </c>
      <c r="DK371" s="47">
        <v>0</v>
      </c>
      <c r="DL371" s="47">
        <v>6</v>
      </c>
      <c r="DM371" s="47">
        <v>1317</v>
      </c>
      <c r="DN371" s="47">
        <v>1</v>
      </c>
      <c r="DO371" s="47">
        <v>420</v>
      </c>
      <c r="DP371" s="29" t="s">
        <v>83</v>
      </c>
      <c r="DQ371" s="47">
        <v>0</v>
      </c>
      <c r="DR371" s="47">
        <v>1230</v>
      </c>
      <c r="DS371" s="30">
        <v>52</v>
      </c>
      <c r="DT371" s="30">
        <v>25</v>
      </c>
      <c r="DU371" s="30">
        <v>25</v>
      </c>
      <c r="DV371" s="30">
        <v>25</v>
      </c>
      <c r="DX371" s="2">
        <f t="shared" si="159"/>
        <v>1230</v>
      </c>
      <c r="DY371" s="33" t="s">
        <v>2180</v>
      </c>
      <c r="DZ371" s="33" t="s">
        <v>982</v>
      </c>
      <c r="EA371" s="33" t="s">
        <v>2030</v>
      </c>
      <c r="EB371" s="33" t="s">
        <v>2027</v>
      </c>
      <c r="EC371" s="36">
        <v>285</v>
      </c>
      <c r="ED371" s="29" t="s">
        <v>981</v>
      </c>
      <c r="EE371" s="29" t="s">
        <v>588</v>
      </c>
      <c r="EF371" s="37">
        <v>41548</v>
      </c>
      <c r="EG371" s="37">
        <v>41912</v>
      </c>
      <c r="EH371" s="29" t="s">
        <v>981</v>
      </c>
      <c r="EI371" s="55">
        <f t="shared" si="160"/>
        <v>0.45263016639828235</v>
      </c>
      <c r="EJ371" s="54">
        <f t="shared" si="161"/>
        <v>0</v>
      </c>
      <c r="EK371" s="55">
        <f t="shared" si="162"/>
        <v>0.38835212023617821</v>
      </c>
      <c r="EL371" s="54">
        <f t="shared" si="163"/>
        <v>0</v>
      </c>
    </row>
    <row r="372" spans="1:142" ht="28.8" x14ac:dyDescent="0.3">
      <c r="A372" s="29" t="s">
        <v>983</v>
      </c>
      <c r="B372" s="29"/>
      <c r="C372" s="30">
        <v>2988</v>
      </c>
      <c r="D372" s="30">
        <v>0</v>
      </c>
      <c r="E372" s="30">
        <v>0</v>
      </c>
      <c r="F372" s="30">
        <v>4980</v>
      </c>
      <c r="H372" s="2">
        <f t="shared" si="139"/>
        <v>4980</v>
      </c>
      <c r="I372" s="1">
        <f t="shared" si="138"/>
        <v>1.6666666666666667</v>
      </c>
      <c r="J372" s="31">
        <v>24491</v>
      </c>
      <c r="K372" s="31">
        <v>1939</v>
      </c>
      <c r="L372" s="31">
        <v>26430</v>
      </c>
      <c r="M372" s="45">
        <f t="shared" si="140"/>
        <v>8.8453815261044184</v>
      </c>
      <c r="N372" s="31">
        <v>5224</v>
      </c>
      <c r="O372" s="31">
        <v>1500</v>
      </c>
      <c r="P372" s="31">
        <v>159</v>
      </c>
      <c r="Q372" s="31">
        <v>6883</v>
      </c>
      <c r="R372" s="45">
        <f t="shared" si="141"/>
        <v>2.3035475234270417</v>
      </c>
      <c r="S372" s="31">
        <v>20060</v>
      </c>
      <c r="T372" s="31">
        <v>53373</v>
      </c>
      <c r="U372" s="31">
        <v>0</v>
      </c>
      <c r="V372" s="31">
        <v>53373</v>
      </c>
      <c r="W372" s="45">
        <f t="shared" si="142"/>
        <v>17.862449799196789</v>
      </c>
      <c r="X372" s="4">
        <f t="shared" si="143"/>
        <v>0.49519419931426001</v>
      </c>
      <c r="Y372" s="4">
        <f t="shared" si="144"/>
        <v>0.12896033575028573</v>
      </c>
      <c r="Z372" s="4">
        <f t="shared" si="145"/>
        <v>0.37584546493545423</v>
      </c>
      <c r="AA372" s="4">
        <f t="shared" si="146"/>
        <v>0</v>
      </c>
      <c r="AB372" s="31">
        <v>0</v>
      </c>
      <c r="AC372" s="31">
        <v>6883</v>
      </c>
      <c r="AD372" s="31">
        <v>53373</v>
      </c>
      <c r="AE372" s="31">
        <v>50152</v>
      </c>
      <c r="AF372" s="31">
        <v>50152</v>
      </c>
      <c r="AG372" s="31">
        <v>0</v>
      </c>
      <c r="AH372" s="31">
        <v>0</v>
      </c>
      <c r="AI372" s="31">
        <v>50152</v>
      </c>
      <c r="AJ372" s="45">
        <f t="shared" si="147"/>
        <v>16.784471218206157</v>
      </c>
      <c r="AK372" s="31">
        <v>0</v>
      </c>
      <c r="AL372" s="31">
        <v>0</v>
      </c>
      <c r="AM372" s="31">
        <v>0</v>
      </c>
      <c r="AN372" s="31">
        <v>0</v>
      </c>
      <c r="AO372" s="31">
        <v>0</v>
      </c>
      <c r="AP372" s="31">
        <v>3221</v>
      </c>
      <c r="AQ372" s="31">
        <v>3221</v>
      </c>
      <c r="AR372" s="31">
        <v>53373</v>
      </c>
      <c r="AS372" s="46">
        <f t="shared" si="148"/>
        <v>17.862449799196789</v>
      </c>
      <c r="AT372" s="31">
        <v>0</v>
      </c>
      <c r="AU372" s="31">
        <v>0</v>
      </c>
      <c r="AV372" s="31">
        <v>0</v>
      </c>
      <c r="AW372" s="31">
        <v>0</v>
      </c>
      <c r="AX372" s="31">
        <v>0</v>
      </c>
      <c r="AY372" s="31">
        <v>0</v>
      </c>
      <c r="AZ372" s="31">
        <v>0</v>
      </c>
      <c r="BA372" s="31">
        <v>0</v>
      </c>
      <c r="BB372" s="31">
        <v>0</v>
      </c>
      <c r="BC372" s="33" t="s">
        <v>25</v>
      </c>
      <c r="BD372" s="47">
        <v>18791</v>
      </c>
      <c r="BE372" s="47">
        <v>19128</v>
      </c>
      <c r="BF372" s="45">
        <f t="shared" si="149"/>
        <v>6.4016064257028109</v>
      </c>
      <c r="BG372" s="30">
        <v>749</v>
      </c>
      <c r="BH372" s="30">
        <v>755</v>
      </c>
      <c r="BI372" s="30">
        <v>0</v>
      </c>
      <c r="BJ372" s="30">
        <v>2112</v>
      </c>
      <c r="BK372" s="30">
        <v>2121</v>
      </c>
      <c r="BL372" s="30">
        <v>0</v>
      </c>
      <c r="BM372" s="30">
        <v>1038</v>
      </c>
      <c r="BN372" s="30">
        <v>2</v>
      </c>
      <c r="BO372" s="30">
        <v>51</v>
      </c>
      <c r="BP372" s="30">
        <v>0</v>
      </c>
      <c r="BQ372" s="30">
        <v>53</v>
      </c>
      <c r="BR372" s="47">
        <v>21652</v>
      </c>
      <c r="BS372" s="47">
        <v>23044</v>
      </c>
      <c r="BT372" s="1">
        <f t="shared" si="150"/>
        <v>7.7121820615796519</v>
      </c>
      <c r="BU372" s="30">
        <v>14</v>
      </c>
      <c r="BV372" s="30">
        <v>0</v>
      </c>
      <c r="BW372" s="47">
        <v>1302</v>
      </c>
      <c r="BX372" s="52">
        <f t="shared" si="151"/>
        <v>0.43574297188755018</v>
      </c>
      <c r="BY372" s="47">
        <v>2135</v>
      </c>
      <c r="BZ372" s="47">
        <v>44</v>
      </c>
      <c r="CA372" s="47">
        <v>22486</v>
      </c>
      <c r="CB372" s="47">
        <v>613</v>
      </c>
      <c r="CC372" s="47">
        <v>25278</v>
      </c>
      <c r="CD372" s="55">
        <f t="shared" si="152"/>
        <v>8.4598393574297184</v>
      </c>
      <c r="CE372" s="3">
        <f t="shared" si="153"/>
        <v>17433.103448275862</v>
      </c>
      <c r="CF372" s="55">
        <f t="shared" si="154"/>
        <v>11.801120448179272</v>
      </c>
      <c r="CG372" s="55">
        <f t="shared" si="155"/>
        <v>2.2853268239761322</v>
      </c>
      <c r="CH372" s="55">
        <f t="shared" si="156"/>
        <v>1.0684342996007639</v>
      </c>
      <c r="CI372" s="30">
        <v>54</v>
      </c>
      <c r="CJ372" s="30">
        <v>0</v>
      </c>
      <c r="CK372" s="30">
        <v>4</v>
      </c>
      <c r="CL372" s="30">
        <v>58</v>
      </c>
      <c r="CM372" s="30">
        <v>661</v>
      </c>
      <c r="CN372" s="30">
        <v>0</v>
      </c>
      <c r="CO372" s="30">
        <v>16</v>
      </c>
      <c r="CP372" s="30">
        <v>677</v>
      </c>
      <c r="CQ372" s="1">
        <f t="shared" si="164"/>
        <v>0.22657295850066933</v>
      </c>
      <c r="CR372" s="47">
        <v>11061</v>
      </c>
      <c r="CS372" s="55">
        <f t="shared" si="157"/>
        <v>3.7018072289156625</v>
      </c>
      <c r="CT372" s="59">
        <v>4650</v>
      </c>
      <c r="CU372" s="29" t="s">
        <v>25</v>
      </c>
      <c r="CV372" s="29" t="s">
        <v>25</v>
      </c>
      <c r="CW372" s="29" t="s">
        <v>25</v>
      </c>
      <c r="CX372" s="35">
        <v>0</v>
      </c>
      <c r="CY372" s="49">
        <v>0</v>
      </c>
      <c r="CZ372" s="35">
        <v>0.72499999999999998</v>
      </c>
      <c r="DA372" s="35">
        <v>0.72499999999999998</v>
      </c>
      <c r="DB372" s="35">
        <v>1.45</v>
      </c>
      <c r="DC372" s="49">
        <f t="shared" si="158"/>
        <v>2060.6896551724139</v>
      </c>
      <c r="DD372" s="30">
        <v>99</v>
      </c>
      <c r="DE372" s="31">
        <v>12631</v>
      </c>
      <c r="DF372" s="35">
        <v>29</v>
      </c>
      <c r="DG372" s="29" t="s">
        <v>25</v>
      </c>
      <c r="DH372" s="29" t="s">
        <v>25</v>
      </c>
      <c r="DI372" s="29" t="s">
        <v>25</v>
      </c>
      <c r="DJ372" s="47">
        <v>0</v>
      </c>
      <c r="DK372" s="47">
        <v>2</v>
      </c>
      <c r="DL372" s="47">
        <v>6</v>
      </c>
      <c r="DM372" s="47">
        <v>2402</v>
      </c>
      <c r="DN372" s="47">
        <v>10</v>
      </c>
      <c r="DO372" s="47">
        <v>37</v>
      </c>
      <c r="DP372" s="29" t="s">
        <v>2028</v>
      </c>
      <c r="DQ372" s="47">
        <v>0</v>
      </c>
      <c r="DR372" s="47">
        <v>2142</v>
      </c>
      <c r="DS372" s="30">
        <v>52</v>
      </c>
      <c r="DT372" s="30">
        <v>43</v>
      </c>
      <c r="DU372" s="30">
        <v>43</v>
      </c>
      <c r="DV372" s="30">
        <v>43</v>
      </c>
      <c r="DX372" s="2">
        <f t="shared" si="159"/>
        <v>2142</v>
      </c>
      <c r="DY372" s="33" t="s">
        <v>2181</v>
      </c>
      <c r="DZ372" s="33" t="s">
        <v>985</v>
      </c>
      <c r="EA372" s="33" t="s">
        <v>2030</v>
      </c>
      <c r="EB372" s="33" t="s">
        <v>2027</v>
      </c>
      <c r="EC372" s="36">
        <v>286</v>
      </c>
      <c r="ED372" s="29" t="s">
        <v>984</v>
      </c>
      <c r="EE372" s="29" t="s">
        <v>188</v>
      </c>
      <c r="EF372" s="37">
        <v>41548</v>
      </c>
      <c r="EG372" s="37">
        <v>41912</v>
      </c>
      <c r="EH372" s="29" t="s">
        <v>984</v>
      </c>
      <c r="EI372" s="55">
        <f t="shared" si="160"/>
        <v>0.71452476572958501</v>
      </c>
      <c r="EJ372" s="54">
        <f t="shared" si="161"/>
        <v>1.4725568942436412E-2</v>
      </c>
      <c r="EK372" s="55">
        <f t="shared" si="162"/>
        <v>7.525435073627845</v>
      </c>
      <c r="EL372" s="54">
        <f t="shared" si="163"/>
        <v>0.20515394912985274</v>
      </c>
    </row>
    <row r="373" spans="1:142" ht="43.2" x14ac:dyDescent="0.3">
      <c r="A373" s="29" t="s">
        <v>2062</v>
      </c>
      <c r="B373" s="29"/>
      <c r="C373" s="30">
        <v>798</v>
      </c>
      <c r="D373" s="30">
        <v>0</v>
      </c>
      <c r="E373" s="30">
        <v>0</v>
      </c>
      <c r="F373" s="30">
        <v>1200</v>
      </c>
      <c r="H373" s="2">
        <f t="shared" si="139"/>
        <v>1200</v>
      </c>
      <c r="I373" s="1">
        <f t="shared" si="138"/>
        <v>1.5037593984962405</v>
      </c>
      <c r="J373" s="31">
        <v>9895</v>
      </c>
      <c r="K373" s="31">
        <v>100</v>
      </c>
      <c r="L373" s="31">
        <v>9995</v>
      </c>
      <c r="M373" s="45">
        <f t="shared" si="140"/>
        <v>12.525062656641603</v>
      </c>
      <c r="N373" s="31">
        <v>2800</v>
      </c>
      <c r="O373" s="31">
        <v>475</v>
      </c>
      <c r="P373" s="31">
        <v>300</v>
      </c>
      <c r="Q373" s="31">
        <v>3575</v>
      </c>
      <c r="R373" s="45">
        <f t="shared" si="141"/>
        <v>4.4799498746867163</v>
      </c>
      <c r="S373" s="31">
        <v>225</v>
      </c>
      <c r="T373" s="31">
        <v>13795</v>
      </c>
      <c r="U373" s="31">
        <v>900</v>
      </c>
      <c r="V373" s="31">
        <v>14695</v>
      </c>
      <c r="W373" s="45">
        <f t="shared" si="142"/>
        <v>18.414786967418546</v>
      </c>
      <c r="X373" s="4">
        <f t="shared" si="143"/>
        <v>0.68016332085743447</v>
      </c>
      <c r="Y373" s="4">
        <f t="shared" si="144"/>
        <v>0.24328002722014291</v>
      </c>
      <c r="Z373" s="4">
        <f t="shared" si="145"/>
        <v>1.5311330384484519E-2</v>
      </c>
      <c r="AA373" s="4">
        <f t="shared" si="146"/>
        <v>6.1245321537938074E-2</v>
      </c>
      <c r="AB373" s="31">
        <v>0</v>
      </c>
      <c r="AC373" s="31">
        <v>1500</v>
      </c>
      <c r="AD373" s="31">
        <v>11064</v>
      </c>
      <c r="AE373" s="31">
        <v>10900</v>
      </c>
      <c r="AF373" s="31">
        <v>10000</v>
      </c>
      <c r="AG373" s="31">
        <v>0</v>
      </c>
      <c r="AH373" s="31">
        <v>0</v>
      </c>
      <c r="AI373" s="31">
        <v>10000</v>
      </c>
      <c r="AJ373" s="45">
        <f t="shared" si="147"/>
        <v>12.531328320802006</v>
      </c>
      <c r="AK373" s="31">
        <v>0</v>
      </c>
      <c r="AL373" s="31">
        <v>0</v>
      </c>
      <c r="AM373" s="31">
        <v>0</v>
      </c>
      <c r="AN373" s="31">
        <v>0</v>
      </c>
      <c r="AO373" s="31">
        <v>3000</v>
      </c>
      <c r="AP373" s="31">
        <v>1500</v>
      </c>
      <c r="AQ373" s="31">
        <v>4500</v>
      </c>
      <c r="AR373" s="31">
        <v>14500</v>
      </c>
      <c r="AS373" s="46">
        <f t="shared" si="148"/>
        <v>18.170426065162907</v>
      </c>
      <c r="AT373" s="31">
        <v>0</v>
      </c>
      <c r="AU373" s="31">
        <v>0</v>
      </c>
      <c r="AV373" s="31">
        <v>0</v>
      </c>
      <c r="AW373" s="31">
        <v>0</v>
      </c>
      <c r="AX373" s="31">
        <v>0</v>
      </c>
      <c r="AY373" s="31">
        <v>0</v>
      </c>
      <c r="AZ373" s="31">
        <v>0</v>
      </c>
      <c r="BA373" s="31">
        <v>0</v>
      </c>
      <c r="BB373" s="31">
        <v>0</v>
      </c>
      <c r="BC373" s="33" t="s">
        <v>25</v>
      </c>
      <c r="BD373" s="47">
        <v>10044</v>
      </c>
      <c r="BE373" s="47">
        <v>10046</v>
      </c>
      <c r="BF373" s="45">
        <f t="shared" si="149"/>
        <v>12.588972431077694</v>
      </c>
      <c r="BG373" s="30">
        <v>600</v>
      </c>
      <c r="BH373" s="30">
        <v>601</v>
      </c>
      <c r="BI373" s="30">
        <v>0</v>
      </c>
      <c r="BJ373" s="30">
        <v>785</v>
      </c>
      <c r="BK373" s="30">
        <v>789</v>
      </c>
      <c r="BL373" s="30">
        <v>0</v>
      </c>
      <c r="BM373" s="30">
        <v>0</v>
      </c>
      <c r="BN373" s="30">
        <v>0</v>
      </c>
      <c r="BO373" s="30">
        <v>51</v>
      </c>
      <c r="BP373" s="30">
        <v>0</v>
      </c>
      <c r="BQ373" s="30">
        <v>51</v>
      </c>
      <c r="BR373" s="47">
        <v>11429</v>
      </c>
      <c r="BS373" s="47">
        <v>11436</v>
      </c>
      <c r="BT373" s="1">
        <f t="shared" si="150"/>
        <v>14.330827067669173</v>
      </c>
      <c r="BU373" s="30">
        <v>3</v>
      </c>
      <c r="BV373" s="30">
        <v>0</v>
      </c>
      <c r="BW373" s="47">
        <v>5</v>
      </c>
      <c r="BX373" s="52">
        <f t="shared" si="151"/>
        <v>6.2656641604010022E-3</v>
      </c>
      <c r="BY373" s="47">
        <v>1174</v>
      </c>
      <c r="BZ373" s="47">
        <v>0</v>
      </c>
      <c r="CA373" s="47">
        <v>4853</v>
      </c>
      <c r="CB373" s="47">
        <v>0</v>
      </c>
      <c r="CC373" s="47">
        <v>6027</v>
      </c>
      <c r="CD373" s="55">
        <f t="shared" si="152"/>
        <v>7.5526315789473681</v>
      </c>
      <c r="CE373" s="3">
        <f t="shared" si="153"/>
        <v>12054</v>
      </c>
      <c r="CF373" s="55">
        <f t="shared" si="154"/>
        <v>6.3777777777777782</v>
      </c>
      <c r="CG373" s="55">
        <f t="shared" si="155"/>
        <v>0.3828125</v>
      </c>
      <c r="CH373" s="55">
        <f t="shared" si="156"/>
        <v>0.52701993704092343</v>
      </c>
      <c r="CI373" s="30">
        <v>1</v>
      </c>
      <c r="CJ373" s="30">
        <v>0</v>
      </c>
      <c r="CK373" s="30">
        <v>0</v>
      </c>
      <c r="CL373" s="30">
        <v>1</v>
      </c>
      <c r="CM373" s="30">
        <v>15</v>
      </c>
      <c r="CN373" s="30">
        <v>0</v>
      </c>
      <c r="CO373" s="30">
        <v>0</v>
      </c>
      <c r="CP373" s="30">
        <v>15</v>
      </c>
      <c r="CQ373" s="1">
        <f t="shared" si="164"/>
        <v>1.8796992481203006E-2</v>
      </c>
      <c r="CR373" s="47">
        <v>15744</v>
      </c>
      <c r="CS373" s="55">
        <f t="shared" si="157"/>
        <v>19.729323308270676</v>
      </c>
      <c r="CT373" s="59">
        <v>526</v>
      </c>
      <c r="CU373" s="29" t="s">
        <v>25</v>
      </c>
      <c r="CV373" s="29" t="s">
        <v>25</v>
      </c>
      <c r="CW373" s="29" t="s">
        <v>25</v>
      </c>
      <c r="CX373" s="35">
        <v>0</v>
      </c>
      <c r="CY373" s="49">
        <v>0</v>
      </c>
      <c r="CZ373" s="35">
        <v>0.5</v>
      </c>
      <c r="DA373" s="35">
        <v>0</v>
      </c>
      <c r="DB373" s="35">
        <v>0.5</v>
      </c>
      <c r="DC373" s="49">
        <f t="shared" si="158"/>
        <v>1596</v>
      </c>
      <c r="DD373" s="30">
        <v>0</v>
      </c>
      <c r="DE373" s="31">
        <v>9895</v>
      </c>
      <c r="DF373" s="35">
        <v>20</v>
      </c>
      <c r="DG373" s="29" t="s">
        <v>25</v>
      </c>
      <c r="DH373" s="29" t="s">
        <v>26</v>
      </c>
      <c r="DI373" s="29" t="s">
        <v>26</v>
      </c>
      <c r="DJ373" s="47">
        <v>0</v>
      </c>
      <c r="DK373" s="47">
        <v>0</v>
      </c>
      <c r="DL373" s="47">
        <v>5</v>
      </c>
      <c r="DM373" s="47">
        <v>3540</v>
      </c>
      <c r="DN373" s="47">
        <v>0</v>
      </c>
      <c r="DO373" s="47">
        <v>3540</v>
      </c>
      <c r="DP373" s="29" t="s">
        <v>2028</v>
      </c>
      <c r="DQ373" s="47">
        <v>0</v>
      </c>
      <c r="DR373" s="47">
        <v>945</v>
      </c>
      <c r="DS373" s="30">
        <v>45</v>
      </c>
      <c r="DT373" s="30">
        <v>20</v>
      </c>
      <c r="DU373" s="30">
        <v>20</v>
      </c>
      <c r="DV373" s="30">
        <v>20</v>
      </c>
      <c r="DX373" s="2">
        <f t="shared" si="159"/>
        <v>945</v>
      </c>
      <c r="DY373" s="33" t="s">
        <v>2182</v>
      </c>
      <c r="DZ373" s="33" t="s">
        <v>1710</v>
      </c>
      <c r="EA373" s="33" t="s">
        <v>2032</v>
      </c>
      <c r="EB373" s="33" t="s">
        <v>2027</v>
      </c>
      <c r="EC373" s="36">
        <v>585</v>
      </c>
      <c r="ED373" s="29" t="s">
        <v>1709</v>
      </c>
      <c r="EE373" s="29" t="s">
        <v>123</v>
      </c>
      <c r="EF373" s="37">
        <v>41640</v>
      </c>
      <c r="EG373" s="37">
        <v>42004</v>
      </c>
      <c r="EH373" s="29" t="s">
        <v>1709</v>
      </c>
      <c r="EI373" s="55">
        <f t="shared" si="160"/>
        <v>1.4711779448621554</v>
      </c>
      <c r="EJ373" s="54">
        <f t="shared" si="161"/>
        <v>0</v>
      </c>
      <c r="EK373" s="55">
        <f t="shared" si="162"/>
        <v>6.0814536340852134</v>
      </c>
      <c r="EL373" s="54">
        <f t="shared" si="163"/>
        <v>0</v>
      </c>
    </row>
    <row r="374" spans="1:142" ht="28.8" x14ac:dyDescent="0.3">
      <c r="A374" s="29" t="s">
        <v>987</v>
      </c>
      <c r="B374" s="29"/>
      <c r="C374" s="30">
        <v>67317</v>
      </c>
      <c r="D374" s="30">
        <v>0</v>
      </c>
      <c r="E374" s="30">
        <v>0</v>
      </c>
      <c r="F374" s="30">
        <v>49000</v>
      </c>
      <c r="H374" s="2">
        <f t="shared" si="139"/>
        <v>49000</v>
      </c>
      <c r="I374" s="1">
        <f t="shared" si="138"/>
        <v>0.72789934191957451</v>
      </c>
      <c r="J374" s="31">
        <v>1121951</v>
      </c>
      <c r="K374" s="31">
        <v>383013</v>
      </c>
      <c r="L374" s="31">
        <v>1504964</v>
      </c>
      <c r="M374" s="45">
        <f t="shared" si="140"/>
        <v>22.35637357576838</v>
      </c>
      <c r="N374" s="31">
        <v>174661</v>
      </c>
      <c r="O374" s="31">
        <v>57827</v>
      </c>
      <c r="P374" s="31">
        <v>66283</v>
      </c>
      <c r="Q374" s="31">
        <v>298771</v>
      </c>
      <c r="R374" s="45">
        <f t="shared" si="141"/>
        <v>4.4382696792786369</v>
      </c>
      <c r="S374" s="31">
        <v>78771</v>
      </c>
      <c r="T374" s="31">
        <v>1882506</v>
      </c>
      <c r="U374" s="31">
        <v>0</v>
      </c>
      <c r="V374" s="31">
        <v>1882506</v>
      </c>
      <c r="W374" s="45">
        <f t="shared" si="142"/>
        <v>27.964793439992871</v>
      </c>
      <c r="X374" s="4">
        <f t="shared" si="143"/>
        <v>0.79944711995605855</v>
      </c>
      <c r="Y374" s="4">
        <f t="shared" si="144"/>
        <v>0.15870918870909309</v>
      </c>
      <c r="Z374" s="4">
        <f t="shared" si="145"/>
        <v>4.1843691334848332E-2</v>
      </c>
      <c r="AA374" s="4">
        <f t="shared" si="146"/>
        <v>0</v>
      </c>
      <c r="AB374" s="31">
        <v>9584</v>
      </c>
      <c r="AC374" s="31">
        <v>298771</v>
      </c>
      <c r="AD374" s="31">
        <v>1882506</v>
      </c>
      <c r="AE374" s="31">
        <v>1882506</v>
      </c>
      <c r="AF374" s="31">
        <v>1882506</v>
      </c>
      <c r="AG374" s="31">
        <v>0</v>
      </c>
      <c r="AH374" s="31">
        <v>0</v>
      </c>
      <c r="AI374" s="31">
        <v>1882506</v>
      </c>
      <c r="AJ374" s="45">
        <f t="shared" si="147"/>
        <v>27.964793439992871</v>
      </c>
      <c r="AK374" s="31">
        <v>0</v>
      </c>
      <c r="AL374" s="31">
        <v>0</v>
      </c>
      <c r="AM374" s="31">
        <v>0</v>
      </c>
      <c r="AN374" s="31">
        <v>0</v>
      </c>
      <c r="AO374" s="31">
        <v>0</v>
      </c>
      <c r="AP374" s="31">
        <v>34034</v>
      </c>
      <c r="AQ374" s="31">
        <v>34034</v>
      </c>
      <c r="AR374" s="31">
        <v>1916540</v>
      </c>
      <c r="AS374" s="46">
        <f t="shared" si="148"/>
        <v>28.470371525766151</v>
      </c>
      <c r="AT374" s="31">
        <v>9583</v>
      </c>
      <c r="AU374" s="31">
        <v>0</v>
      </c>
      <c r="AV374" s="31">
        <v>0</v>
      </c>
      <c r="AW374" s="31">
        <v>0</v>
      </c>
      <c r="AX374" s="31">
        <v>0</v>
      </c>
      <c r="AY374" s="31">
        <v>0</v>
      </c>
      <c r="AZ374" s="31">
        <v>0</v>
      </c>
      <c r="BA374" s="31">
        <v>0</v>
      </c>
      <c r="BB374" s="31">
        <v>9583</v>
      </c>
      <c r="BC374" s="33" t="s">
        <v>25</v>
      </c>
      <c r="BD374" s="47">
        <v>130304</v>
      </c>
      <c r="BE374" s="47">
        <v>172178</v>
      </c>
      <c r="BF374" s="45">
        <f t="shared" si="149"/>
        <v>2.5577194467965003</v>
      </c>
      <c r="BG374" s="30">
        <v>10872</v>
      </c>
      <c r="BH374" s="30">
        <v>12182</v>
      </c>
      <c r="BI374" s="30">
        <v>4982</v>
      </c>
      <c r="BJ374" s="30">
        <v>8533</v>
      </c>
      <c r="BK374" s="30">
        <v>12606</v>
      </c>
      <c r="BL374" s="30">
        <v>0</v>
      </c>
      <c r="BM374" s="30">
        <v>13021</v>
      </c>
      <c r="BN374" s="30">
        <v>6</v>
      </c>
      <c r="BO374" s="30">
        <v>51</v>
      </c>
      <c r="BP374" s="30">
        <v>0</v>
      </c>
      <c r="BQ374" s="30">
        <v>57</v>
      </c>
      <c r="BR374" s="47">
        <v>149709</v>
      </c>
      <c r="BS374" s="47">
        <v>214975</v>
      </c>
      <c r="BT374" s="1">
        <f t="shared" si="150"/>
        <v>3.193472674064501</v>
      </c>
      <c r="BU374" s="30">
        <v>162</v>
      </c>
      <c r="BV374" s="30">
        <v>83</v>
      </c>
      <c r="BW374" s="47">
        <v>19639</v>
      </c>
      <c r="BX374" s="52">
        <f t="shared" si="151"/>
        <v>0.29173908522364334</v>
      </c>
      <c r="BY374" s="47">
        <v>332118</v>
      </c>
      <c r="BZ374" s="47">
        <v>67661</v>
      </c>
      <c r="CA374" s="47">
        <v>406631</v>
      </c>
      <c r="CB374" s="47">
        <v>32502</v>
      </c>
      <c r="CC374" s="47">
        <v>838912</v>
      </c>
      <c r="CD374" s="55">
        <f t="shared" si="152"/>
        <v>12.462112096498656</v>
      </c>
      <c r="CE374" s="3">
        <f t="shared" si="153"/>
        <v>30417.403915881074</v>
      </c>
      <c r="CF374" s="55">
        <f t="shared" si="154"/>
        <v>255.7658536585366</v>
      </c>
      <c r="CG374" s="55">
        <f t="shared" si="155"/>
        <v>3.067544244551704</v>
      </c>
      <c r="CH374" s="55">
        <f t="shared" si="156"/>
        <v>3.4364414466798463</v>
      </c>
      <c r="CI374" s="30">
        <v>347</v>
      </c>
      <c r="CJ374" s="30">
        <v>9</v>
      </c>
      <c r="CK374" s="30">
        <v>112</v>
      </c>
      <c r="CL374" s="30">
        <v>468</v>
      </c>
      <c r="CM374" s="30">
        <v>10794</v>
      </c>
      <c r="CN374" s="30">
        <v>421</v>
      </c>
      <c r="CO374" s="30">
        <v>603</v>
      </c>
      <c r="CP374" s="30">
        <v>11818</v>
      </c>
      <c r="CQ374" s="1">
        <f t="shared" si="164"/>
        <v>0.17555743720011291</v>
      </c>
      <c r="CR374" s="47">
        <v>273480</v>
      </c>
      <c r="CS374" s="55">
        <f t="shared" si="157"/>
        <v>4.062569633227862</v>
      </c>
      <c r="CT374" s="59">
        <v>46586</v>
      </c>
      <c r="CU374" s="29" t="s">
        <v>25</v>
      </c>
      <c r="CV374" s="29" t="s">
        <v>25</v>
      </c>
      <c r="CW374" s="29" t="s">
        <v>25</v>
      </c>
      <c r="CX374" s="35">
        <v>8.9499999999999993</v>
      </c>
      <c r="CY374" s="49">
        <f>C374/CX374</f>
        <v>7521.4525139664811</v>
      </c>
      <c r="CZ374" s="35">
        <v>0</v>
      </c>
      <c r="DA374" s="35">
        <v>18.63</v>
      </c>
      <c r="DB374" s="35">
        <v>27.58</v>
      </c>
      <c r="DC374" s="49">
        <f t="shared" si="158"/>
        <v>2440.7904278462656</v>
      </c>
      <c r="DD374" s="30">
        <v>3590</v>
      </c>
      <c r="DE374" s="31">
        <v>95861</v>
      </c>
      <c r="DF374" s="35">
        <v>40</v>
      </c>
      <c r="DG374" s="29" t="s">
        <v>25</v>
      </c>
      <c r="DH374" s="29" t="s">
        <v>25</v>
      </c>
      <c r="DI374" s="29" t="s">
        <v>25</v>
      </c>
      <c r="DJ374" s="47">
        <v>2427</v>
      </c>
      <c r="DK374" s="47">
        <v>868</v>
      </c>
      <c r="DL374" s="47">
        <v>47</v>
      </c>
      <c r="DM374" s="47">
        <v>40364</v>
      </c>
      <c r="DN374" s="47">
        <v>175</v>
      </c>
      <c r="DO374" s="47">
        <v>0</v>
      </c>
      <c r="DP374" s="29" t="s">
        <v>25</v>
      </c>
      <c r="DQ374" s="47">
        <v>385928</v>
      </c>
      <c r="DR374" s="47">
        <v>3280</v>
      </c>
      <c r="DS374" s="30">
        <v>52</v>
      </c>
      <c r="DT374" s="30">
        <v>67</v>
      </c>
      <c r="DU374" s="30">
        <v>67</v>
      </c>
      <c r="DV374" s="30">
        <v>67</v>
      </c>
      <c r="DX374" s="2">
        <f t="shared" si="159"/>
        <v>3280</v>
      </c>
      <c r="DY374" s="33" t="s">
        <v>2181</v>
      </c>
      <c r="DZ374" s="33" t="s">
        <v>988</v>
      </c>
      <c r="EA374" s="33" t="s">
        <v>2030</v>
      </c>
      <c r="EB374" s="33" t="s">
        <v>2027</v>
      </c>
      <c r="EC374" s="36">
        <v>287</v>
      </c>
      <c r="ED374" s="29" t="s">
        <v>986</v>
      </c>
      <c r="EE374" s="29" t="s">
        <v>91</v>
      </c>
      <c r="EF374" s="37">
        <v>41548</v>
      </c>
      <c r="EG374" s="37">
        <v>41912</v>
      </c>
      <c r="EH374" s="29" t="s">
        <v>986</v>
      </c>
      <c r="EI374" s="55">
        <f t="shared" si="160"/>
        <v>4.9336423191764336</v>
      </c>
      <c r="EJ374" s="54">
        <f t="shared" si="161"/>
        <v>1.0051101504820477</v>
      </c>
      <c r="EK374" s="55">
        <f t="shared" si="162"/>
        <v>6.0405395368183372</v>
      </c>
      <c r="EL374" s="54">
        <f t="shared" si="163"/>
        <v>0.48282009002183696</v>
      </c>
    </row>
    <row r="375" spans="1:142" ht="28.8" x14ac:dyDescent="0.3">
      <c r="A375" s="29" t="s">
        <v>989</v>
      </c>
      <c r="B375" s="29"/>
      <c r="C375" s="30">
        <v>3300</v>
      </c>
      <c r="D375" s="30">
        <v>0</v>
      </c>
      <c r="E375" s="30">
        <v>0</v>
      </c>
      <c r="F375" s="30">
        <v>5128</v>
      </c>
      <c r="H375" s="2">
        <f t="shared" si="139"/>
        <v>5128</v>
      </c>
      <c r="I375" s="1">
        <f t="shared" si="138"/>
        <v>1.553939393939394</v>
      </c>
      <c r="J375" s="31">
        <v>33463</v>
      </c>
      <c r="K375" s="31">
        <v>5030</v>
      </c>
      <c r="L375" s="31">
        <v>38493</v>
      </c>
      <c r="M375" s="45">
        <f t="shared" si="140"/>
        <v>11.664545454545454</v>
      </c>
      <c r="N375" s="31">
        <v>9871</v>
      </c>
      <c r="O375" s="31">
        <v>1015</v>
      </c>
      <c r="P375" s="31">
        <v>418</v>
      </c>
      <c r="Q375" s="31">
        <v>11304</v>
      </c>
      <c r="R375" s="45">
        <f t="shared" si="141"/>
        <v>3.4254545454545453</v>
      </c>
      <c r="S375" s="31">
        <v>36809</v>
      </c>
      <c r="T375" s="31">
        <v>86606</v>
      </c>
      <c r="U375" s="31">
        <v>0</v>
      </c>
      <c r="V375" s="31">
        <v>86606</v>
      </c>
      <c r="W375" s="45">
        <f t="shared" si="142"/>
        <v>26.244242424242426</v>
      </c>
      <c r="X375" s="4">
        <f t="shared" si="143"/>
        <v>0.44446112278595018</v>
      </c>
      <c r="Y375" s="4">
        <f t="shared" si="144"/>
        <v>0.13052213472507679</v>
      </c>
      <c r="Z375" s="4">
        <f t="shared" si="145"/>
        <v>0.42501674248897303</v>
      </c>
      <c r="AA375" s="4">
        <f t="shared" si="146"/>
        <v>0</v>
      </c>
      <c r="AB375" s="31">
        <v>0</v>
      </c>
      <c r="AC375" s="31">
        <v>11160</v>
      </c>
      <c r="AD375" s="31">
        <v>79735</v>
      </c>
      <c r="AE375" s="31">
        <v>79735</v>
      </c>
      <c r="AF375" s="31">
        <v>79735</v>
      </c>
      <c r="AG375" s="31">
        <v>1000</v>
      </c>
      <c r="AH375" s="31">
        <v>0</v>
      </c>
      <c r="AI375" s="31">
        <v>80735</v>
      </c>
      <c r="AJ375" s="45">
        <f t="shared" si="147"/>
        <v>24.465151515151515</v>
      </c>
      <c r="AK375" s="31">
        <v>0</v>
      </c>
      <c r="AL375" s="31">
        <v>0</v>
      </c>
      <c r="AM375" s="31">
        <v>0</v>
      </c>
      <c r="AN375" s="31">
        <v>0</v>
      </c>
      <c r="AO375" s="31">
        <v>0</v>
      </c>
      <c r="AP375" s="31">
        <v>3682</v>
      </c>
      <c r="AQ375" s="31">
        <v>3682</v>
      </c>
      <c r="AR375" s="31">
        <v>84417</v>
      </c>
      <c r="AS375" s="46">
        <f t="shared" si="148"/>
        <v>25.580909090909092</v>
      </c>
      <c r="AT375" s="31">
        <v>83367</v>
      </c>
      <c r="AU375" s="31">
        <v>0</v>
      </c>
      <c r="AV375" s="31">
        <v>0</v>
      </c>
      <c r="AW375" s="31">
        <v>0</v>
      </c>
      <c r="AX375" s="31">
        <v>0</v>
      </c>
      <c r="AY375" s="31">
        <v>0</v>
      </c>
      <c r="AZ375" s="31">
        <v>0</v>
      </c>
      <c r="BA375" s="31">
        <v>0</v>
      </c>
      <c r="BB375" s="31">
        <v>83367</v>
      </c>
      <c r="BC375" s="33" t="s">
        <v>25</v>
      </c>
      <c r="BD375" s="47">
        <v>16459</v>
      </c>
      <c r="BE375" s="47">
        <v>16461</v>
      </c>
      <c r="BF375" s="45">
        <f t="shared" si="149"/>
        <v>4.9881818181818183</v>
      </c>
      <c r="BG375" s="30">
        <v>402</v>
      </c>
      <c r="BH375" s="30">
        <v>403</v>
      </c>
      <c r="BI375" s="30">
        <v>0</v>
      </c>
      <c r="BJ375" s="30">
        <v>335</v>
      </c>
      <c r="BK375" s="30">
        <v>337</v>
      </c>
      <c r="BL375" s="30">
        <v>0</v>
      </c>
      <c r="BM375" s="30">
        <v>0</v>
      </c>
      <c r="BN375" s="30">
        <v>0</v>
      </c>
      <c r="BO375" s="30">
        <v>51</v>
      </c>
      <c r="BP375" s="30">
        <v>0</v>
      </c>
      <c r="BQ375" s="30">
        <v>51</v>
      </c>
      <c r="BR375" s="47">
        <v>17196</v>
      </c>
      <c r="BS375" s="47">
        <v>17201</v>
      </c>
      <c r="BT375" s="1">
        <f t="shared" si="150"/>
        <v>5.2124242424242428</v>
      </c>
      <c r="BU375" s="30">
        <v>22</v>
      </c>
      <c r="BV375" s="30">
        <v>0</v>
      </c>
      <c r="BW375" s="47">
        <v>569</v>
      </c>
      <c r="BX375" s="52">
        <f t="shared" si="151"/>
        <v>0.17242424242424242</v>
      </c>
      <c r="BY375" s="47">
        <v>2755</v>
      </c>
      <c r="BZ375" s="47">
        <v>0</v>
      </c>
      <c r="CA375" s="47">
        <v>3126</v>
      </c>
      <c r="CB375" s="47">
        <v>0</v>
      </c>
      <c r="CC375" s="47">
        <v>5881</v>
      </c>
      <c r="CD375" s="55">
        <f t="shared" si="152"/>
        <v>1.7821212121212122</v>
      </c>
      <c r="CE375" s="3">
        <f t="shared" si="153"/>
        <v>5881</v>
      </c>
      <c r="CF375" s="55">
        <f t="shared" si="154"/>
        <v>2.9642137096774195</v>
      </c>
      <c r="CG375" s="55">
        <f t="shared" si="155"/>
        <v>0.83954318344039969</v>
      </c>
      <c r="CH375" s="55">
        <f t="shared" si="156"/>
        <v>0.34189872681820827</v>
      </c>
      <c r="CI375" s="30">
        <v>45</v>
      </c>
      <c r="CJ375" s="30">
        <v>0</v>
      </c>
      <c r="CK375" s="30">
        <v>1</v>
      </c>
      <c r="CL375" s="30">
        <v>46</v>
      </c>
      <c r="CM375" s="30">
        <v>1814</v>
      </c>
      <c r="CN375" s="30">
        <v>0</v>
      </c>
      <c r="CO375" s="30">
        <v>10</v>
      </c>
      <c r="CP375" s="30">
        <v>1824</v>
      </c>
      <c r="CQ375" s="1">
        <f t="shared" si="164"/>
        <v>0.55272727272727273</v>
      </c>
      <c r="CR375" s="47">
        <v>7005</v>
      </c>
      <c r="CS375" s="55">
        <f t="shared" si="157"/>
        <v>2.1227272727272726</v>
      </c>
      <c r="CT375" s="59">
        <v>1763</v>
      </c>
      <c r="CU375" s="29" t="s">
        <v>25</v>
      </c>
      <c r="CV375" s="29" t="s">
        <v>25</v>
      </c>
      <c r="CW375" s="29" t="s">
        <v>25</v>
      </c>
      <c r="CX375" s="35">
        <v>0</v>
      </c>
      <c r="CY375" s="49">
        <v>0</v>
      </c>
      <c r="CZ375" s="35">
        <v>1</v>
      </c>
      <c r="DA375" s="35">
        <v>0</v>
      </c>
      <c r="DB375" s="35">
        <v>1</v>
      </c>
      <c r="DC375" s="49">
        <f t="shared" si="158"/>
        <v>3300</v>
      </c>
      <c r="DD375" s="30">
        <v>917</v>
      </c>
      <c r="DE375" s="31">
        <v>32164</v>
      </c>
      <c r="DF375" s="35">
        <v>40</v>
      </c>
      <c r="DG375" s="29" t="s">
        <v>25</v>
      </c>
      <c r="DH375" s="29" t="s">
        <v>26</v>
      </c>
      <c r="DI375" s="29" t="s">
        <v>26</v>
      </c>
      <c r="DJ375" s="47">
        <v>10</v>
      </c>
      <c r="DK375" s="47">
        <v>4</v>
      </c>
      <c r="DL375" s="47">
        <v>10</v>
      </c>
      <c r="DM375" s="47">
        <v>5772</v>
      </c>
      <c r="DN375" s="47">
        <v>0</v>
      </c>
      <c r="DO375" s="47">
        <v>954</v>
      </c>
      <c r="DP375" s="29" t="s">
        <v>83</v>
      </c>
      <c r="DQ375" s="47">
        <v>0</v>
      </c>
      <c r="DR375" s="47">
        <v>1984</v>
      </c>
      <c r="DS375" s="30">
        <v>52</v>
      </c>
      <c r="DT375" s="30">
        <v>40</v>
      </c>
      <c r="DU375" s="30">
        <v>40</v>
      </c>
      <c r="DV375" s="30">
        <v>40</v>
      </c>
      <c r="DX375" s="2">
        <f t="shared" si="159"/>
        <v>1984</v>
      </c>
      <c r="DY375" s="33" t="s">
        <v>2180</v>
      </c>
      <c r="DZ375" s="33" t="s">
        <v>992</v>
      </c>
      <c r="EA375" s="33" t="s">
        <v>2034</v>
      </c>
      <c r="EB375" s="33" t="s">
        <v>2027</v>
      </c>
      <c r="EC375" s="36">
        <v>288</v>
      </c>
      <c r="ED375" s="29" t="s">
        <v>990</v>
      </c>
      <c r="EE375" s="29" t="s">
        <v>81</v>
      </c>
      <c r="EF375" s="37">
        <v>41365</v>
      </c>
      <c r="EG375" s="37">
        <v>41729</v>
      </c>
      <c r="EH375" s="29" t="s">
        <v>990</v>
      </c>
      <c r="EI375" s="55">
        <f t="shared" si="160"/>
        <v>0.83484848484848484</v>
      </c>
      <c r="EJ375" s="54">
        <f t="shared" si="161"/>
        <v>0</v>
      </c>
      <c r="EK375" s="55">
        <f t="shared" si="162"/>
        <v>0.94727272727272727</v>
      </c>
      <c r="EL375" s="54">
        <f t="shared" si="163"/>
        <v>0</v>
      </c>
    </row>
    <row r="376" spans="1:142" ht="28.8" x14ac:dyDescent="0.3">
      <c r="A376" s="29" t="s">
        <v>993</v>
      </c>
      <c r="B376" s="29"/>
      <c r="C376" s="30">
        <v>149378</v>
      </c>
      <c r="D376" s="30">
        <v>0</v>
      </c>
      <c r="E376" s="30">
        <v>0</v>
      </c>
      <c r="F376" s="30">
        <v>47398</v>
      </c>
      <c r="H376" s="2">
        <f t="shared" si="139"/>
        <v>47398</v>
      </c>
      <c r="I376" s="1">
        <f t="shared" si="138"/>
        <v>0.31730241401009518</v>
      </c>
      <c r="J376" s="31">
        <v>867869</v>
      </c>
      <c r="K376" s="31">
        <v>464365</v>
      </c>
      <c r="L376" s="31">
        <v>1332234</v>
      </c>
      <c r="M376" s="45">
        <f t="shared" si="140"/>
        <v>8.9185422217461738</v>
      </c>
      <c r="N376" s="31">
        <v>106755</v>
      </c>
      <c r="O376" s="31">
        <v>23438</v>
      </c>
      <c r="P376" s="31">
        <v>18596</v>
      </c>
      <c r="Q376" s="31">
        <v>148789</v>
      </c>
      <c r="R376" s="45">
        <f t="shared" si="141"/>
        <v>0.99605698295599088</v>
      </c>
      <c r="S376" s="31">
        <v>97542</v>
      </c>
      <c r="T376" s="31">
        <v>1578565</v>
      </c>
      <c r="U376" s="31">
        <v>0</v>
      </c>
      <c r="V376" s="31">
        <v>1578565</v>
      </c>
      <c r="W376" s="45">
        <f t="shared" si="142"/>
        <v>10.567586927124475</v>
      </c>
      <c r="X376" s="4">
        <f t="shared" si="143"/>
        <v>0.84395257718244099</v>
      </c>
      <c r="Y376" s="4">
        <f t="shared" si="144"/>
        <v>9.4255858960511599E-2</v>
      </c>
      <c r="Z376" s="4">
        <f t="shared" si="145"/>
        <v>6.1791563857047378E-2</v>
      </c>
      <c r="AA376" s="4">
        <f t="shared" si="146"/>
        <v>0</v>
      </c>
      <c r="AB376" s="31">
        <v>0</v>
      </c>
      <c r="AC376" s="31">
        <v>148789</v>
      </c>
      <c r="AD376" s="31">
        <v>1578565</v>
      </c>
      <c r="AE376" s="31">
        <v>1578565</v>
      </c>
      <c r="AF376" s="31">
        <v>0</v>
      </c>
      <c r="AG376" s="31">
        <v>1578564</v>
      </c>
      <c r="AH376" s="31">
        <v>0</v>
      </c>
      <c r="AI376" s="31">
        <v>1578564</v>
      </c>
      <c r="AJ376" s="45">
        <f t="shared" si="147"/>
        <v>10.567580232698255</v>
      </c>
      <c r="AK376" s="31">
        <v>0</v>
      </c>
      <c r="AL376" s="31">
        <v>0</v>
      </c>
      <c r="AM376" s="31">
        <v>0</v>
      </c>
      <c r="AN376" s="31">
        <v>0</v>
      </c>
      <c r="AO376" s="31">
        <v>0</v>
      </c>
      <c r="AP376" s="31">
        <v>0</v>
      </c>
      <c r="AQ376" s="31">
        <v>0</v>
      </c>
      <c r="AR376" s="31">
        <v>1578564</v>
      </c>
      <c r="AS376" s="46">
        <f t="shared" si="148"/>
        <v>10.567580232698255</v>
      </c>
      <c r="AT376" s="31">
        <v>0</v>
      </c>
      <c r="AU376" s="31">
        <v>0</v>
      </c>
      <c r="AV376" s="31">
        <v>0</v>
      </c>
      <c r="AW376" s="31">
        <v>0</v>
      </c>
      <c r="AX376" s="31">
        <v>0</v>
      </c>
      <c r="AY376" s="31">
        <v>0</v>
      </c>
      <c r="AZ376" s="31">
        <v>0</v>
      </c>
      <c r="BA376" s="31">
        <v>0</v>
      </c>
      <c r="BB376" s="31">
        <v>0</v>
      </c>
      <c r="BC376" s="33" t="s">
        <v>25</v>
      </c>
      <c r="BD376" s="47">
        <v>155764</v>
      </c>
      <c r="BE376" s="47">
        <v>185013</v>
      </c>
      <c r="BF376" s="45">
        <f t="shared" si="149"/>
        <v>1.2385558783756645</v>
      </c>
      <c r="BG376" s="30">
        <v>7642</v>
      </c>
      <c r="BH376" s="30">
        <v>7996</v>
      </c>
      <c r="BI376" s="30">
        <v>0</v>
      </c>
      <c r="BJ376" s="30">
        <v>12569</v>
      </c>
      <c r="BK376" s="30">
        <v>15583</v>
      </c>
      <c r="BL376" s="30">
        <v>0</v>
      </c>
      <c r="BM376" s="30">
        <v>6728</v>
      </c>
      <c r="BN376" s="30">
        <v>4</v>
      </c>
      <c r="BO376" s="30">
        <v>51</v>
      </c>
      <c r="BP376" s="30">
        <v>4</v>
      </c>
      <c r="BQ376" s="30">
        <v>59</v>
      </c>
      <c r="BR376" s="47">
        <v>175975</v>
      </c>
      <c r="BS376" s="47">
        <v>215324</v>
      </c>
      <c r="BT376" s="1">
        <f t="shared" si="150"/>
        <v>1.4414706315521697</v>
      </c>
      <c r="BU376" s="30">
        <v>164</v>
      </c>
      <c r="BV376" s="30">
        <v>1</v>
      </c>
      <c r="BW376" s="47">
        <v>73591</v>
      </c>
      <c r="BX376" s="52">
        <f t="shared" si="151"/>
        <v>0.49264952000963996</v>
      </c>
      <c r="BY376" s="47">
        <v>73849</v>
      </c>
      <c r="BZ376" s="47">
        <v>634</v>
      </c>
      <c r="CA376" s="47">
        <v>472186</v>
      </c>
      <c r="CB376" s="47">
        <v>2199</v>
      </c>
      <c r="CC376" s="47">
        <v>548868</v>
      </c>
      <c r="CD376" s="55">
        <f t="shared" si="152"/>
        <v>3.6743563309188771</v>
      </c>
      <c r="CE376" s="3">
        <f t="shared" si="153"/>
        <v>22869.5</v>
      </c>
      <c r="CF376" s="55">
        <f t="shared" si="154"/>
        <v>190.18295218295219</v>
      </c>
      <c r="CG376" s="55">
        <f t="shared" si="155"/>
        <v>1.9593821285649518</v>
      </c>
      <c r="CH376" s="55">
        <f t="shared" si="156"/>
        <v>2.5358761680072819</v>
      </c>
      <c r="CI376" s="30">
        <v>135</v>
      </c>
      <c r="CJ376" s="30">
        <v>6</v>
      </c>
      <c r="CK376" s="30">
        <v>12</v>
      </c>
      <c r="CL376" s="30">
        <v>153</v>
      </c>
      <c r="CM376" s="30">
        <v>7104</v>
      </c>
      <c r="CN376" s="30">
        <v>97</v>
      </c>
      <c r="CO376" s="30">
        <v>1953</v>
      </c>
      <c r="CP376" s="30">
        <v>9154</v>
      </c>
      <c r="CQ376" s="1">
        <f t="shared" si="164"/>
        <v>6.1280777624549802E-2</v>
      </c>
      <c r="CR376" s="47">
        <v>280123</v>
      </c>
      <c r="CS376" s="55">
        <f t="shared" si="157"/>
        <v>1.8752627562291635</v>
      </c>
      <c r="CT376" s="59">
        <v>90331</v>
      </c>
      <c r="CU376" s="29" t="s">
        <v>25</v>
      </c>
      <c r="CV376" s="29" t="s">
        <v>25</v>
      </c>
      <c r="CW376" s="29" t="s">
        <v>25</v>
      </c>
      <c r="CX376" s="35">
        <v>5</v>
      </c>
      <c r="CY376" s="49">
        <f>C376/CX376</f>
        <v>29875.599999999999</v>
      </c>
      <c r="CZ376" s="35">
        <v>2</v>
      </c>
      <c r="DA376" s="35">
        <v>17</v>
      </c>
      <c r="DB376" s="35">
        <v>24</v>
      </c>
      <c r="DC376" s="49">
        <f t="shared" si="158"/>
        <v>6224.083333333333</v>
      </c>
      <c r="DD376" s="30">
        <v>421</v>
      </c>
      <c r="DE376" s="31">
        <v>65349</v>
      </c>
      <c r="DF376" s="35">
        <v>40</v>
      </c>
      <c r="DG376" s="29" t="s">
        <v>25</v>
      </c>
      <c r="DH376" s="29" t="s">
        <v>26</v>
      </c>
      <c r="DI376" s="29" t="s">
        <v>26</v>
      </c>
      <c r="DJ376" s="47">
        <v>1365</v>
      </c>
      <c r="DK376" s="47">
        <v>92</v>
      </c>
      <c r="DL376" s="47">
        <v>29</v>
      </c>
      <c r="DM376" s="47">
        <v>46096</v>
      </c>
      <c r="DN376" s="47">
        <v>6146</v>
      </c>
      <c r="DO376" s="47">
        <v>10440</v>
      </c>
      <c r="DP376" s="29" t="s">
        <v>25</v>
      </c>
      <c r="DQ376" s="47">
        <v>28463</v>
      </c>
      <c r="DR376" s="47">
        <v>2886</v>
      </c>
      <c r="DS376" s="30">
        <v>52</v>
      </c>
      <c r="DT376" s="30">
        <v>60</v>
      </c>
      <c r="DU376" s="30">
        <v>60</v>
      </c>
      <c r="DV376" s="30">
        <v>60</v>
      </c>
      <c r="DX376" s="2">
        <f t="shared" si="159"/>
        <v>2886</v>
      </c>
      <c r="DY376" s="33" t="s">
        <v>2178</v>
      </c>
      <c r="DZ376" s="33" t="s">
        <v>996</v>
      </c>
      <c r="EA376" s="33" t="s">
        <v>2031</v>
      </c>
      <c r="EB376" s="33" t="s">
        <v>2027</v>
      </c>
      <c r="EC376" s="36">
        <v>289</v>
      </c>
      <c r="ED376" s="29" t="s">
        <v>994</v>
      </c>
      <c r="EE376" s="29" t="s">
        <v>995</v>
      </c>
      <c r="EF376" s="37">
        <v>41548</v>
      </c>
      <c r="EG376" s="37">
        <v>41912</v>
      </c>
      <c r="EH376" s="29" t="s">
        <v>994</v>
      </c>
      <c r="EI376" s="55">
        <f t="shared" si="160"/>
        <v>0.49437668197458795</v>
      </c>
      <c r="EJ376" s="54">
        <f t="shared" si="161"/>
        <v>4.2442662239419457E-3</v>
      </c>
      <c r="EK376" s="55">
        <f t="shared" si="162"/>
        <v>3.1610143394609649</v>
      </c>
      <c r="EL376" s="54">
        <f t="shared" si="163"/>
        <v>1.4721043259382238E-2</v>
      </c>
    </row>
    <row r="377" spans="1:142" ht="43.2" x14ac:dyDescent="0.3">
      <c r="A377" s="29" t="s">
        <v>997</v>
      </c>
      <c r="B377" s="29"/>
      <c r="C377" s="30">
        <v>9495</v>
      </c>
      <c r="D377" s="30">
        <v>0</v>
      </c>
      <c r="E377" s="30">
        <v>0</v>
      </c>
      <c r="F377" s="30">
        <v>10800</v>
      </c>
      <c r="H377" s="2">
        <f t="shared" si="139"/>
        <v>10800</v>
      </c>
      <c r="I377" s="1">
        <f t="shared" ref="I377:I440" si="165">H377/C377</f>
        <v>1.1374407582938388</v>
      </c>
      <c r="J377" s="31">
        <v>108815</v>
      </c>
      <c r="K377" s="31">
        <v>19867</v>
      </c>
      <c r="L377" s="31">
        <v>128682</v>
      </c>
      <c r="M377" s="45">
        <f t="shared" si="140"/>
        <v>13.55260663507109</v>
      </c>
      <c r="N377" s="31">
        <v>13173</v>
      </c>
      <c r="O377" s="31">
        <v>1229</v>
      </c>
      <c r="P377" s="31">
        <v>3288</v>
      </c>
      <c r="Q377" s="31">
        <v>17690</v>
      </c>
      <c r="R377" s="45">
        <f t="shared" si="141"/>
        <v>1.8630858346498156</v>
      </c>
      <c r="S377" s="31">
        <v>51398</v>
      </c>
      <c r="T377" s="31">
        <v>197770</v>
      </c>
      <c r="U377" s="31">
        <v>0</v>
      </c>
      <c r="V377" s="31">
        <v>197770</v>
      </c>
      <c r="W377" s="45">
        <f t="shared" si="142"/>
        <v>20.828857293312268</v>
      </c>
      <c r="X377" s="4">
        <f t="shared" si="143"/>
        <v>0.65066491378874447</v>
      </c>
      <c r="Y377" s="4">
        <f t="shared" si="144"/>
        <v>8.9447337816655717E-2</v>
      </c>
      <c r="Z377" s="4">
        <f t="shared" si="145"/>
        <v>0.25988774839459977</v>
      </c>
      <c r="AA377" s="4">
        <f t="shared" si="146"/>
        <v>0</v>
      </c>
      <c r="AB377" s="31">
        <v>10812</v>
      </c>
      <c r="AC377" s="31">
        <v>17690</v>
      </c>
      <c r="AD377" s="31">
        <v>197770</v>
      </c>
      <c r="AE377" s="31">
        <v>192951</v>
      </c>
      <c r="AF377" s="31">
        <v>27000</v>
      </c>
      <c r="AG377" s="31">
        <v>1500</v>
      </c>
      <c r="AH377" s="31">
        <v>164451</v>
      </c>
      <c r="AI377" s="31">
        <v>192951</v>
      </c>
      <c r="AJ377" s="45">
        <f t="shared" si="147"/>
        <v>20.32132701421801</v>
      </c>
      <c r="AK377" s="31">
        <v>0</v>
      </c>
      <c r="AL377" s="31">
        <v>0</v>
      </c>
      <c r="AM377" s="31">
        <v>0</v>
      </c>
      <c r="AN377" s="31">
        <v>0</v>
      </c>
      <c r="AO377" s="31">
        <v>0</v>
      </c>
      <c r="AP377" s="31">
        <v>17791</v>
      </c>
      <c r="AQ377" s="31">
        <v>17791</v>
      </c>
      <c r="AR377" s="31">
        <v>210742</v>
      </c>
      <c r="AS377" s="46">
        <f t="shared" si="148"/>
        <v>22.195050026329646</v>
      </c>
      <c r="AT377" s="31">
        <v>0</v>
      </c>
      <c r="AU377" s="31">
        <v>0</v>
      </c>
      <c r="AV377" s="31">
        <v>0</v>
      </c>
      <c r="AW377" s="31">
        <v>0</v>
      </c>
      <c r="AX377" s="31">
        <v>0</v>
      </c>
      <c r="AY377" s="31">
        <v>0</v>
      </c>
      <c r="AZ377" s="31">
        <v>0</v>
      </c>
      <c r="BA377" s="31">
        <v>10812</v>
      </c>
      <c r="BB377" s="31">
        <v>10812</v>
      </c>
      <c r="BC377" s="33" t="s">
        <v>25</v>
      </c>
      <c r="BD377" s="47">
        <v>33459</v>
      </c>
      <c r="BE377" s="47">
        <v>35588</v>
      </c>
      <c r="BF377" s="45">
        <f t="shared" si="149"/>
        <v>3.7480779357556608</v>
      </c>
      <c r="BG377" s="30">
        <v>1757</v>
      </c>
      <c r="BH377" s="30">
        <v>1841</v>
      </c>
      <c r="BI377" s="30">
        <v>129</v>
      </c>
      <c r="BJ377" s="30">
        <v>3363</v>
      </c>
      <c r="BK377" s="30">
        <v>3484</v>
      </c>
      <c r="BL377" s="30">
        <v>0</v>
      </c>
      <c r="BM377" s="30">
        <v>0</v>
      </c>
      <c r="BN377" s="30">
        <v>6</v>
      </c>
      <c r="BO377" s="30">
        <v>51</v>
      </c>
      <c r="BP377" s="30">
        <v>0</v>
      </c>
      <c r="BQ377" s="30">
        <v>57</v>
      </c>
      <c r="BR377" s="47">
        <v>38579</v>
      </c>
      <c r="BS377" s="47">
        <v>41048</v>
      </c>
      <c r="BT377" s="1">
        <f t="shared" si="150"/>
        <v>4.3231174302264348</v>
      </c>
      <c r="BU377" s="30">
        <v>53</v>
      </c>
      <c r="BV377" s="30">
        <v>9</v>
      </c>
      <c r="BW377" s="47">
        <v>1040</v>
      </c>
      <c r="BX377" s="52">
        <f t="shared" si="151"/>
        <v>0.10953133228014744</v>
      </c>
      <c r="BY377" s="47">
        <v>16503</v>
      </c>
      <c r="BZ377" s="47">
        <v>0</v>
      </c>
      <c r="CA377" s="47">
        <v>10873</v>
      </c>
      <c r="CB377" s="47">
        <v>0</v>
      </c>
      <c r="CC377" s="47">
        <v>27376</v>
      </c>
      <c r="CD377" s="55">
        <f t="shared" si="152"/>
        <v>2.8832016850974198</v>
      </c>
      <c r="CE377" s="3">
        <f t="shared" si="153"/>
        <v>6844</v>
      </c>
      <c r="CF377" s="55">
        <f t="shared" si="154"/>
        <v>9.7771428571428576</v>
      </c>
      <c r="CG377" s="55">
        <f t="shared" si="155"/>
        <v>0.6067106954478968</v>
      </c>
      <c r="CH377" s="55">
        <f t="shared" si="156"/>
        <v>0.66692652504385108</v>
      </c>
      <c r="CI377" s="30">
        <v>970</v>
      </c>
      <c r="CJ377" s="30">
        <v>21</v>
      </c>
      <c r="CK377" s="30">
        <v>43</v>
      </c>
      <c r="CL377" s="30">
        <v>1034</v>
      </c>
      <c r="CM377" s="30">
        <v>16280</v>
      </c>
      <c r="CN377" s="30">
        <v>204</v>
      </c>
      <c r="CO377" s="30">
        <v>654</v>
      </c>
      <c r="CP377" s="30">
        <v>17138</v>
      </c>
      <c r="CQ377" s="1">
        <f t="shared" si="164"/>
        <v>1.8049499736703529</v>
      </c>
      <c r="CR377" s="47">
        <v>45122</v>
      </c>
      <c r="CS377" s="55">
        <f t="shared" si="157"/>
        <v>4.7521853607161662</v>
      </c>
      <c r="CT377" s="59">
        <v>3214</v>
      </c>
      <c r="CU377" s="29" t="s">
        <v>25</v>
      </c>
      <c r="CV377" s="29" t="s">
        <v>25</v>
      </c>
      <c r="CW377" s="29" t="s">
        <v>25</v>
      </c>
      <c r="CX377" s="35">
        <v>1</v>
      </c>
      <c r="CY377" s="49">
        <f>C377/CX377</f>
        <v>9495</v>
      </c>
      <c r="CZ377" s="35">
        <v>0</v>
      </c>
      <c r="DA377" s="35">
        <v>3</v>
      </c>
      <c r="DB377" s="35">
        <v>4</v>
      </c>
      <c r="DC377" s="49">
        <f t="shared" si="158"/>
        <v>2373.75</v>
      </c>
      <c r="DD377" s="30">
        <v>834</v>
      </c>
      <c r="DE377" s="31">
        <v>49412</v>
      </c>
      <c r="DF377" s="35">
        <v>40</v>
      </c>
      <c r="DG377" s="29" t="s">
        <v>25</v>
      </c>
      <c r="DH377" s="29" t="s">
        <v>25</v>
      </c>
      <c r="DI377" s="29" t="s">
        <v>25</v>
      </c>
      <c r="DJ377" s="47">
        <v>33</v>
      </c>
      <c r="DK377" s="47">
        <v>36</v>
      </c>
      <c r="DL377" s="47">
        <v>16</v>
      </c>
      <c r="DM377" s="47">
        <v>14698</v>
      </c>
      <c r="DN377" s="47">
        <v>320</v>
      </c>
      <c r="DO377" s="47">
        <v>80</v>
      </c>
      <c r="DP377" s="29" t="s">
        <v>2028</v>
      </c>
      <c r="DQ377" s="47">
        <v>0</v>
      </c>
      <c r="DR377" s="47">
        <v>2800</v>
      </c>
      <c r="DS377" s="30">
        <v>52</v>
      </c>
      <c r="DT377" s="30">
        <v>60</v>
      </c>
      <c r="DU377" s="30">
        <v>60</v>
      </c>
      <c r="DV377" s="30">
        <v>55</v>
      </c>
      <c r="DX377" s="2">
        <f t="shared" si="159"/>
        <v>2800</v>
      </c>
      <c r="DY377" s="33" t="s">
        <v>2181</v>
      </c>
      <c r="DZ377" s="33" t="s">
        <v>999</v>
      </c>
      <c r="EA377" s="33" t="s">
        <v>2032</v>
      </c>
      <c r="EB377" s="33" t="s">
        <v>2027</v>
      </c>
      <c r="EC377" s="36">
        <v>290</v>
      </c>
      <c r="ED377" s="29" t="s">
        <v>998</v>
      </c>
      <c r="EE377" s="29" t="s">
        <v>592</v>
      </c>
      <c r="EF377" s="37">
        <v>41518</v>
      </c>
      <c r="EG377" s="37">
        <v>41882</v>
      </c>
      <c r="EH377" s="29" t="s">
        <v>998</v>
      </c>
      <c r="EI377" s="55">
        <f t="shared" si="160"/>
        <v>1.7380726698262243</v>
      </c>
      <c r="EJ377" s="54">
        <f t="shared" si="161"/>
        <v>0</v>
      </c>
      <c r="EK377" s="55">
        <f t="shared" si="162"/>
        <v>1.1451290152711953</v>
      </c>
      <c r="EL377" s="54">
        <f t="shared" si="163"/>
        <v>0</v>
      </c>
    </row>
    <row r="378" spans="1:142" ht="28.8" x14ac:dyDescent="0.3">
      <c r="A378" s="29" t="s">
        <v>1756</v>
      </c>
      <c r="B378" s="29"/>
      <c r="C378" s="30">
        <v>3757</v>
      </c>
      <c r="D378" s="30">
        <v>0</v>
      </c>
      <c r="E378" s="30">
        <v>0</v>
      </c>
      <c r="F378" s="30">
        <v>3451</v>
      </c>
      <c r="H378" s="2">
        <f t="shared" ref="H378:H441" si="166">G378+F378</f>
        <v>3451</v>
      </c>
      <c r="I378" s="1">
        <f t="shared" si="165"/>
        <v>0.91855203619909498</v>
      </c>
      <c r="J378" s="31">
        <v>54915</v>
      </c>
      <c r="K378" s="31">
        <v>26288</v>
      </c>
      <c r="L378" s="31">
        <v>81203</v>
      </c>
      <c r="M378" s="45">
        <f t="shared" si="140"/>
        <v>21.61378759648656</v>
      </c>
      <c r="N378" s="31">
        <v>7399</v>
      </c>
      <c r="O378" s="31">
        <v>1000</v>
      </c>
      <c r="P378" s="31">
        <v>1751</v>
      </c>
      <c r="Q378" s="31">
        <v>10150</v>
      </c>
      <c r="R378" s="45">
        <f t="shared" si="141"/>
        <v>2.7016236358796912</v>
      </c>
      <c r="S378" s="31">
        <v>22630</v>
      </c>
      <c r="T378" s="31">
        <v>113983</v>
      </c>
      <c r="U378" s="31">
        <v>0</v>
      </c>
      <c r="V378" s="31">
        <v>113983</v>
      </c>
      <c r="W378" s="45">
        <f t="shared" si="142"/>
        <v>30.338834176204418</v>
      </c>
      <c r="X378" s="4">
        <f t="shared" si="143"/>
        <v>0.71241325460814331</v>
      </c>
      <c r="Y378" s="4">
        <f t="shared" si="144"/>
        <v>8.9048366861725001E-2</v>
      </c>
      <c r="Z378" s="4">
        <f t="shared" si="145"/>
        <v>0.19853837853013168</v>
      </c>
      <c r="AA378" s="4">
        <f t="shared" si="146"/>
        <v>0</v>
      </c>
      <c r="AB378" s="31">
        <v>0</v>
      </c>
      <c r="AC378" s="31">
        <v>10150</v>
      </c>
      <c r="AD378" s="31">
        <v>113938</v>
      </c>
      <c r="AE378" s="31">
        <v>113938</v>
      </c>
      <c r="AF378" s="31">
        <v>0</v>
      </c>
      <c r="AG378" s="31">
        <v>113938</v>
      </c>
      <c r="AH378" s="31">
        <v>0</v>
      </c>
      <c r="AI378" s="31">
        <v>113938</v>
      </c>
      <c r="AJ378" s="45">
        <f t="shared" si="147"/>
        <v>30.326856534468991</v>
      </c>
      <c r="AK378" s="31">
        <v>0</v>
      </c>
      <c r="AL378" s="31">
        <v>0</v>
      </c>
      <c r="AM378" s="31">
        <v>0</v>
      </c>
      <c r="AN378" s="31">
        <v>0</v>
      </c>
      <c r="AO378" s="31">
        <v>9052</v>
      </c>
      <c r="AP378" s="31">
        <v>1000</v>
      </c>
      <c r="AQ378" s="31">
        <v>10052</v>
      </c>
      <c r="AR378" s="31">
        <v>123990</v>
      </c>
      <c r="AS378" s="46">
        <f t="shared" si="148"/>
        <v>33.002395528347087</v>
      </c>
      <c r="AT378" s="31">
        <v>0</v>
      </c>
      <c r="AU378" s="31">
        <v>0</v>
      </c>
      <c r="AV378" s="31">
        <v>0</v>
      </c>
      <c r="AW378" s="31">
        <v>0</v>
      </c>
      <c r="AX378" s="31">
        <v>0</v>
      </c>
      <c r="AY378" s="31">
        <v>0</v>
      </c>
      <c r="AZ378" s="31">
        <v>0</v>
      </c>
      <c r="BA378" s="31">
        <v>0</v>
      </c>
      <c r="BB378" s="31">
        <v>0</v>
      </c>
      <c r="BC378" s="33" t="s">
        <v>25</v>
      </c>
      <c r="BD378" s="47">
        <v>9440</v>
      </c>
      <c r="BE378" s="47">
        <v>9465</v>
      </c>
      <c r="BF378" s="45">
        <f t="shared" si="149"/>
        <v>2.5192973116848552</v>
      </c>
      <c r="BG378" s="30">
        <v>172</v>
      </c>
      <c r="BH378" s="30">
        <v>190</v>
      </c>
      <c r="BI378" s="30">
        <v>0</v>
      </c>
      <c r="BJ378" s="30">
        <v>890</v>
      </c>
      <c r="BK378" s="30">
        <v>894</v>
      </c>
      <c r="BL378" s="30">
        <v>0</v>
      </c>
      <c r="BM378" s="30">
        <v>82</v>
      </c>
      <c r="BN378" s="30">
        <v>0</v>
      </c>
      <c r="BO378" s="30">
        <v>51</v>
      </c>
      <c r="BP378" s="30">
        <v>0</v>
      </c>
      <c r="BQ378" s="30">
        <v>51</v>
      </c>
      <c r="BR378" s="47">
        <v>10502</v>
      </c>
      <c r="BS378" s="47">
        <v>10631</v>
      </c>
      <c r="BT378" s="1">
        <f t="shared" si="150"/>
        <v>2.8296513175405908</v>
      </c>
      <c r="BU378" s="30">
        <v>12</v>
      </c>
      <c r="BV378" s="30">
        <v>0</v>
      </c>
      <c r="BW378" s="47">
        <v>1150</v>
      </c>
      <c r="BX378" s="52">
        <f t="shared" si="151"/>
        <v>0.30609528879425074</v>
      </c>
      <c r="BY378" s="47">
        <v>4980</v>
      </c>
      <c r="BZ378" s="47">
        <v>160</v>
      </c>
      <c r="CA378" s="47">
        <v>9589</v>
      </c>
      <c r="CB378" s="47">
        <v>480</v>
      </c>
      <c r="CC378" s="47">
        <v>15209</v>
      </c>
      <c r="CD378" s="55">
        <f t="shared" si="152"/>
        <v>4.0481767367580517</v>
      </c>
      <c r="CE378" s="3">
        <f t="shared" si="153"/>
        <v>6271.7525773195885</v>
      </c>
      <c r="CF378" s="55">
        <f t="shared" si="154"/>
        <v>8.4027624309392266</v>
      </c>
      <c r="CG378" s="55">
        <f t="shared" si="155"/>
        <v>1.0748409893992932</v>
      </c>
      <c r="CH378" s="55">
        <f t="shared" si="156"/>
        <v>1.3704261123130468</v>
      </c>
      <c r="CI378" s="30">
        <v>124</v>
      </c>
      <c r="CJ378" s="30">
        <v>5</v>
      </c>
      <c r="CK378" s="30">
        <v>48</v>
      </c>
      <c r="CL378" s="30">
        <v>177</v>
      </c>
      <c r="CM378" s="30">
        <v>2506</v>
      </c>
      <c r="CN378" s="30">
        <v>57</v>
      </c>
      <c r="CO378" s="30">
        <v>390</v>
      </c>
      <c r="CP378" s="30">
        <v>2953</v>
      </c>
      <c r="CQ378" s="1">
        <f t="shared" si="164"/>
        <v>0.78599946766036732</v>
      </c>
      <c r="CR378" s="47">
        <v>14150</v>
      </c>
      <c r="CS378" s="55">
        <f t="shared" si="157"/>
        <v>3.7663029012509983</v>
      </c>
      <c r="CT378" s="59">
        <v>1498</v>
      </c>
      <c r="CU378" s="29" t="s">
        <v>25</v>
      </c>
      <c r="CV378" s="29" t="s">
        <v>25</v>
      </c>
      <c r="CW378" s="29" t="s">
        <v>25</v>
      </c>
      <c r="CX378" s="35">
        <v>0</v>
      </c>
      <c r="CY378" s="49">
        <v>0</v>
      </c>
      <c r="CZ378" s="35">
        <v>1.925</v>
      </c>
      <c r="DA378" s="35">
        <v>0.5</v>
      </c>
      <c r="DB378" s="35">
        <v>2.4249999999999998</v>
      </c>
      <c r="DC378" s="49">
        <f t="shared" si="158"/>
        <v>1549.2783505154641</v>
      </c>
      <c r="DD378" s="30">
        <v>79</v>
      </c>
      <c r="DE378" s="31">
        <v>33690</v>
      </c>
      <c r="DF378" s="35">
        <v>40</v>
      </c>
      <c r="DG378" s="29" t="s">
        <v>25</v>
      </c>
      <c r="DH378" s="29" t="s">
        <v>25</v>
      </c>
      <c r="DI378" s="29" t="s">
        <v>25</v>
      </c>
      <c r="DJ378" s="47">
        <v>50</v>
      </c>
      <c r="DK378" s="47">
        <v>3</v>
      </c>
      <c r="DL378" s="47">
        <v>10</v>
      </c>
      <c r="DM378" s="47">
        <v>4982</v>
      </c>
      <c r="DN378" s="47">
        <v>211</v>
      </c>
      <c r="DO378" s="47">
        <v>515</v>
      </c>
      <c r="DP378" s="29" t="s">
        <v>2028</v>
      </c>
      <c r="DQ378" s="47">
        <v>0</v>
      </c>
      <c r="DR378" s="47">
        <v>1810</v>
      </c>
      <c r="DS378" s="30">
        <v>51</v>
      </c>
      <c r="DT378" s="30">
        <v>37</v>
      </c>
      <c r="DU378" s="30">
        <v>37</v>
      </c>
      <c r="DV378" s="30">
        <v>37</v>
      </c>
      <c r="DX378" s="2">
        <f t="shared" si="159"/>
        <v>1810</v>
      </c>
      <c r="DY378" s="33" t="s">
        <v>2178</v>
      </c>
      <c r="DZ378" s="33" t="s">
        <v>1758</v>
      </c>
      <c r="EA378" s="33" t="s">
        <v>2031</v>
      </c>
      <c r="EB378" s="33" t="s">
        <v>2027</v>
      </c>
      <c r="EC378" s="36">
        <v>613</v>
      </c>
      <c r="ED378" s="29" t="s">
        <v>1757</v>
      </c>
      <c r="EE378" s="29" t="s">
        <v>828</v>
      </c>
      <c r="EF378" s="37">
        <v>41548</v>
      </c>
      <c r="EG378" s="37">
        <v>41912</v>
      </c>
      <c r="EH378" s="29" t="s">
        <v>1757</v>
      </c>
      <c r="EI378" s="55">
        <f t="shared" si="160"/>
        <v>1.325525685387277</v>
      </c>
      <c r="EJ378" s="54">
        <f t="shared" si="161"/>
        <v>4.2587170614852274E-2</v>
      </c>
      <c r="EK378" s="55">
        <f t="shared" si="162"/>
        <v>2.5523023689113655</v>
      </c>
      <c r="EL378" s="54">
        <f t="shared" si="163"/>
        <v>0.12776151184455684</v>
      </c>
    </row>
    <row r="379" spans="1:142" ht="28.8" x14ac:dyDescent="0.3">
      <c r="A379" s="29" t="s">
        <v>1759</v>
      </c>
      <c r="B379" s="29"/>
      <c r="C379" s="30">
        <v>1709</v>
      </c>
      <c r="D379" s="30">
        <v>0</v>
      </c>
      <c r="E379" s="30">
        <v>0</v>
      </c>
      <c r="F379" s="30">
        <v>1635</v>
      </c>
      <c r="H379" s="2">
        <f t="shared" si="166"/>
        <v>1635</v>
      </c>
      <c r="I379" s="1">
        <f t="shared" si="165"/>
        <v>0.95669982445874779</v>
      </c>
      <c r="J379" s="31">
        <v>26816</v>
      </c>
      <c r="K379" s="31">
        <v>4949</v>
      </c>
      <c r="L379" s="31">
        <v>31765</v>
      </c>
      <c r="M379" s="45">
        <f t="shared" si="140"/>
        <v>18.58689291983616</v>
      </c>
      <c r="N379" s="31">
        <v>2605</v>
      </c>
      <c r="O379" s="31">
        <v>0</v>
      </c>
      <c r="P379" s="31">
        <v>0</v>
      </c>
      <c r="Q379" s="31">
        <v>2605</v>
      </c>
      <c r="R379" s="45">
        <f t="shared" si="141"/>
        <v>1.5242832065535401</v>
      </c>
      <c r="S379" s="31">
        <v>15850</v>
      </c>
      <c r="T379" s="31">
        <v>50220</v>
      </c>
      <c r="U379" s="31">
        <v>5323</v>
      </c>
      <c r="V379" s="31">
        <v>55543</v>
      </c>
      <c r="W379" s="45">
        <f t="shared" si="142"/>
        <v>32.500292568753657</v>
      </c>
      <c r="X379" s="4">
        <f t="shared" si="143"/>
        <v>0.57189924923032609</v>
      </c>
      <c r="Y379" s="4">
        <f t="shared" si="144"/>
        <v>4.6900599535495024E-2</v>
      </c>
      <c r="Z379" s="4">
        <f t="shared" si="145"/>
        <v>0.28536449237527683</v>
      </c>
      <c r="AA379" s="4">
        <f t="shared" si="146"/>
        <v>9.5835658858902106E-2</v>
      </c>
      <c r="AB379" s="31">
        <v>0</v>
      </c>
      <c r="AC379" s="31">
        <v>2004</v>
      </c>
      <c r="AD379" s="31">
        <v>46274</v>
      </c>
      <c r="AE379" s="31">
        <v>46274</v>
      </c>
      <c r="AF379" s="31">
        <v>41158</v>
      </c>
      <c r="AG379" s="31">
        <v>0</v>
      </c>
      <c r="AH379" s="31">
        <v>0</v>
      </c>
      <c r="AI379" s="31">
        <v>41158</v>
      </c>
      <c r="AJ379" s="45">
        <f t="shared" si="147"/>
        <v>24.08308952603862</v>
      </c>
      <c r="AK379" s="31">
        <v>0</v>
      </c>
      <c r="AL379" s="31">
        <v>0</v>
      </c>
      <c r="AM379" s="31">
        <v>0</v>
      </c>
      <c r="AN379" s="31">
        <v>0</v>
      </c>
      <c r="AO379" s="31">
        <v>9451</v>
      </c>
      <c r="AP379" s="31">
        <v>4815</v>
      </c>
      <c r="AQ379" s="31">
        <v>14266</v>
      </c>
      <c r="AR379" s="31">
        <v>55424</v>
      </c>
      <c r="AS379" s="46">
        <f t="shared" si="148"/>
        <v>32.430661205383267</v>
      </c>
      <c r="AT379" s="31">
        <v>0</v>
      </c>
      <c r="AU379" s="31">
        <v>0</v>
      </c>
      <c r="AV379" s="31">
        <v>0</v>
      </c>
      <c r="AW379" s="31">
        <v>0</v>
      </c>
      <c r="AX379" s="31">
        <v>0</v>
      </c>
      <c r="AY379" s="31">
        <v>0</v>
      </c>
      <c r="AZ379" s="31">
        <v>0</v>
      </c>
      <c r="BA379" s="31">
        <v>0</v>
      </c>
      <c r="BB379" s="31">
        <v>0</v>
      </c>
      <c r="BC379" s="33" t="s">
        <v>25</v>
      </c>
      <c r="BD379" s="47">
        <v>8053</v>
      </c>
      <c r="BE379" s="47">
        <v>8074</v>
      </c>
      <c r="BF379" s="45">
        <f t="shared" si="149"/>
        <v>4.7244002340550031</v>
      </c>
      <c r="BG379" s="30">
        <v>141</v>
      </c>
      <c r="BH379" s="30">
        <v>141</v>
      </c>
      <c r="BI379" s="30">
        <v>0</v>
      </c>
      <c r="BJ379" s="30">
        <v>381</v>
      </c>
      <c r="BK379" s="30">
        <v>388</v>
      </c>
      <c r="BL379" s="30">
        <v>0</v>
      </c>
      <c r="BM379" s="30">
        <v>0</v>
      </c>
      <c r="BN379" s="30">
        <v>0</v>
      </c>
      <c r="BO379" s="30">
        <v>51</v>
      </c>
      <c r="BP379" s="30">
        <v>0</v>
      </c>
      <c r="BQ379" s="30">
        <v>51</v>
      </c>
      <c r="BR379" s="47">
        <v>8575</v>
      </c>
      <c r="BS379" s="47">
        <v>8603</v>
      </c>
      <c r="BT379" s="1">
        <f t="shared" si="150"/>
        <v>5.0339379754242248</v>
      </c>
      <c r="BU379" s="30">
        <v>12</v>
      </c>
      <c r="BV379" s="30">
        <v>0</v>
      </c>
      <c r="BW379" s="47">
        <v>30</v>
      </c>
      <c r="BX379" s="52">
        <f t="shared" si="151"/>
        <v>1.7554125219426564E-2</v>
      </c>
      <c r="BY379" s="47">
        <v>985</v>
      </c>
      <c r="BZ379" s="47">
        <v>0</v>
      </c>
      <c r="CA379" s="47">
        <v>4407</v>
      </c>
      <c r="CB379" s="47">
        <v>0</v>
      </c>
      <c r="CC379" s="47">
        <v>5392</v>
      </c>
      <c r="CD379" s="55">
        <f t="shared" si="152"/>
        <v>3.1550614394382679</v>
      </c>
      <c r="CE379" s="3">
        <f t="shared" si="153"/>
        <v>5392</v>
      </c>
      <c r="CF379" s="55">
        <f t="shared" si="154"/>
        <v>2.2336371168185583</v>
      </c>
      <c r="CG379" s="55">
        <f t="shared" si="155"/>
        <v>0.62939185245710283</v>
      </c>
      <c r="CH379" s="55">
        <f t="shared" si="156"/>
        <v>0.6267581076368709</v>
      </c>
      <c r="CI379" s="30">
        <v>13</v>
      </c>
      <c r="CJ379" s="30">
        <v>0</v>
      </c>
      <c r="CK379" s="30">
        <v>1</v>
      </c>
      <c r="CL379" s="30">
        <v>14</v>
      </c>
      <c r="CM379" s="30">
        <v>196</v>
      </c>
      <c r="CN379" s="30">
        <v>0</v>
      </c>
      <c r="CO379" s="30">
        <v>7</v>
      </c>
      <c r="CP379" s="30">
        <v>203</v>
      </c>
      <c r="CQ379" s="1">
        <f t="shared" si="164"/>
        <v>0.11878291398478642</v>
      </c>
      <c r="CR379" s="47">
        <v>8567</v>
      </c>
      <c r="CS379" s="55">
        <f t="shared" si="157"/>
        <v>5.0128730251609124</v>
      </c>
      <c r="CT379" s="59">
        <v>364</v>
      </c>
      <c r="CU379" s="29" t="s">
        <v>25</v>
      </c>
      <c r="CV379" s="29" t="s">
        <v>25</v>
      </c>
      <c r="CW379" s="29" t="s">
        <v>25</v>
      </c>
      <c r="CX379" s="35">
        <v>0</v>
      </c>
      <c r="CY379" s="49">
        <v>0</v>
      </c>
      <c r="CZ379" s="35">
        <v>1</v>
      </c>
      <c r="DA379" s="35">
        <v>0</v>
      </c>
      <c r="DB379" s="35">
        <v>1</v>
      </c>
      <c r="DC379" s="49">
        <f t="shared" si="158"/>
        <v>1709</v>
      </c>
      <c r="DD379" s="30">
        <v>2158</v>
      </c>
      <c r="DE379" s="31">
        <v>27000</v>
      </c>
      <c r="DF379" s="35">
        <v>40</v>
      </c>
      <c r="DG379" s="29" t="s">
        <v>25</v>
      </c>
      <c r="DH379" s="29" t="s">
        <v>25</v>
      </c>
      <c r="DI379" s="29" t="s">
        <v>25</v>
      </c>
      <c r="DJ379" s="47">
        <v>16</v>
      </c>
      <c r="DK379" s="47">
        <v>11</v>
      </c>
      <c r="DL379" s="47">
        <v>4</v>
      </c>
      <c r="DM379" s="47">
        <v>3787</v>
      </c>
      <c r="DN379" s="47">
        <v>37</v>
      </c>
      <c r="DO379" s="47">
        <v>190</v>
      </c>
      <c r="DP379" s="29" t="s">
        <v>2028</v>
      </c>
      <c r="DQ379" s="47">
        <v>0</v>
      </c>
      <c r="DR379" s="47">
        <v>2414</v>
      </c>
      <c r="DS379" s="30">
        <v>51</v>
      </c>
      <c r="DT379" s="30">
        <v>49</v>
      </c>
      <c r="DU379" s="30">
        <v>49</v>
      </c>
      <c r="DV379" s="30">
        <v>49</v>
      </c>
      <c r="DX379" s="2">
        <f t="shared" si="159"/>
        <v>2414</v>
      </c>
      <c r="DY379" s="33" t="s">
        <v>2185</v>
      </c>
      <c r="DZ379" s="33" t="s">
        <v>1761</v>
      </c>
      <c r="EA379" s="33" t="s">
        <v>2030</v>
      </c>
      <c r="EB379" s="33" t="s">
        <v>2027</v>
      </c>
      <c r="EC379" s="36">
        <v>614</v>
      </c>
      <c r="ED379" s="29" t="s">
        <v>1760</v>
      </c>
      <c r="EE379" s="29" t="s">
        <v>359</v>
      </c>
      <c r="EF379" s="37">
        <v>41548</v>
      </c>
      <c r="EG379" s="37">
        <v>41912</v>
      </c>
      <c r="EH379" s="29" t="s">
        <v>1760</v>
      </c>
      <c r="EI379" s="55">
        <f t="shared" si="160"/>
        <v>0.57636044470450554</v>
      </c>
      <c r="EJ379" s="54">
        <f t="shared" si="161"/>
        <v>0</v>
      </c>
      <c r="EK379" s="55">
        <f t="shared" si="162"/>
        <v>2.5787009947337625</v>
      </c>
      <c r="EL379" s="54">
        <f t="shared" si="163"/>
        <v>0</v>
      </c>
    </row>
    <row r="380" spans="1:142" ht="28.8" x14ac:dyDescent="0.3">
      <c r="A380" s="29" t="s">
        <v>1000</v>
      </c>
      <c r="B380" s="29"/>
      <c r="C380" s="30">
        <v>18922</v>
      </c>
      <c r="D380" s="30">
        <v>0</v>
      </c>
      <c r="E380" s="30">
        <v>0</v>
      </c>
      <c r="F380" s="30">
        <v>20000</v>
      </c>
      <c r="H380" s="2">
        <f t="shared" si="166"/>
        <v>20000</v>
      </c>
      <c r="I380" s="1">
        <f t="shared" si="165"/>
        <v>1.0569707219110032</v>
      </c>
      <c r="J380" s="31">
        <v>230532</v>
      </c>
      <c r="K380" s="31">
        <v>121310</v>
      </c>
      <c r="L380" s="31">
        <v>351842</v>
      </c>
      <c r="M380" s="45">
        <f t="shared" si="140"/>
        <v>18.594334636930558</v>
      </c>
      <c r="N380" s="31">
        <v>21181</v>
      </c>
      <c r="O380" s="31">
        <v>2139</v>
      </c>
      <c r="P380" s="31">
        <v>4331</v>
      </c>
      <c r="Q380" s="31">
        <v>27651</v>
      </c>
      <c r="R380" s="45">
        <f t="shared" si="141"/>
        <v>1.4613148715780573</v>
      </c>
      <c r="S380" s="31">
        <v>31274</v>
      </c>
      <c r="T380" s="31">
        <v>410767</v>
      </c>
      <c r="U380" s="31">
        <v>0</v>
      </c>
      <c r="V380" s="31">
        <v>410767</v>
      </c>
      <c r="W380" s="45">
        <f t="shared" si="142"/>
        <v>21.708434626360848</v>
      </c>
      <c r="X380" s="4">
        <f t="shared" si="143"/>
        <v>0.85654884642631957</v>
      </c>
      <c r="Y380" s="4">
        <f t="shared" si="144"/>
        <v>6.7315534110578501E-2</v>
      </c>
      <c r="Z380" s="4">
        <f t="shared" si="145"/>
        <v>7.6135619463101947E-2</v>
      </c>
      <c r="AA380" s="4">
        <f t="shared" si="146"/>
        <v>0</v>
      </c>
      <c r="AB380" s="31">
        <v>0</v>
      </c>
      <c r="AC380" s="31">
        <v>27651</v>
      </c>
      <c r="AD380" s="31">
        <v>410767</v>
      </c>
      <c r="AE380" s="31">
        <v>403150</v>
      </c>
      <c r="AF380" s="31">
        <v>403150</v>
      </c>
      <c r="AG380" s="31">
        <v>0</v>
      </c>
      <c r="AH380" s="31">
        <v>0</v>
      </c>
      <c r="AI380" s="31">
        <v>403150</v>
      </c>
      <c r="AJ380" s="45">
        <f t="shared" si="147"/>
        <v>21.305887326921045</v>
      </c>
      <c r="AK380" s="31">
        <v>0</v>
      </c>
      <c r="AL380" s="31">
        <v>0</v>
      </c>
      <c r="AM380" s="31">
        <v>0</v>
      </c>
      <c r="AN380" s="31">
        <v>0</v>
      </c>
      <c r="AO380" s="31">
        <v>535</v>
      </c>
      <c r="AP380" s="31">
        <v>3492</v>
      </c>
      <c r="AQ380" s="31">
        <v>4027</v>
      </c>
      <c r="AR380" s="31">
        <v>407177</v>
      </c>
      <c r="AS380" s="46">
        <f t="shared" si="148"/>
        <v>21.518708381777824</v>
      </c>
      <c r="AT380" s="31">
        <v>0</v>
      </c>
      <c r="AU380" s="31">
        <v>0</v>
      </c>
      <c r="AV380" s="31">
        <v>0</v>
      </c>
      <c r="AW380" s="31">
        <v>0</v>
      </c>
      <c r="AX380" s="31">
        <v>0</v>
      </c>
      <c r="AY380" s="31">
        <v>0</v>
      </c>
      <c r="AZ380" s="31">
        <v>0</v>
      </c>
      <c r="BA380" s="31">
        <v>0</v>
      </c>
      <c r="BB380" s="31">
        <v>0</v>
      </c>
      <c r="BC380" s="33" t="s">
        <v>25</v>
      </c>
      <c r="BD380" s="47">
        <v>72854</v>
      </c>
      <c r="BE380" s="47">
        <v>77830</v>
      </c>
      <c r="BF380" s="45">
        <f t="shared" si="149"/>
        <v>4.1132015643166682</v>
      </c>
      <c r="BG380" s="30">
        <v>2105</v>
      </c>
      <c r="BH380" s="30">
        <v>2122</v>
      </c>
      <c r="BI380" s="30">
        <v>466</v>
      </c>
      <c r="BJ380" s="30">
        <v>2163</v>
      </c>
      <c r="BK380" s="30">
        <v>2236</v>
      </c>
      <c r="BL380" s="30">
        <v>57</v>
      </c>
      <c r="BM380" s="30">
        <v>3612</v>
      </c>
      <c r="BN380" s="30">
        <v>0</v>
      </c>
      <c r="BO380" s="30">
        <v>51</v>
      </c>
      <c r="BP380" s="30">
        <v>0</v>
      </c>
      <c r="BQ380" s="30">
        <v>51</v>
      </c>
      <c r="BR380" s="47">
        <v>77122</v>
      </c>
      <c r="BS380" s="47">
        <v>86323</v>
      </c>
      <c r="BT380" s="1">
        <f t="shared" si="150"/>
        <v>4.5620441813761756</v>
      </c>
      <c r="BU380" s="30">
        <v>116</v>
      </c>
      <c r="BV380" s="30">
        <v>0</v>
      </c>
      <c r="BW380" s="47">
        <v>5631</v>
      </c>
      <c r="BX380" s="52">
        <f t="shared" si="151"/>
        <v>0.2975901067540429</v>
      </c>
      <c r="BY380" s="47">
        <v>29195</v>
      </c>
      <c r="BZ380" s="47">
        <v>17</v>
      </c>
      <c r="CA380" s="47">
        <v>143296</v>
      </c>
      <c r="CB380" s="47">
        <v>434</v>
      </c>
      <c r="CC380" s="47">
        <v>172942</v>
      </c>
      <c r="CD380" s="55">
        <f t="shared" si="152"/>
        <v>9.1397315294366344</v>
      </c>
      <c r="CE380" s="3">
        <f t="shared" si="153"/>
        <v>31444</v>
      </c>
      <c r="CF380" s="55">
        <f t="shared" si="154"/>
        <v>82.314136125654457</v>
      </c>
      <c r="CG380" s="55">
        <f t="shared" si="155"/>
        <v>2.8055415862303912</v>
      </c>
      <c r="CH380" s="55">
        <f t="shared" si="156"/>
        <v>1.9982044182894478</v>
      </c>
      <c r="CI380" s="30">
        <v>66</v>
      </c>
      <c r="CJ380" s="30">
        <v>6</v>
      </c>
      <c r="CK380" s="30">
        <v>0</v>
      </c>
      <c r="CL380" s="30">
        <v>72</v>
      </c>
      <c r="CM380" s="30">
        <v>1868</v>
      </c>
      <c r="CN380" s="30">
        <v>57</v>
      </c>
      <c r="CO380" s="30">
        <v>0</v>
      </c>
      <c r="CP380" s="30">
        <v>1925</v>
      </c>
      <c r="CQ380" s="1">
        <f t="shared" si="164"/>
        <v>0.10173343198393404</v>
      </c>
      <c r="CR380" s="47">
        <v>61643</v>
      </c>
      <c r="CS380" s="55">
        <f t="shared" si="157"/>
        <v>3.2577423105379979</v>
      </c>
      <c r="CT380" s="59">
        <v>11966</v>
      </c>
      <c r="CU380" s="29" t="s">
        <v>25</v>
      </c>
      <c r="CV380" s="29" t="s">
        <v>25</v>
      </c>
      <c r="CW380" s="29" t="s">
        <v>25</v>
      </c>
      <c r="CX380" s="35">
        <v>1</v>
      </c>
      <c r="CY380" s="49">
        <f>C380/CX380</f>
        <v>18922</v>
      </c>
      <c r="CZ380" s="35">
        <v>1</v>
      </c>
      <c r="DA380" s="35">
        <v>3.5</v>
      </c>
      <c r="DB380" s="35">
        <v>5.5</v>
      </c>
      <c r="DC380" s="49">
        <f t="shared" si="158"/>
        <v>3440.3636363636365</v>
      </c>
      <c r="DD380" s="30">
        <v>1231</v>
      </c>
      <c r="DE380" s="31">
        <v>76544</v>
      </c>
      <c r="DF380" s="35">
        <v>40</v>
      </c>
      <c r="DG380" s="29" t="s">
        <v>25</v>
      </c>
      <c r="DH380" s="29" t="s">
        <v>26</v>
      </c>
      <c r="DI380" s="29" t="s">
        <v>26</v>
      </c>
      <c r="DJ380" s="47">
        <v>138</v>
      </c>
      <c r="DK380" s="47">
        <v>86</v>
      </c>
      <c r="DL380" s="47">
        <v>7</v>
      </c>
      <c r="DM380" s="47">
        <v>4846</v>
      </c>
      <c r="DN380" s="47">
        <v>477</v>
      </c>
      <c r="DO380" s="47">
        <v>143</v>
      </c>
      <c r="DP380" s="29" t="s">
        <v>2028</v>
      </c>
      <c r="DQ380" s="47">
        <v>0</v>
      </c>
      <c r="DR380" s="47">
        <v>2101</v>
      </c>
      <c r="DS380" s="30">
        <v>52</v>
      </c>
      <c r="DT380" s="30">
        <v>42</v>
      </c>
      <c r="DU380" s="30">
        <v>42</v>
      </c>
      <c r="DV380" s="30">
        <v>42</v>
      </c>
      <c r="DX380" s="2">
        <f t="shared" si="159"/>
        <v>2101</v>
      </c>
      <c r="DY380" s="33" t="s">
        <v>2185</v>
      </c>
      <c r="DZ380" s="33" t="s">
        <v>1002</v>
      </c>
      <c r="EA380" s="33" t="s">
        <v>2030</v>
      </c>
      <c r="EB380" s="33" t="s">
        <v>2027</v>
      </c>
      <c r="EC380" s="36">
        <v>291</v>
      </c>
      <c r="ED380" s="29" t="s">
        <v>1001</v>
      </c>
      <c r="EE380" s="29" t="s">
        <v>1000</v>
      </c>
      <c r="EF380" s="37">
        <v>41548</v>
      </c>
      <c r="EG380" s="37">
        <v>41912</v>
      </c>
      <c r="EH380" s="29" t="s">
        <v>1001</v>
      </c>
      <c r="EI380" s="55">
        <f t="shared" si="160"/>
        <v>1.5429130113095868</v>
      </c>
      <c r="EJ380" s="54">
        <f t="shared" si="161"/>
        <v>8.9842511362435255E-4</v>
      </c>
      <c r="EK380" s="55">
        <f t="shared" si="162"/>
        <v>7.5729838283479545</v>
      </c>
      <c r="EL380" s="54">
        <f t="shared" si="163"/>
        <v>2.2936264665468768E-2</v>
      </c>
    </row>
    <row r="381" spans="1:142" ht="28.8" x14ac:dyDescent="0.3">
      <c r="A381" s="29" t="s">
        <v>1003</v>
      </c>
      <c r="B381" s="29"/>
      <c r="C381" s="30">
        <v>3807</v>
      </c>
      <c r="D381" s="30">
        <v>0</v>
      </c>
      <c r="E381" s="30">
        <v>0</v>
      </c>
      <c r="F381" s="30">
        <v>6087</v>
      </c>
      <c r="H381" s="2">
        <f t="shared" si="166"/>
        <v>6087</v>
      </c>
      <c r="I381" s="1">
        <f t="shared" si="165"/>
        <v>1.598896769109535</v>
      </c>
      <c r="J381" s="31">
        <v>102667</v>
      </c>
      <c r="K381" s="31">
        <v>51413</v>
      </c>
      <c r="L381" s="31">
        <v>154080</v>
      </c>
      <c r="M381" s="45">
        <f t="shared" si="140"/>
        <v>40.472813238770684</v>
      </c>
      <c r="N381" s="31">
        <v>20370</v>
      </c>
      <c r="O381" s="31">
        <v>5902</v>
      </c>
      <c r="P381" s="31">
        <v>3919</v>
      </c>
      <c r="Q381" s="31">
        <v>30191</v>
      </c>
      <c r="R381" s="45">
        <f t="shared" si="141"/>
        <v>7.9303913842920934</v>
      </c>
      <c r="S381" s="31">
        <v>26915</v>
      </c>
      <c r="T381" s="31">
        <v>211186</v>
      </c>
      <c r="U381" s="31">
        <v>0</v>
      </c>
      <c r="V381" s="31">
        <v>211186</v>
      </c>
      <c r="W381" s="45">
        <f t="shared" si="142"/>
        <v>55.473075912792225</v>
      </c>
      <c r="X381" s="4">
        <f t="shared" si="143"/>
        <v>0.72959381777201138</v>
      </c>
      <c r="Y381" s="4">
        <f t="shared" si="144"/>
        <v>0.14295928707395378</v>
      </c>
      <c r="Z381" s="4">
        <f t="shared" si="145"/>
        <v>0.12744689515403484</v>
      </c>
      <c r="AA381" s="4">
        <f t="shared" si="146"/>
        <v>0</v>
      </c>
      <c r="AB381" s="31">
        <v>2728</v>
      </c>
      <c r="AC381" s="31">
        <v>30191</v>
      </c>
      <c r="AD381" s="31">
        <v>211186</v>
      </c>
      <c r="AE381" s="31">
        <v>211186</v>
      </c>
      <c r="AF381" s="31">
        <v>0</v>
      </c>
      <c r="AG381" s="31">
        <v>211186</v>
      </c>
      <c r="AH381" s="31">
        <v>0</v>
      </c>
      <c r="AI381" s="31">
        <v>211186</v>
      </c>
      <c r="AJ381" s="45">
        <f t="shared" si="147"/>
        <v>55.473075912792225</v>
      </c>
      <c r="AK381" s="31">
        <v>0</v>
      </c>
      <c r="AL381" s="31">
        <v>0</v>
      </c>
      <c r="AM381" s="31">
        <v>0</v>
      </c>
      <c r="AN381" s="31">
        <v>0</v>
      </c>
      <c r="AO381" s="31">
        <v>0</v>
      </c>
      <c r="AP381" s="31">
        <v>0</v>
      </c>
      <c r="AQ381" s="31">
        <v>0</v>
      </c>
      <c r="AR381" s="31">
        <v>211186</v>
      </c>
      <c r="AS381" s="46">
        <f t="shared" si="148"/>
        <v>55.473075912792225</v>
      </c>
      <c r="AT381" s="31">
        <v>0</v>
      </c>
      <c r="AU381" s="31">
        <v>0</v>
      </c>
      <c r="AV381" s="31">
        <v>0</v>
      </c>
      <c r="AW381" s="31">
        <v>0</v>
      </c>
      <c r="AX381" s="31">
        <v>0</v>
      </c>
      <c r="AY381" s="31">
        <v>0</v>
      </c>
      <c r="AZ381" s="31">
        <v>5000</v>
      </c>
      <c r="BA381" s="31">
        <v>2654</v>
      </c>
      <c r="BB381" s="31">
        <v>7654</v>
      </c>
      <c r="BC381" s="33" t="s">
        <v>25</v>
      </c>
      <c r="BD381" s="47">
        <v>20650</v>
      </c>
      <c r="BE381" s="47">
        <v>21730</v>
      </c>
      <c r="BF381" s="45">
        <f t="shared" si="149"/>
        <v>5.7079064880483319</v>
      </c>
      <c r="BG381" s="30">
        <v>1500</v>
      </c>
      <c r="BH381" s="30">
        <v>1610</v>
      </c>
      <c r="BI381" s="30">
        <v>3174</v>
      </c>
      <c r="BJ381" s="30">
        <v>9</v>
      </c>
      <c r="BK381" s="30">
        <v>9</v>
      </c>
      <c r="BL381" s="30">
        <v>0</v>
      </c>
      <c r="BM381" s="30">
        <v>9337</v>
      </c>
      <c r="BN381" s="30">
        <v>3</v>
      </c>
      <c r="BO381" s="30">
        <v>51</v>
      </c>
      <c r="BP381" s="30">
        <v>0</v>
      </c>
      <c r="BQ381" s="30">
        <v>54</v>
      </c>
      <c r="BR381" s="47">
        <v>22159</v>
      </c>
      <c r="BS381" s="47">
        <v>35863</v>
      </c>
      <c r="BT381" s="1">
        <f t="shared" si="150"/>
        <v>9.4202784344628316</v>
      </c>
      <c r="BU381" s="30">
        <v>8</v>
      </c>
      <c r="BV381" s="30">
        <v>0</v>
      </c>
      <c r="BW381" s="47">
        <v>1165</v>
      </c>
      <c r="BX381" s="52">
        <f t="shared" si="151"/>
        <v>0.30601523509324929</v>
      </c>
      <c r="BY381" s="47">
        <v>4294</v>
      </c>
      <c r="BZ381" s="47">
        <v>82</v>
      </c>
      <c r="CA381" s="47">
        <v>14284</v>
      </c>
      <c r="CB381" s="47">
        <v>329</v>
      </c>
      <c r="CC381" s="47">
        <v>18989</v>
      </c>
      <c r="CD381" s="55">
        <f t="shared" si="152"/>
        <v>4.9879169950091935</v>
      </c>
      <c r="CE381" s="3">
        <f t="shared" si="153"/>
        <v>5425.4285714285716</v>
      </c>
      <c r="CF381" s="55">
        <f t="shared" si="154"/>
        <v>7.3829704510108867</v>
      </c>
      <c r="CG381" s="55">
        <f t="shared" si="155"/>
        <v>0.8689424792934608</v>
      </c>
      <c r="CH381" s="55">
        <f t="shared" si="156"/>
        <v>0.5180269358391657</v>
      </c>
      <c r="CI381" s="30">
        <v>20</v>
      </c>
      <c r="CJ381" s="30">
        <v>17</v>
      </c>
      <c r="CK381" s="30">
        <v>65</v>
      </c>
      <c r="CL381" s="30">
        <v>102</v>
      </c>
      <c r="CM381" s="30">
        <v>1198</v>
      </c>
      <c r="CN381" s="30">
        <v>167</v>
      </c>
      <c r="CO381" s="30">
        <v>745</v>
      </c>
      <c r="CP381" s="30">
        <v>2110</v>
      </c>
      <c r="CQ381" s="1">
        <f t="shared" si="164"/>
        <v>0.55424218544785919</v>
      </c>
      <c r="CR381" s="47">
        <v>21853</v>
      </c>
      <c r="CS381" s="55">
        <f t="shared" si="157"/>
        <v>5.740215392697662</v>
      </c>
      <c r="CT381" s="59">
        <v>2332</v>
      </c>
      <c r="CU381" s="29" t="s">
        <v>25</v>
      </c>
      <c r="CV381" s="29" t="s">
        <v>25</v>
      </c>
      <c r="CW381" s="29" t="s">
        <v>25</v>
      </c>
      <c r="CX381" s="35">
        <v>0</v>
      </c>
      <c r="CY381" s="49">
        <v>0</v>
      </c>
      <c r="CZ381" s="35">
        <v>3</v>
      </c>
      <c r="DA381" s="35">
        <v>0.5</v>
      </c>
      <c r="DB381" s="35">
        <v>3.5</v>
      </c>
      <c r="DC381" s="49">
        <f t="shared" si="158"/>
        <v>1087.7142857142858</v>
      </c>
      <c r="DD381" s="30">
        <v>771</v>
      </c>
      <c r="DE381" s="31">
        <v>38501</v>
      </c>
      <c r="DF381" s="35">
        <v>40</v>
      </c>
      <c r="DG381" s="29" t="s">
        <v>25</v>
      </c>
      <c r="DH381" s="29" t="s">
        <v>25</v>
      </c>
      <c r="DI381" s="29" t="s">
        <v>25</v>
      </c>
      <c r="DJ381" s="47">
        <v>10</v>
      </c>
      <c r="DK381" s="47">
        <v>0</v>
      </c>
      <c r="DL381" s="47">
        <v>12</v>
      </c>
      <c r="DM381" s="47">
        <v>8962</v>
      </c>
      <c r="DN381" s="47">
        <v>603</v>
      </c>
      <c r="DO381" s="47">
        <v>4186</v>
      </c>
      <c r="DP381" s="29" t="s">
        <v>25</v>
      </c>
      <c r="DQ381" s="47">
        <v>5920</v>
      </c>
      <c r="DR381" s="47">
        <v>2572</v>
      </c>
      <c r="DS381" s="30">
        <v>52</v>
      </c>
      <c r="DT381" s="30">
        <v>51</v>
      </c>
      <c r="DU381" s="30">
        <v>51</v>
      </c>
      <c r="DV381" s="30">
        <v>51</v>
      </c>
      <c r="DX381" s="2">
        <f t="shared" si="159"/>
        <v>2572</v>
      </c>
      <c r="DY381" s="33" t="s">
        <v>2179</v>
      </c>
      <c r="DZ381" s="33" t="s">
        <v>1005</v>
      </c>
      <c r="EA381" s="33" t="s">
        <v>2031</v>
      </c>
      <c r="EB381" s="33" t="s">
        <v>2027</v>
      </c>
      <c r="EC381" s="36">
        <v>292</v>
      </c>
      <c r="ED381" s="29" t="s">
        <v>1004</v>
      </c>
      <c r="EE381" s="29" t="s">
        <v>372</v>
      </c>
      <c r="EF381" s="37">
        <v>41640</v>
      </c>
      <c r="EG381" s="37">
        <v>42004</v>
      </c>
      <c r="EH381" s="29" t="s">
        <v>1004</v>
      </c>
      <c r="EI381" s="55">
        <f t="shared" si="160"/>
        <v>1.1279222484896243</v>
      </c>
      <c r="EJ381" s="54">
        <f t="shared" si="161"/>
        <v>2.1539269766220122E-2</v>
      </c>
      <c r="EK381" s="55">
        <f t="shared" si="162"/>
        <v>3.7520357236669293</v>
      </c>
      <c r="EL381" s="54">
        <f t="shared" si="163"/>
        <v>8.6419753086419748E-2</v>
      </c>
    </row>
    <row r="382" spans="1:142" ht="28.8" x14ac:dyDescent="0.3">
      <c r="A382" s="29" t="s">
        <v>1006</v>
      </c>
      <c r="B382" s="29"/>
      <c r="C382" s="30">
        <v>1452</v>
      </c>
      <c r="D382" s="30">
        <v>0</v>
      </c>
      <c r="E382" s="30">
        <v>0</v>
      </c>
      <c r="F382" s="30">
        <v>1849</v>
      </c>
      <c r="H382" s="2">
        <f t="shared" si="166"/>
        <v>1849</v>
      </c>
      <c r="I382" s="1">
        <f t="shared" si="165"/>
        <v>1.2734159779614325</v>
      </c>
      <c r="J382" s="31">
        <v>9984</v>
      </c>
      <c r="K382" s="31">
        <v>2360</v>
      </c>
      <c r="L382" s="31">
        <v>12344</v>
      </c>
      <c r="M382" s="45">
        <f t="shared" si="140"/>
        <v>8.5013774104683204</v>
      </c>
      <c r="N382" s="31">
        <v>5424</v>
      </c>
      <c r="O382" s="31">
        <v>0</v>
      </c>
      <c r="P382" s="31">
        <v>0</v>
      </c>
      <c r="Q382" s="31">
        <v>5424</v>
      </c>
      <c r="R382" s="45">
        <f t="shared" si="141"/>
        <v>3.7355371900826446</v>
      </c>
      <c r="S382" s="31">
        <v>4444</v>
      </c>
      <c r="T382" s="31">
        <v>22212</v>
      </c>
      <c r="U382" s="31">
        <v>0</v>
      </c>
      <c r="V382" s="31">
        <v>22212</v>
      </c>
      <c r="W382" s="45">
        <f t="shared" si="142"/>
        <v>15.297520661157025</v>
      </c>
      <c r="X382" s="4">
        <f t="shared" si="143"/>
        <v>0.55573563839366114</v>
      </c>
      <c r="Y382" s="4">
        <f t="shared" si="144"/>
        <v>0.2441923284710967</v>
      </c>
      <c r="Z382" s="4">
        <f t="shared" si="145"/>
        <v>0.20007203313524222</v>
      </c>
      <c r="AA382" s="4">
        <f t="shared" si="146"/>
        <v>0</v>
      </c>
      <c r="AB382" s="31">
        <v>0</v>
      </c>
      <c r="AC382" s="31">
        <v>447</v>
      </c>
      <c r="AD382" s="31">
        <v>15038</v>
      </c>
      <c r="AE382" s="31">
        <v>14183</v>
      </c>
      <c r="AF382" s="31">
        <v>6600</v>
      </c>
      <c r="AG382" s="31">
        <v>7583</v>
      </c>
      <c r="AH382" s="31">
        <v>0</v>
      </c>
      <c r="AI382" s="31">
        <v>14183</v>
      </c>
      <c r="AJ382" s="45">
        <f t="shared" si="147"/>
        <v>9.7679063360881546</v>
      </c>
      <c r="AK382" s="31">
        <v>0</v>
      </c>
      <c r="AL382" s="31">
        <v>0</v>
      </c>
      <c r="AM382" s="31">
        <v>0</v>
      </c>
      <c r="AN382" s="31">
        <v>0</v>
      </c>
      <c r="AO382" s="31">
        <v>1750</v>
      </c>
      <c r="AP382" s="31">
        <v>2482</v>
      </c>
      <c r="AQ382" s="31">
        <v>4232</v>
      </c>
      <c r="AR382" s="31">
        <v>18415</v>
      </c>
      <c r="AS382" s="46">
        <f t="shared" si="148"/>
        <v>12.682506887052341</v>
      </c>
      <c r="AT382" s="31">
        <v>0</v>
      </c>
      <c r="AU382" s="31">
        <v>0</v>
      </c>
      <c r="AV382" s="31">
        <v>0</v>
      </c>
      <c r="AW382" s="31">
        <v>0</v>
      </c>
      <c r="AX382" s="31">
        <v>0</v>
      </c>
      <c r="AY382" s="31">
        <v>0</v>
      </c>
      <c r="AZ382" s="31">
        <v>0</v>
      </c>
      <c r="BA382" s="31">
        <v>0</v>
      </c>
      <c r="BB382" s="31">
        <v>0</v>
      </c>
      <c r="BC382" s="33" t="s">
        <v>25</v>
      </c>
      <c r="BD382" s="47">
        <v>14802</v>
      </c>
      <c r="BE382" s="47">
        <v>15226</v>
      </c>
      <c r="BF382" s="45">
        <f t="shared" si="149"/>
        <v>10.486225895316805</v>
      </c>
      <c r="BG382" s="30">
        <v>475</v>
      </c>
      <c r="BH382" s="30">
        <v>637</v>
      </c>
      <c r="BI382" s="30">
        <v>0</v>
      </c>
      <c r="BJ382" s="30">
        <v>925</v>
      </c>
      <c r="BK382" s="30">
        <v>1016</v>
      </c>
      <c r="BL382" s="30">
        <v>0</v>
      </c>
      <c r="BM382" s="30">
        <v>0</v>
      </c>
      <c r="BN382" s="30">
        <v>0</v>
      </c>
      <c r="BO382" s="30">
        <v>0</v>
      </c>
      <c r="BP382" s="30">
        <v>0</v>
      </c>
      <c r="BQ382" s="30">
        <v>0</v>
      </c>
      <c r="BR382" s="47">
        <v>16202</v>
      </c>
      <c r="BS382" s="47">
        <v>16879</v>
      </c>
      <c r="BT382" s="1">
        <f t="shared" si="150"/>
        <v>11.624655647382919</v>
      </c>
      <c r="BU382" s="30">
        <v>0</v>
      </c>
      <c r="BV382" s="30">
        <v>0</v>
      </c>
      <c r="BW382" s="47">
        <v>247</v>
      </c>
      <c r="BX382" s="52">
        <f t="shared" si="151"/>
        <v>0.17011019283746556</v>
      </c>
      <c r="BY382" s="47">
        <v>174</v>
      </c>
      <c r="BZ382" s="47">
        <v>0</v>
      </c>
      <c r="CA382" s="47">
        <v>3754</v>
      </c>
      <c r="CB382" s="47">
        <v>0</v>
      </c>
      <c r="CC382" s="47">
        <v>3928</v>
      </c>
      <c r="CD382" s="55">
        <f t="shared" si="152"/>
        <v>2.7052341597796143</v>
      </c>
      <c r="CE382" s="3">
        <f t="shared" si="153"/>
        <v>6546.666666666667</v>
      </c>
      <c r="CF382" s="55">
        <f t="shared" si="154"/>
        <v>3.1075949367088609</v>
      </c>
      <c r="CG382" s="55">
        <f t="shared" si="155"/>
        <v>1.1913861085835609</v>
      </c>
      <c r="CH382" s="55">
        <f t="shared" si="156"/>
        <v>0.23271520824693406</v>
      </c>
      <c r="CI382" s="30">
        <v>4</v>
      </c>
      <c r="CJ382" s="30">
        <v>0</v>
      </c>
      <c r="CK382" s="30">
        <v>0</v>
      </c>
      <c r="CL382" s="30">
        <v>4</v>
      </c>
      <c r="CM382" s="30">
        <v>81</v>
      </c>
      <c r="CN382" s="30">
        <v>0</v>
      </c>
      <c r="CO382" s="30">
        <v>0</v>
      </c>
      <c r="CP382" s="30">
        <v>81</v>
      </c>
      <c r="CQ382" s="1">
        <f t="shared" si="164"/>
        <v>5.578512396694215E-2</v>
      </c>
      <c r="CR382" s="47">
        <v>3297</v>
      </c>
      <c r="CS382" s="55">
        <f t="shared" si="157"/>
        <v>2.2706611570247932</v>
      </c>
      <c r="CT382" s="59">
        <v>739</v>
      </c>
      <c r="CU382" s="29" t="s">
        <v>25</v>
      </c>
      <c r="CV382" s="29" t="s">
        <v>25</v>
      </c>
      <c r="CW382" s="29" t="s">
        <v>25</v>
      </c>
      <c r="CX382" s="35">
        <v>0</v>
      </c>
      <c r="CY382" s="49">
        <v>0</v>
      </c>
      <c r="CZ382" s="35">
        <v>0.6</v>
      </c>
      <c r="DA382" s="35">
        <v>0</v>
      </c>
      <c r="DB382" s="35">
        <v>0.6</v>
      </c>
      <c r="DC382" s="49">
        <f t="shared" si="158"/>
        <v>2420</v>
      </c>
      <c r="DD382" s="30">
        <v>960</v>
      </c>
      <c r="DE382" s="31">
        <v>9984</v>
      </c>
      <c r="DF382" s="35">
        <v>24</v>
      </c>
      <c r="DG382" s="29" t="s">
        <v>25</v>
      </c>
      <c r="DH382" s="29" t="s">
        <v>26</v>
      </c>
      <c r="DI382" s="29" t="s">
        <v>26</v>
      </c>
      <c r="DJ382" s="47">
        <v>0</v>
      </c>
      <c r="DK382" s="47">
        <v>0</v>
      </c>
      <c r="DL382" s="47">
        <v>4</v>
      </c>
      <c r="DM382" s="47">
        <v>863</v>
      </c>
      <c r="DN382" s="47">
        <v>0</v>
      </c>
      <c r="DO382" s="47">
        <v>0</v>
      </c>
      <c r="DP382" s="29" t="s">
        <v>25</v>
      </c>
      <c r="DQ382" s="47">
        <v>217</v>
      </c>
      <c r="DR382" s="47">
        <v>1264</v>
      </c>
      <c r="DS382" s="30">
        <v>52</v>
      </c>
      <c r="DT382" s="30">
        <v>28</v>
      </c>
      <c r="DU382" s="30">
        <v>28</v>
      </c>
      <c r="DV382" s="30">
        <v>28</v>
      </c>
      <c r="DX382" s="2">
        <f t="shared" si="159"/>
        <v>1264</v>
      </c>
      <c r="DY382" s="33" t="s">
        <v>2181</v>
      </c>
      <c r="DZ382" s="33" t="s">
        <v>1009</v>
      </c>
      <c r="EA382" s="33" t="s">
        <v>2032</v>
      </c>
      <c r="EB382" s="33" t="s">
        <v>2027</v>
      </c>
      <c r="EC382" s="36">
        <v>293</v>
      </c>
      <c r="ED382" s="29" t="s">
        <v>1007</v>
      </c>
      <c r="EE382" s="29" t="s">
        <v>1008</v>
      </c>
      <c r="EF382" s="37">
        <v>41487</v>
      </c>
      <c r="EG382" s="37">
        <v>41851</v>
      </c>
      <c r="EH382" s="29" t="s">
        <v>1007</v>
      </c>
      <c r="EI382" s="55">
        <f t="shared" si="160"/>
        <v>0.11983471074380166</v>
      </c>
      <c r="EJ382" s="54">
        <f t="shared" si="161"/>
        <v>0</v>
      </c>
      <c r="EK382" s="55">
        <f t="shared" si="162"/>
        <v>2.5853994490358128</v>
      </c>
      <c r="EL382" s="54">
        <f t="shared" si="163"/>
        <v>0</v>
      </c>
    </row>
    <row r="383" spans="1:142" ht="28.8" x14ac:dyDescent="0.3">
      <c r="A383" s="29" t="s">
        <v>1010</v>
      </c>
      <c r="B383" s="29"/>
      <c r="C383" s="30">
        <v>10271</v>
      </c>
      <c r="D383" s="30">
        <v>1</v>
      </c>
      <c r="E383" s="30">
        <v>0</v>
      </c>
      <c r="F383" s="30">
        <v>4368</v>
      </c>
      <c r="G383">
        <v>1099</v>
      </c>
      <c r="H383" s="2">
        <f t="shared" si="166"/>
        <v>5467</v>
      </c>
      <c r="I383" s="1">
        <f t="shared" si="165"/>
        <v>0.53227533833122387</v>
      </c>
      <c r="J383" s="31">
        <v>78178</v>
      </c>
      <c r="K383" s="31">
        <v>8145</v>
      </c>
      <c r="L383" s="31">
        <v>86323</v>
      </c>
      <c r="M383" s="45">
        <f t="shared" si="140"/>
        <v>8.4045370460519919</v>
      </c>
      <c r="N383" s="31">
        <v>11474</v>
      </c>
      <c r="O383" s="31">
        <v>309</v>
      </c>
      <c r="P383" s="31">
        <v>0</v>
      </c>
      <c r="Q383" s="31">
        <v>11783</v>
      </c>
      <c r="R383" s="45">
        <f t="shared" si="141"/>
        <v>1.1472105929315548</v>
      </c>
      <c r="S383" s="31">
        <v>53031</v>
      </c>
      <c r="T383" s="31">
        <v>151137</v>
      </c>
      <c r="U383" s="31">
        <v>0</v>
      </c>
      <c r="V383" s="31">
        <v>151137</v>
      </c>
      <c r="W383" s="45">
        <f t="shared" si="142"/>
        <v>14.714925518450006</v>
      </c>
      <c r="X383" s="4">
        <f t="shared" si="143"/>
        <v>0.57115729437530183</v>
      </c>
      <c r="Y383" s="4">
        <f t="shared" si="144"/>
        <v>7.7962378504270957E-2</v>
      </c>
      <c r="Z383" s="4">
        <f t="shared" si="145"/>
        <v>0.35088032712042716</v>
      </c>
      <c r="AA383" s="4">
        <f t="shared" si="146"/>
        <v>0</v>
      </c>
      <c r="AB383" s="31">
        <v>0</v>
      </c>
      <c r="AC383" s="31">
        <v>11783</v>
      </c>
      <c r="AD383" s="31">
        <v>151137</v>
      </c>
      <c r="AE383" s="31">
        <v>100500</v>
      </c>
      <c r="AF383" s="31">
        <v>30000</v>
      </c>
      <c r="AG383" s="31">
        <v>66000</v>
      </c>
      <c r="AH383" s="31">
        <v>4500</v>
      </c>
      <c r="AI383" s="31">
        <v>100500</v>
      </c>
      <c r="AJ383" s="45">
        <f t="shared" si="147"/>
        <v>9.784831077791841</v>
      </c>
      <c r="AK383" s="31">
        <v>0</v>
      </c>
      <c r="AL383" s="31">
        <v>0</v>
      </c>
      <c r="AM383" s="31">
        <v>0</v>
      </c>
      <c r="AN383" s="31">
        <v>0</v>
      </c>
      <c r="AO383" s="31">
        <v>0</v>
      </c>
      <c r="AP383" s="31">
        <v>43610</v>
      </c>
      <c r="AQ383" s="31">
        <v>43610</v>
      </c>
      <c r="AR383" s="31">
        <v>144110</v>
      </c>
      <c r="AS383" s="46">
        <f t="shared" si="148"/>
        <v>14.030766235030669</v>
      </c>
      <c r="AT383" s="31">
        <v>0</v>
      </c>
      <c r="AU383" s="31">
        <v>0</v>
      </c>
      <c r="AV383" s="31">
        <v>0</v>
      </c>
      <c r="AW383" s="31">
        <v>0</v>
      </c>
      <c r="AX383" s="31">
        <v>0</v>
      </c>
      <c r="AY383" s="31">
        <v>0</v>
      </c>
      <c r="AZ383" s="31">
        <v>0</v>
      </c>
      <c r="BA383" s="31">
        <v>0</v>
      </c>
      <c r="BB383" s="31">
        <v>0</v>
      </c>
      <c r="BC383" s="33" t="s">
        <v>25</v>
      </c>
      <c r="BD383" s="47">
        <v>36986</v>
      </c>
      <c r="BE383" s="47">
        <v>36990</v>
      </c>
      <c r="BF383" s="45">
        <f t="shared" si="149"/>
        <v>3.6014020056469671</v>
      </c>
      <c r="BG383" s="30">
        <v>668</v>
      </c>
      <c r="BH383" s="30">
        <v>678</v>
      </c>
      <c r="BI383" s="30">
        <v>0</v>
      </c>
      <c r="BJ383" s="30">
        <v>1358</v>
      </c>
      <c r="BK383" s="30">
        <v>1406</v>
      </c>
      <c r="BL383" s="30">
        <v>0</v>
      </c>
      <c r="BM383" s="30">
        <v>95</v>
      </c>
      <c r="BN383" s="30">
        <v>0</v>
      </c>
      <c r="BO383" s="30">
        <v>51</v>
      </c>
      <c r="BP383" s="30">
        <v>0</v>
      </c>
      <c r="BQ383" s="30">
        <v>51</v>
      </c>
      <c r="BR383" s="47">
        <v>39012</v>
      </c>
      <c r="BS383" s="47">
        <v>39169</v>
      </c>
      <c r="BT383" s="1">
        <f t="shared" si="150"/>
        <v>3.8135527212540161</v>
      </c>
      <c r="BU383" s="30">
        <v>45</v>
      </c>
      <c r="BV383" s="30">
        <v>0</v>
      </c>
      <c r="BW383" s="47">
        <v>2215</v>
      </c>
      <c r="BX383" s="52">
        <f t="shared" si="151"/>
        <v>0.21565572972446695</v>
      </c>
      <c r="BY383" s="47">
        <v>3890</v>
      </c>
      <c r="BZ383" s="47">
        <v>0</v>
      </c>
      <c r="CA383" s="47">
        <v>4854</v>
      </c>
      <c r="CB383" s="47">
        <v>20</v>
      </c>
      <c r="CC383" s="47">
        <v>8764</v>
      </c>
      <c r="CD383" s="55">
        <f t="shared" si="152"/>
        <v>0.85327621458475322</v>
      </c>
      <c r="CE383" s="3">
        <f t="shared" si="153"/>
        <v>2086.6666666666665</v>
      </c>
      <c r="CF383" s="55">
        <f t="shared" si="154"/>
        <v>2.7681617182564748</v>
      </c>
      <c r="CG383" s="55">
        <f t="shared" si="155"/>
        <v>0.41453031879670799</v>
      </c>
      <c r="CH383" s="55">
        <f t="shared" si="156"/>
        <v>0.22323776455870714</v>
      </c>
      <c r="CI383" s="30">
        <v>250</v>
      </c>
      <c r="CJ383" s="30">
        <v>109</v>
      </c>
      <c r="CK383" s="30">
        <v>60</v>
      </c>
      <c r="CL383" s="30">
        <v>419</v>
      </c>
      <c r="CM383" s="30">
        <v>4473</v>
      </c>
      <c r="CN383" s="30">
        <v>281</v>
      </c>
      <c r="CO383" s="30">
        <v>834</v>
      </c>
      <c r="CP383" s="30">
        <v>5588</v>
      </c>
      <c r="CQ383" s="1">
        <f t="shared" si="164"/>
        <v>0.5440560802258787</v>
      </c>
      <c r="CR383" s="47">
        <v>21142</v>
      </c>
      <c r="CS383" s="55">
        <f t="shared" si="157"/>
        <v>2.0584169019569662</v>
      </c>
      <c r="CT383" s="59">
        <v>8141</v>
      </c>
      <c r="CU383" s="29" t="s">
        <v>25</v>
      </c>
      <c r="CV383" s="29" t="s">
        <v>25</v>
      </c>
      <c r="CW383" s="29" t="s">
        <v>25</v>
      </c>
      <c r="CX383" s="35">
        <v>0</v>
      </c>
      <c r="CY383" s="49">
        <v>0</v>
      </c>
      <c r="CZ383" s="35">
        <v>2.4500000000000002</v>
      </c>
      <c r="DA383" s="35">
        <v>1.75</v>
      </c>
      <c r="DB383" s="35">
        <v>4.2</v>
      </c>
      <c r="DC383" s="49">
        <f t="shared" si="158"/>
        <v>2445.4761904761904</v>
      </c>
      <c r="DD383" s="30">
        <v>755</v>
      </c>
      <c r="DE383" s="31">
        <v>28400</v>
      </c>
      <c r="DF383" s="35">
        <v>40</v>
      </c>
      <c r="DG383" s="29" t="s">
        <v>25</v>
      </c>
      <c r="DH383" s="29" t="s">
        <v>25</v>
      </c>
      <c r="DI383" s="29" t="s">
        <v>25</v>
      </c>
      <c r="DJ383" s="47">
        <v>18</v>
      </c>
      <c r="DK383" s="47">
        <v>19</v>
      </c>
      <c r="DL383" s="47">
        <v>22</v>
      </c>
      <c r="DM383" s="47">
        <v>13125</v>
      </c>
      <c r="DN383" s="47">
        <v>265</v>
      </c>
      <c r="DO383" s="47">
        <v>1145</v>
      </c>
      <c r="DP383" s="29" t="s">
        <v>2028</v>
      </c>
      <c r="DQ383" s="47">
        <v>0</v>
      </c>
      <c r="DR383" s="47">
        <v>2136</v>
      </c>
      <c r="DS383" s="30">
        <v>52</v>
      </c>
      <c r="DT383" s="30">
        <v>42</v>
      </c>
      <c r="DU383" s="30">
        <v>42</v>
      </c>
      <c r="DV383" s="30">
        <v>42</v>
      </c>
      <c r="DW383">
        <f>VLOOKUP(EC383,branch!$I$4:$K$77,3,0)</f>
        <v>1030</v>
      </c>
      <c r="DX383" s="2">
        <f t="shared" si="159"/>
        <v>3166</v>
      </c>
      <c r="DY383" s="33" t="s">
        <v>2185</v>
      </c>
      <c r="DZ383" s="33" t="s">
        <v>1012</v>
      </c>
      <c r="EA383" s="33" t="s">
        <v>2032</v>
      </c>
      <c r="EB383" s="33" t="s">
        <v>2027</v>
      </c>
      <c r="EC383" s="36">
        <v>295</v>
      </c>
      <c r="ED383" s="29" t="s">
        <v>1011</v>
      </c>
      <c r="EE383" s="29" t="s">
        <v>134</v>
      </c>
      <c r="EF383" s="37">
        <v>41640</v>
      </c>
      <c r="EG383" s="37">
        <v>42004</v>
      </c>
      <c r="EH383" s="29" t="s">
        <v>1011</v>
      </c>
      <c r="EI383" s="55">
        <f t="shared" si="160"/>
        <v>0.37873624768766428</v>
      </c>
      <c r="EJ383" s="54">
        <f t="shared" si="161"/>
        <v>0</v>
      </c>
      <c r="EK383" s="55">
        <f t="shared" si="162"/>
        <v>0.47259273683185671</v>
      </c>
      <c r="EL383" s="54">
        <f t="shared" si="163"/>
        <v>1.9472300652322071E-3</v>
      </c>
    </row>
    <row r="384" spans="1:142" ht="28.8" x14ac:dyDescent="0.3">
      <c r="A384" s="29" t="s">
        <v>1013</v>
      </c>
      <c r="B384" s="29"/>
      <c r="C384" s="30">
        <v>42225</v>
      </c>
      <c r="D384" s="30">
        <v>0</v>
      </c>
      <c r="E384" s="30">
        <v>0</v>
      </c>
      <c r="F384" s="30">
        <v>17760</v>
      </c>
      <c r="H384" s="2">
        <f t="shared" si="166"/>
        <v>17760</v>
      </c>
      <c r="I384" s="1">
        <f t="shared" si="165"/>
        <v>0.42060390763765543</v>
      </c>
      <c r="J384" s="31">
        <v>307422</v>
      </c>
      <c r="K384" s="31">
        <v>152550</v>
      </c>
      <c r="L384" s="31">
        <v>459972</v>
      </c>
      <c r="M384" s="45">
        <f t="shared" si="140"/>
        <v>10.89335701598579</v>
      </c>
      <c r="N384" s="31">
        <v>54159</v>
      </c>
      <c r="O384" s="31">
        <v>5574</v>
      </c>
      <c r="P384" s="31">
        <v>14089</v>
      </c>
      <c r="Q384" s="31">
        <v>73822</v>
      </c>
      <c r="R384" s="45">
        <f t="shared" si="141"/>
        <v>1.748300769686205</v>
      </c>
      <c r="S384" s="31">
        <v>163307</v>
      </c>
      <c r="T384" s="31">
        <v>697101</v>
      </c>
      <c r="U384" s="31">
        <v>0</v>
      </c>
      <c r="V384" s="31">
        <v>697101</v>
      </c>
      <c r="W384" s="45">
        <f t="shared" si="142"/>
        <v>16.509200710479572</v>
      </c>
      <c r="X384" s="4">
        <f t="shared" si="143"/>
        <v>0.65983551881291236</v>
      </c>
      <c r="Y384" s="4">
        <f t="shared" si="144"/>
        <v>0.10589857136914163</v>
      </c>
      <c r="Z384" s="4">
        <f t="shared" si="145"/>
        <v>0.23426590981794604</v>
      </c>
      <c r="AA384" s="4">
        <f t="shared" si="146"/>
        <v>0</v>
      </c>
      <c r="AB384" s="31">
        <v>0</v>
      </c>
      <c r="AC384" s="31">
        <v>73822</v>
      </c>
      <c r="AD384" s="31">
        <v>697101</v>
      </c>
      <c r="AE384" s="31">
        <v>697101</v>
      </c>
      <c r="AF384" s="31">
        <v>622103</v>
      </c>
      <c r="AG384" s="31">
        <v>75000</v>
      </c>
      <c r="AH384" s="31">
        <v>0</v>
      </c>
      <c r="AI384" s="31">
        <v>697103</v>
      </c>
      <c r="AJ384" s="45">
        <f t="shared" si="147"/>
        <v>16.509248075784487</v>
      </c>
      <c r="AK384" s="31">
        <v>0</v>
      </c>
      <c r="AL384" s="31">
        <v>0</v>
      </c>
      <c r="AM384" s="31">
        <v>0</v>
      </c>
      <c r="AN384" s="31">
        <v>0</v>
      </c>
      <c r="AO384" s="31">
        <v>0</v>
      </c>
      <c r="AP384" s="31">
        <v>4702</v>
      </c>
      <c r="AQ384" s="31">
        <v>4702</v>
      </c>
      <c r="AR384" s="31">
        <v>701805</v>
      </c>
      <c r="AS384" s="46">
        <f t="shared" si="148"/>
        <v>16.620603907637655</v>
      </c>
      <c r="AT384" s="31">
        <v>0</v>
      </c>
      <c r="AU384" s="31">
        <v>0</v>
      </c>
      <c r="AV384" s="31">
        <v>0</v>
      </c>
      <c r="AW384" s="31">
        <v>0</v>
      </c>
      <c r="AX384" s="31">
        <v>0</v>
      </c>
      <c r="AY384" s="31">
        <v>0</v>
      </c>
      <c r="AZ384" s="31">
        <v>0</v>
      </c>
      <c r="BA384" s="31">
        <v>0</v>
      </c>
      <c r="BB384" s="31">
        <v>0</v>
      </c>
      <c r="BC384" s="33" t="s">
        <v>25</v>
      </c>
      <c r="BD384" s="47">
        <v>69655</v>
      </c>
      <c r="BE384" s="47">
        <v>81651</v>
      </c>
      <c r="BF384" s="45">
        <f t="shared" si="149"/>
        <v>1.9337122557726465</v>
      </c>
      <c r="BG384" s="30">
        <v>2990</v>
      </c>
      <c r="BH384" s="30">
        <v>3065</v>
      </c>
      <c r="BI384" s="30">
        <v>535</v>
      </c>
      <c r="BJ384" s="30">
        <v>4531</v>
      </c>
      <c r="BK384" s="30">
        <v>5019</v>
      </c>
      <c r="BL384" s="30">
        <v>0</v>
      </c>
      <c r="BM384" s="30">
        <v>1781</v>
      </c>
      <c r="BN384" s="30">
        <v>2</v>
      </c>
      <c r="BO384" s="30">
        <v>51</v>
      </c>
      <c r="BP384" s="30">
        <v>0</v>
      </c>
      <c r="BQ384" s="30">
        <v>53</v>
      </c>
      <c r="BR384" s="47">
        <v>77176</v>
      </c>
      <c r="BS384" s="47">
        <v>92053</v>
      </c>
      <c r="BT384" s="1">
        <f t="shared" si="150"/>
        <v>2.1800592066311428</v>
      </c>
      <c r="BU384" s="30">
        <v>96</v>
      </c>
      <c r="BV384" s="30">
        <v>0</v>
      </c>
      <c r="BW384" s="47">
        <v>29958</v>
      </c>
      <c r="BX384" s="52">
        <f t="shared" si="151"/>
        <v>0.70948490230905858</v>
      </c>
      <c r="BY384" s="47">
        <v>34906</v>
      </c>
      <c r="BZ384" s="47">
        <v>0</v>
      </c>
      <c r="CA384" s="47">
        <v>70868</v>
      </c>
      <c r="CB384" s="47">
        <v>5315</v>
      </c>
      <c r="CC384" s="47">
        <v>111089</v>
      </c>
      <c r="CD384" s="55">
        <f t="shared" si="152"/>
        <v>2.630882178804026</v>
      </c>
      <c r="CE384" s="3">
        <f t="shared" si="153"/>
        <v>11108.9</v>
      </c>
      <c r="CF384" s="55">
        <f t="shared" si="154"/>
        <v>80.150793650793645</v>
      </c>
      <c r="CG384" s="55">
        <f t="shared" si="155"/>
        <v>1.4333139797432424</v>
      </c>
      <c r="CH384" s="55">
        <f t="shared" si="156"/>
        <v>1.1490554354556615</v>
      </c>
      <c r="CI384" s="30">
        <v>92</v>
      </c>
      <c r="CJ384" s="30">
        <v>18</v>
      </c>
      <c r="CK384" s="30">
        <v>122</v>
      </c>
      <c r="CL384" s="30">
        <v>232</v>
      </c>
      <c r="CM384" s="30">
        <v>6910</v>
      </c>
      <c r="CN384" s="30">
        <v>130</v>
      </c>
      <c r="CO384" s="30">
        <v>1880</v>
      </c>
      <c r="CP384" s="30">
        <v>8920</v>
      </c>
      <c r="CQ384" s="1">
        <f t="shared" si="164"/>
        <v>0.21124925991711072</v>
      </c>
      <c r="CR384" s="47">
        <v>77505</v>
      </c>
      <c r="CS384" s="55">
        <f t="shared" si="157"/>
        <v>1.8355239786856128</v>
      </c>
      <c r="CT384" s="59">
        <v>26427</v>
      </c>
      <c r="CU384" s="29" t="s">
        <v>25</v>
      </c>
      <c r="CV384" s="29" t="s">
        <v>25</v>
      </c>
      <c r="CW384" s="29" t="s">
        <v>25</v>
      </c>
      <c r="CX384" s="35">
        <v>1</v>
      </c>
      <c r="CY384" s="49">
        <f>C384/CX384</f>
        <v>42225</v>
      </c>
      <c r="CZ384" s="35">
        <v>5</v>
      </c>
      <c r="DA384" s="35">
        <v>4</v>
      </c>
      <c r="DB384" s="35">
        <v>10</v>
      </c>
      <c r="DC384" s="49">
        <f t="shared" si="158"/>
        <v>4222.5</v>
      </c>
      <c r="DD384" s="30">
        <v>-1</v>
      </c>
      <c r="DE384" s="31">
        <v>54000</v>
      </c>
      <c r="DF384" s="35">
        <v>40</v>
      </c>
      <c r="DG384" s="29" t="s">
        <v>25</v>
      </c>
      <c r="DH384" s="29" t="s">
        <v>26</v>
      </c>
      <c r="DI384" s="29" t="s">
        <v>26</v>
      </c>
      <c r="DJ384" s="47">
        <v>137</v>
      </c>
      <c r="DK384" s="47">
        <v>174</v>
      </c>
      <c r="DL384" s="47">
        <v>43</v>
      </c>
      <c r="DM384" s="47">
        <v>23344</v>
      </c>
      <c r="DN384" s="47">
        <v>4562</v>
      </c>
      <c r="DO384" s="47">
        <v>-1</v>
      </c>
      <c r="DP384" s="29" t="s">
        <v>2028</v>
      </c>
      <c r="DQ384" s="47">
        <v>0</v>
      </c>
      <c r="DR384" s="47">
        <v>1386</v>
      </c>
      <c r="DS384" s="30">
        <v>52</v>
      </c>
      <c r="DT384" s="30">
        <v>48</v>
      </c>
      <c r="DU384" s="30">
        <v>48</v>
      </c>
      <c r="DV384" s="30">
        <v>48</v>
      </c>
      <c r="DX384" s="2">
        <f t="shared" si="159"/>
        <v>1386</v>
      </c>
      <c r="DY384" s="33" t="s">
        <v>2182</v>
      </c>
      <c r="DZ384" s="33" t="s">
        <v>1015</v>
      </c>
      <c r="EA384" s="33" t="s">
        <v>2030</v>
      </c>
      <c r="EB384" s="33" t="s">
        <v>2027</v>
      </c>
      <c r="EC384" s="36">
        <v>296</v>
      </c>
      <c r="ED384" s="29" t="s">
        <v>1014</v>
      </c>
      <c r="EE384" s="29" t="s">
        <v>162</v>
      </c>
      <c r="EF384" s="37">
        <v>41548</v>
      </c>
      <c r="EG384" s="37">
        <v>41912</v>
      </c>
      <c r="EH384" s="29" t="s">
        <v>1014</v>
      </c>
      <c r="EI384" s="55">
        <f t="shared" si="160"/>
        <v>0.82666666666666666</v>
      </c>
      <c r="EJ384" s="54">
        <f t="shared" si="161"/>
        <v>0</v>
      </c>
      <c r="EK384" s="55">
        <f t="shared" si="162"/>
        <v>1.6783422143280047</v>
      </c>
      <c r="EL384" s="54">
        <f t="shared" si="163"/>
        <v>0.12587329780935463</v>
      </c>
    </row>
    <row r="385" spans="1:142" ht="28.8" x14ac:dyDescent="0.3">
      <c r="A385" s="29" t="s">
        <v>1016</v>
      </c>
      <c r="B385" s="29"/>
      <c r="C385" s="30">
        <v>22075</v>
      </c>
      <c r="D385" s="30">
        <v>0</v>
      </c>
      <c r="E385" s="30">
        <v>0</v>
      </c>
      <c r="F385" s="30">
        <v>15230</v>
      </c>
      <c r="H385" s="2">
        <f t="shared" si="166"/>
        <v>15230</v>
      </c>
      <c r="I385" s="1">
        <f t="shared" si="165"/>
        <v>0.68992072480181199</v>
      </c>
      <c r="J385" s="31">
        <v>266594</v>
      </c>
      <c r="K385" s="31">
        <v>114284</v>
      </c>
      <c r="L385" s="31">
        <v>380878</v>
      </c>
      <c r="M385" s="45">
        <f t="shared" si="140"/>
        <v>17.253816534541336</v>
      </c>
      <c r="N385" s="31">
        <v>52587</v>
      </c>
      <c r="O385" s="31">
        <v>1690</v>
      </c>
      <c r="P385" s="31">
        <v>4180</v>
      </c>
      <c r="Q385" s="31">
        <v>58457</v>
      </c>
      <c r="R385" s="45">
        <f t="shared" si="141"/>
        <v>2.6481087202718006</v>
      </c>
      <c r="S385" s="31">
        <v>89778</v>
      </c>
      <c r="T385" s="31">
        <v>529113</v>
      </c>
      <c r="U385" s="31">
        <v>0</v>
      </c>
      <c r="V385" s="31">
        <v>529113</v>
      </c>
      <c r="W385" s="45">
        <f t="shared" si="142"/>
        <v>23.968878822197055</v>
      </c>
      <c r="X385" s="4">
        <f t="shared" si="143"/>
        <v>0.71984245331337537</v>
      </c>
      <c r="Y385" s="4">
        <f t="shared" si="144"/>
        <v>0.11048112595986112</v>
      </c>
      <c r="Z385" s="4">
        <f t="shared" si="145"/>
        <v>0.16967642072676348</v>
      </c>
      <c r="AA385" s="4">
        <f t="shared" si="146"/>
        <v>0</v>
      </c>
      <c r="AB385" s="31">
        <v>25000</v>
      </c>
      <c r="AC385" s="31">
        <v>33457</v>
      </c>
      <c r="AD385" s="31">
        <v>504113</v>
      </c>
      <c r="AE385" s="31">
        <v>491627</v>
      </c>
      <c r="AF385" s="31">
        <v>486627</v>
      </c>
      <c r="AG385" s="31">
        <v>5000</v>
      </c>
      <c r="AH385" s="31">
        <v>0</v>
      </c>
      <c r="AI385" s="31">
        <v>491627</v>
      </c>
      <c r="AJ385" s="45">
        <f t="shared" si="147"/>
        <v>22.270758776896944</v>
      </c>
      <c r="AK385" s="31">
        <v>0</v>
      </c>
      <c r="AL385" s="31">
        <v>0</v>
      </c>
      <c r="AM385" s="31">
        <v>0</v>
      </c>
      <c r="AN385" s="31">
        <v>0</v>
      </c>
      <c r="AO385" s="31">
        <v>25000</v>
      </c>
      <c r="AP385" s="31">
        <v>12500</v>
      </c>
      <c r="AQ385" s="31">
        <v>37500</v>
      </c>
      <c r="AR385" s="31">
        <v>529127</v>
      </c>
      <c r="AS385" s="46">
        <f t="shared" si="148"/>
        <v>23.969513023782561</v>
      </c>
      <c r="AT385" s="31">
        <v>25000</v>
      </c>
      <c r="AU385" s="31">
        <v>0</v>
      </c>
      <c r="AV385" s="31">
        <v>0</v>
      </c>
      <c r="AW385" s="31">
        <v>0</v>
      </c>
      <c r="AX385" s="31">
        <v>0</v>
      </c>
      <c r="AY385" s="31">
        <v>0</v>
      </c>
      <c r="AZ385" s="31">
        <v>0</v>
      </c>
      <c r="BA385" s="31">
        <v>0</v>
      </c>
      <c r="BB385" s="31">
        <v>25000</v>
      </c>
      <c r="BC385" s="33" t="s">
        <v>25</v>
      </c>
      <c r="BD385" s="47">
        <v>35804</v>
      </c>
      <c r="BE385" s="47">
        <v>37026</v>
      </c>
      <c r="BF385" s="45">
        <f t="shared" si="149"/>
        <v>1.6772819932049829</v>
      </c>
      <c r="BG385" s="30">
        <v>2719</v>
      </c>
      <c r="BH385" s="30">
        <v>2749</v>
      </c>
      <c r="BI385" s="30">
        <v>803</v>
      </c>
      <c r="BJ385" s="30">
        <v>4029</v>
      </c>
      <c r="BK385" s="30">
        <v>4851</v>
      </c>
      <c r="BL385" s="30">
        <v>23</v>
      </c>
      <c r="BM385" s="30">
        <v>3348</v>
      </c>
      <c r="BN385" s="30">
        <v>4</v>
      </c>
      <c r="BO385" s="30">
        <v>51</v>
      </c>
      <c r="BP385" s="30">
        <v>16</v>
      </c>
      <c r="BQ385" s="30">
        <v>71</v>
      </c>
      <c r="BR385" s="47">
        <v>42552</v>
      </c>
      <c r="BS385" s="47">
        <v>48804</v>
      </c>
      <c r="BT385" s="1">
        <f t="shared" si="150"/>
        <v>2.2108267270668178</v>
      </c>
      <c r="BU385" s="30">
        <v>63</v>
      </c>
      <c r="BV385" s="30">
        <v>0</v>
      </c>
      <c r="BW385" s="47">
        <v>4976</v>
      </c>
      <c r="BX385" s="52">
        <f t="shared" si="151"/>
        <v>0.22541336353340882</v>
      </c>
      <c r="BY385" s="47">
        <v>12834</v>
      </c>
      <c r="BZ385" s="47">
        <v>14339</v>
      </c>
      <c r="CA385" s="47">
        <v>42600</v>
      </c>
      <c r="CB385" s="47">
        <v>1716</v>
      </c>
      <c r="CC385" s="47">
        <v>71489</v>
      </c>
      <c r="CD385" s="55">
        <f t="shared" si="152"/>
        <v>3.2384597961494905</v>
      </c>
      <c r="CE385" s="3">
        <f t="shared" si="153"/>
        <v>8410.4705882352937</v>
      </c>
      <c r="CF385" s="55">
        <f t="shared" si="154"/>
        <v>21.676470588235293</v>
      </c>
      <c r="CG385" s="55">
        <f t="shared" si="155"/>
        <v>1.530322166327732</v>
      </c>
      <c r="CH385" s="55">
        <f t="shared" si="156"/>
        <v>1.1358495205311041</v>
      </c>
      <c r="CI385" s="30">
        <v>260</v>
      </c>
      <c r="CJ385" s="30">
        <v>7</v>
      </c>
      <c r="CK385" s="30">
        <v>217</v>
      </c>
      <c r="CL385" s="30">
        <v>484</v>
      </c>
      <c r="CM385" s="30">
        <v>8358</v>
      </c>
      <c r="CN385" s="30">
        <v>764</v>
      </c>
      <c r="CO385" s="30">
        <v>1406</v>
      </c>
      <c r="CP385" s="30">
        <v>10528</v>
      </c>
      <c r="CQ385" s="1">
        <f t="shared" si="164"/>
        <v>0.47691959229898073</v>
      </c>
      <c r="CR385" s="47">
        <v>46715</v>
      </c>
      <c r="CS385" s="55">
        <f t="shared" si="157"/>
        <v>2.116194790486976</v>
      </c>
      <c r="CT385" s="59">
        <v>3133</v>
      </c>
      <c r="CU385" s="29" t="s">
        <v>25</v>
      </c>
      <c r="CV385" s="29" t="s">
        <v>25</v>
      </c>
      <c r="CW385" s="29" t="s">
        <v>25</v>
      </c>
      <c r="CX385" s="35">
        <v>1</v>
      </c>
      <c r="CY385" s="49">
        <f>C385/CX385</f>
        <v>22075</v>
      </c>
      <c r="CZ385" s="35">
        <v>1</v>
      </c>
      <c r="DA385" s="35">
        <v>6.5</v>
      </c>
      <c r="DB385" s="35">
        <v>8.5</v>
      </c>
      <c r="DC385" s="49">
        <f t="shared" si="158"/>
        <v>2597.0588235294117</v>
      </c>
      <c r="DD385" s="30">
        <v>695</v>
      </c>
      <c r="DE385" s="31">
        <v>55906</v>
      </c>
      <c r="DF385" s="35">
        <v>40</v>
      </c>
      <c r="DG385" s="29" t="s">
        <v>25</v>
      </c>
      <c r="DH385" s="29" t="s">
        <v>25</v>
      </c>
      <c r="DI385" s="29" t="s">
        <v>25</v>
      </c>
      <c r="DJ385" s="47">
        <v>426</v>
      </c>
      <c r="DK385" s="47">
        <v>149</v>
      </c>
      <c r="DL385" s="47">
        <v>21</v>
      </c>
      <c r="DM385" s="47">
        <v>11616</v>
      </c>
      <c r="DN385" s="47">
        <v>131</v>
      </c>
      <c r="DO385" s="47">
        <v>650</v>
      </c>
      <c r="DP385" s="29" t="s">
        <v>25</v>
      </c>
      <c r="DQ385" s="47">
        <v>11607</v>
      </c>
      <c r="DR385" s="47">
        <v>3298</v>
      </c>
      <c r="DS385" s="30">
        <v>52</v>
      </c>
      <c r="DT385" s="30">
        <v>70</v>
      </c>
      <c r="DU385" s="30">
        <v>70</v>
      </c>
      <c r="DV385" s="30">
        <v>70</v>
      </c>
      <c r="DX385" s="2">
        <f t="shared" si="159"/>
        <v>3298</v>
      </c>
      <c r="DY385" s="33" t="s">
        <v>2184</v>
      </c>
      <c r="DZ385" s="33" t="s">
        <v>1018</v>
      </c>
      <c r="EA385" s="33" t="s">
        <v>2030</v>
      </c>
      <c r="EB385" s="33" t="s">
        <v>2027</v>
      </c>
      <c r="EC385" s="36">
        <v>297</v>
      </c>
      <c r="ED385" s="29" t="s">
        <v>1017</v>
      </c>
      <c r="EE385" s="29" t="s">
        <v>897</v>
      </c>
      <c r="EF385" s="37">
        <v>41548</v>
      </c>
      <c r="EG385" s="37">
        <v>41912</v>
      </c>
      <c r="EH385" s="29" t="s">
        <v>1017</v>
      </c>
      <c r="EI385" s="55">
        <f t="shared" si="160"/>
        <v>0.58138165345413362</v>
      </c>
      <c r="EJ385" s="54">
        <f t="shared" si="161"/>
        <v>0.6495583238958097</v>
      </c>
      <c r="EK385" s="55">
        <f t="shared" si="162"/>
        <v>1.9297848244620612</v>
      </c>
      <c r="EL385" s="54">
        <f t="shared" si="163"/>
        <v>7.7734994337485847E-2</v>
      </c>
    </row>
    <row r="386" spans="1:142" ht="28.8" x14ac:dyDescent="0.3">
      <c r="A386" s="29" t="s">
        <v>1019</v>
      </c>
      <c r="B386" s="29"/>
      <c r="C386" s="30">
        <v>6010</v>
      </c>
      <c r="D386" s="30">
        <v>3</v>
      </c>
      <c r="E386" s="30">
        <v>0</v>
      </c>
      <c r="F386" s="30">
        <v>7000</v>
      </c>
      <c r="G386">
        <v>5644</v>
      </c>
      <c r="H386" s="2">
        <f t="shared" si="166"/>
        <v>12644</v>
      </c>
      <c r="I386" s="1">
        <f t="shared" si="165"/>
        <v>2.1038269550748754</v>
      </c>
      <c r="J386" s="31">
        <v>125774</v>
      </c>
      <c r="K386" s="31">
        <v>72841</v>
      </c>
      <c r="L386" s="31">
        <v>198615</v>
      </c>
      <c r="M386" s="45">
        <f t="shared" si="140"/>
        <v>33.047420965058237</v>
      </c>
      <c r="N386" s="31">
        <v>8279</v>
      </c>
      <c r="O386" s="31">
        <v>0</v>
      </c>
      <c r="P386" s="31">
        <v>3619</v>
      </c>
      <c r="Q386" s="31">
        <v>11898</v>
      </c>
      <c r="R386" s="45">
        <f t="shared" si="141"/>
        <v>1.9797004991680534</v>
      </c>
      <c r="S386" s="31">
        <v>35465</v>
      </c>
      <c r="T386" s="31">
        <v>245978</v>
      </c>
      <c r="U386" s="31">
        <v>0</v>
      </c>
      <c r="V386" s="31">
        <v>245978</v>
      </c>
      <c r="W386" s="45">
        <f t="shared" si="142"/>
        <v>40.92811980033278</v>
      </c>
      <c r="X386" s="4">
        <f t="shared" si="143"/>
        <v>0.80745025977932983</v>
      </c>
      <c r="Y386" s="4">
        <f t="shared" si="144"/>
        <v>4.8370179446942413E-2</v>
      </c>
      <c r="Z386" s="4">
        <f t="shared" si="145"/>
        <v>0.14417956077372773</v>
      </c>
      <c r="AA386" s="4">
        <f t="shared" si="146"/>
        <v>0</v>
      </c>
      <c r="AB386" s="31">
        <v>0</v>
      </c>
      <c r="AC386" s="31">
        <v>11898</v>
      </c>
      <c r="AD386" s="31">
        <v>245978</v>
      </c>
      <c r="AE386" s="31">
        <v>245978</v>
      </c>
      <c r="AF386" s="31">
        <v>0</v>
      </c>
      <c r="AG386" s="31">
        <v>245978</v>
      </c>
      <c r="AH386" s="31">
        <v>0</v>
      </c>
      <c r="AI386" s="31">
        <v>245978</v>
      </c>
      <c r="AJ386" s="45">
        <f t="shared" si="147"/>
        <v>40.92811980033278</v>
      </c>
      <c r="AK386" s="31">
        <v>0</v>
      </c>
      <c r="AL386" s="31">
        <v>0</v>
      </c>
      <c r="AM386" s="31">
        <v>0</v>
      </c>
      <c r="AN386" s="31">
        <v>0</v>
      </c>
      <c r="AO386" s="31">
        <v>0</v>
      </c>
      <c r="AP386" s="31">
        <v>2621</v>
      </c>
      <c r="AQ386" s="31">
        <v>2621</v>
      </c>
      <c r="AR386" s="31">
        <v>248599</v>
      </c>
      <c r="AS386" s="46">
        <f t="shared" si="148"/>
        <v>41.364226289517468</v>
      </c>
      <c r="AT386" s="31">
        <v>0</v>
      </c>
      <c r="AU386" s="31">
        <v>0</v>
      </c>
      <c r="AV386" s="31">
        <v>0</v>
      </c>
      <c r="AW386" s="31">
        <v>0</v>
      </c>
      <c r="AX386" s="31">
        <v>0</v>
      </c>
      <c r="AY386" s="31">
        <v>0</v>
      </c>
      <c r="AZ386" s="31">
        <v>0</v>
      </c>
      <c r="BA386" s="31">
        <v>0</v>
      </c>
      <c r="BB386" s="31">
        <v>0</v>
      </c>
      <c r="BC386" s="33" t="s">
        <v>25</v>
      </c>
      <c r="BD386" s="47">
        <v>31785</v>
      </c>
      <c r="BE386" s="47">
        <v>45678</v>
      </c>
      <c r="BF386" s="45">
        <f t="shared" si="149"/>
        <v>7.6003327787021631</v>
      </c>
      <c r="BG386" s="30">
        <v>7738</v>
      </c>
      <c r="BH386" s="30">
        <v>8311</v>
      </c>
      <c r="BI386" s="30">
        <v>803</v>
      </c>
      <c r="BJ386" s="30">
        <v>1059</v>
      </c>
      <c r="BK386" s="30">
        <v>1133</v>
      </c>
      <c r="BL386" s="30">
        <v>23</v>
      </c>
      <c r="BM386" s="30">
        <v>3348</v>
      </c>
      <c r="BN386" s="30">
        <v>1</v>
      </c>
      <c r="BO386" s="30">
        <v>51</v>
      </c>
      <c r="BP386" s="30">
        <v>16</v>
      </c>
      <c r="BQ386" s="30">
        <v>68</v>
      </c>
      <c r="BR386" s="47">
        <v>40582</v>
      </c>
      <c r="BS386" s="47">
        <v>59297</v>
      </c>
      <c r="BT386" s="1">
        <f t="shared" si="150"/>
        <v>9.8663893510815299</v>
      </c>
      <c r="BU386" s="30">
        <v>47</v>
      </c>
      <c r="BV386" s="30">
        <v>0</v>
      </c>
      <c r="BW386" s="47">
        <v>24360</v>
      </c>
      <c r="BX386" s="52">
        <f t="shared" si="151"/>
        <v>4.0532445923460898</v>
      </c>
      <c r="BY386" s="47">
        <v>9997</v>
      </c>
      <c r="BZ386" s="47">
        <v>23</v>
      </c>
      <c r="CA386" s="47">
        <v>30036</v>
      </c>
      <c r="CB386" s="47">
        <v>371</v>
      </c>
      <c r="CC386" s="47">
        <v>40427</v>
      </c>
      <c r="CD386" s="55">
        <f t="shared" si="152"/>
        <v>6.7266222961730451</v>
      </c>
      <c r="CE386" s="3">
        <f t="shared" si="153"/>
        <v>9401.6279069767443</v>
      </c>
      <c r="CF386" s="55">
        <f t="shared" si="154"/>
        <v>8.3251647446457984</v>
      </c>
      <c r="CG386" s="55">
        <f t="shared" si="155"/>
        <v>2.2384828349944628</v>
      </c>
      <c r="CH386" s="55">
        <f t="shared" si="156"/>
        <v>0.67512690355329952</v>
      </c>
      <c r="CI386" s="30">
        <v>76</v>
      </c>
      <c r="CJ386" s="30">
        <v>2</v>
      </c>
      <c r="CK386" s="30">
        <v>79</v>
      </c>
      <c r="CL386" s="30">
        <v>157</v>
      </c>
      <c r="CM386" s="30">
        <v>1460</v>
      </c>
      <c r="CN386" s="30">
        <v>17</v>
      </c>
      <c r="CO386" s="30">
        <v>726</v>
      </c>
      <c r="CP386" s="30">
        <v>2203</v>
      </c>
      <c r="CQ386" s="1">
        <f t="shared" si="164"/>
        <v>0.3665557404326123</v>
      </c>
      <c r="CR386" s="47">
        <v>18060</v>
      </c>
      <c r="CS386" s="55">
        <f t="shared" si="157"/>
        <v>3.0049916805324459</v>
      </c>
      <c r="CT386" s="59">
        <v>2078</v>
      </c>
      <c r="CU386" s="29" t="s">
        <v>25</v>
      </c>
      <c r="CV386" s="29" t="s">
        <v>25</v>
      </c>
      <c r="CW386" s="29" t="s">
        <v>25</v>
      </c>
      <c r="CX386" s="35">
        <v>0</v>
      </c>
      <c r="CY386" s="49">
        <v>0</v>
      </c>
      <c r="CZ386" s="35">
        <v>4.125</v>
      </c>
      <c r="DA386" s="35">
        <v>0.17499999999999999</v>
      </c>
      <c r="DB386" s="35">
        <v>4.3</v>
      </c>
      <c r="DC386" s="49">
        <f t="shared" si="158"/>
        <v>1397.6744186046512</v>
      </c>
      <c r="DD386" s="30">
        <v>0</v>
      </c>
      <c r="DE386" s="31">
        <v>32624</v>
      </c>
      <c r="DF386" s="35">
        <v>35</v>
      </c>
      <c r="DG386" s="29" t="s">
        <v>25</v>
      </c>
      <c r="DH386" s="29" t="s">
        <v>25</v>
      </c>
      <c r="DI386" s="29" t="s">
        <v>25</v>
      </c>
      <c r="DJ386" s="47">
        <v>199</v>
      </c>
      <c r="DK386" s="47">
        <v>57</v>
      </c>
      <c r="DL386" s="47">
        <v>13</v>
      </c>
      <c r="DM386" s="47">
        <v>2771</v>
      </c>
      <c r="DN386" s="47">
        <v>576</v>
      </c>
      <c r="DO386" s="47">
        <v>1113</v>
      </c>
      <c r="DP386" s="29" t="s">
        <v>25</v>
      </c>
      <c r="DQ386" s="47">
        <v>956</v>
      </c>
      <c r="DR386" s="47">
        <v>2000</v>
      </c>
      <c r="DS386" s="30">
        <v>52</v>
      </c>
      <c r="DT386" s="30">
        <v>40</v>
      </c>
      <c r="DU386" s="30">
        <v>40</v>
      </c>
      <c r="DV386" s="30">
        <v>40</v>
      </c>
      <c r="DW386">
        <f>VLOOKUP(EC386,branch!$I$4:$K$77,3,0)</f>
        <v>2856</v>
      </c>
      <c r="DX386" s="2">
        <f t="shared" si="159"/>
        <v>4856</v>
      </c>
      <c r="DY386" s="33" t="s">
        <v>2184</v>
      </c>
      <c r="DZ386" s="33" t="s">
        <v>1021</v>
      </c>
      <c r="EA386" s="33" t="s">
        <v>2031</v>
      </c>
      <c r="EB386" s="33" t="s">
        <v>2027</v>
      </c>
      <c r="EC386" s="36">
        <v>298</v>
      </c>
      <c r="ED386" s="29" t="s">
        <v>1020</v>
      </c>
      <c r="EE386" s="29" t="s">
        <v>406</v>
      </c>
      <c r="EF386" s="37">
        <v>41548</v>
      </c>
      <c r="EG386" s="37">
        <v>41912</v>
      </c>
      <c r="EH386" s="29" t="s">
        <v>1020</v>
      </c>
      <c r="EI386" s="55">
        <f t="shared" si="160"/>
        <v>1.6633943427620632</v>
      </c>
      <c r="EJ386" s="54">
        <f t="shared" si="161"/>
        <v>3.826955074875208E-3</v>
      </c>
      <c r="EK386" s="55">
        <f t="shared" si="162"/>
        <v>4.9976705490848587</v>
      </c>
      <c r="EL386" s="54">
        <f t="shared" si="163"/>
        <v>6.1730449251247918E-2</v>
      </c>
    </row>
    <row r="387" spans="1:142" ht="28.8" x14ac:dyDescent="0.3">
      <c r="A387" s="29" t="s">
        <v>1022</v>
      </c>
      <c r="B387" s="29"/>
      <c r="C387" s="30">
        <v>24912</v>
      </c>
      <c r="D387" s="30">
        <v>0</v>
      </c>
      <c r="E387" s="30">
        <v>0</v>
      </c>
      <c r="F387" s="30">
        <v>14585</v>
      </c>
      <c r="H387" s="2">
        <f t="shared" si="166"/>
        <v>14585</v>
      </c>
      <c r="I387" s="1">
        <f t="shared" si="165"/>
        <v>0.58546082209377004</v>
      </c>
      <c r="J387" s="31">
        <v>354637</v>
      </c>
      <c r="K387" s="31">
        <v>103726</v>
      </c>
      <c r="L387" s="31">
        <v>458363</v>
      </c>
      <c r="M387" s="45">
        <f t="shared" si="140"/>
        <v>18.399285484906873</v>
      </c>
      <c r="N387" s="31">
        <v>52551</v>
      </c>
      <c r="O387" s="31">
        <v>37646</v>
      </c>
      <c r="P387" s="31">
        <v>22470</v>
      </c>
      <c r="Q387" s="31">
        <v>112667</v>
      </c>
      <c r="R387" s="45">
        <f t="shared" si="141"/>
        <v>4.5225995504174694</v>
      </c>
      <c r="S387" s="31">
        <v>94108</v>
      </c>
      <c r="T387" s="31">
        <v>665138</v>
      </c>
      <c r="U387" s="31">
        <v>0</v>
      </c>
      <c r="V387" s="31">
        <v>665138</v>
      </c>
      <c r="W387" s="45">
        <f t="shared" si="142"/>
        <v>26.699502247912651</v>
      </c>
      <c r="X387" s="4">
        <f t="shared" si="143"/>
        <v>0.68912466285191942</v>
      </c>
      <c r="Y387" s="4">
        <f t="shared" si="144"/>
        <v>0.16938890876780457</v>
      </c>
      <c r="Z387" s="4">
        <f t="shared" si="145"/>
        <v>0.14148642838027597</v>
      </c>
      <c r="AA387" s="4">
        <f t="shared" si="146"/>
        <v>0</v>
      </c>
      <c r="AB387" s="31">
        <v>0</v>
      </c>
      <c r="AC387" s="31">
        <v>112667</v>
      </c>
      <c r="AD387" s="31">
        <v>665138</v>
      </c>
      <c r="AE387" s="31">
        <v>665138</v>
      </c>
      <c r="AF387" s="31">
        <v>665138</v>
      </c>
      <c r="AG387" s="31">
        <v>0</v>
      </c>
      <c r="AH387" s="31">
        <v>0</v>
      </c>
      <c r="AI387" s="31">
        <v>665138</v>
      </c>
      <c r="AJ387" s="45">
        <f t="shared" si="147"/>
        <v>26.699502247912651</v>
      </c>
      <c r="AK387" s="31">
        <v>0</v>
      </c>
      <c r="AL387" s="31">
        <v>0</v>
      </c>
      <c r="AM387" s="31">
        <v>0</v>
      </c>
      <c r="AN387" s="31">
        <v>0</v>
      </c>
      <c r="AO387" s="31">
        <v>0</v>
      </c>
      <c r="AP387" s="31">
        <v>0</v>
      </c>
      <c r="AQ387" s="31">
        <v>0</v>
      </c>
      <c r="AR387" s="31">
        <v>665138</v>
      </c>
      <c r="AS387" s="46">
        <f t="shared" si="148"/>
        <v>26.699502247912651</v>
      </c>
      <c r="AT387" s="31">
        <v>0</v>
      </c>
      <c r="AU387" s="31">
        <v>0</v>
      </c>
      <c r="AV387" s="31">
        <v>0</v>
      </c>
      <c r="AW387" s="31">
        <v>0</v>
      </c>
      <c r="AX387" s="31">
        <v>0</v>
      </c>
      <c r="AY387" s="31">
        <v>0</v>
      </c>
      <c r="AZ387" s="31">
        <v>0</v>
      </c>
      <c r="BA387" s="31">
        <v>0</v>
      </c>
      <c r="BB387" s="31">
        <v>0</v>
      </c>
      <c r="BC387" s="33" t="s">
        <v>25</v>
      </c>
      <c r="BD387" s="47">
        <v>0</v>
      </c>
      <c r="BE387" s="47">
        <v>74521</v>
      </c>
      <c r="BF387" s="45">
        <f t="shared" si="149"/>
        <v>2.9913696210661529</v>
      </c>
      <c r="BG387" s="30">
        <v>0</v>
      </c>
      <c r="BH387" s="30">
        <v>4834</v>
      </c>
      <c r="BI387" s="30">
        <v>4692</v>
      </c>
      <c r="BJ387" s="30">
        <v>0</v>
      </c>
      <c r="BK387" s="30">
        <v>3477</v>
      </c>
      <c r="BL387" s="30">
        <v>3869</v>
      </c>
      <c r="BM387" s="30">
        <v>56241</v>
      </c>
      <c r="BN387" s="30">
        <v>15</v>
      </c>
      <c r="BO387" s="30">
        <v>51</v>
      </c>
      <c r="BP387" s="30">
        <v>1</v>
      </c>
      <c r="BQ387" s="30">
        <v>67</v>
      </c>
      <c r="BR387" s="47">
        <v>0</v>
      </c>
      <c r="BS387" s="47">
        <v>147649</v>
      </c>
      <c r="BT387" s="1">
        <f t="shared" si="150"/>
        <v>5.9268224149004496</v>
      </c>
      <c r="BU387" s="30">
        <v>87</v>
      </c>
      <c r="BV387" s="30">
        <v>50</v>
      </c>
      <c r="BW387" s="47">
        <v>8649</v>
      </c>
      <c r="BX387" s="52">
        <f t="shared" si="151"/>
        <v>0.34718208092485547</v>
      </c>
      <c r="BY387" s="47">
        <v>36695</v>
      </c>
      <c r="BZ387" s="47">
        <v>0</v>
      </c>
      <c r="CA387" s="47">
        <v>88403</v>
      </c>
      <c r="CB387" s="47">
        <v>1904</v>
      </c>
      <c r="CC387" s="47">
        <v>127002</v>
      </c>
      <c r="CD387" s="55">
        <f t="shared" si="152"/>
        <v>5.098025048169557</v>
      </c>
      <c r="CE387" s="3">
        <f t="shared" si="153"/>
        <v>12095.428571428571</v>
      </c>
      <c r="CF387" s="55">
        <f t="shared" si="154"/>
        <v>49.726703210649958</v>
      </c>
      <c r="CG387" s="55">
        <f t="shared" si="155"/>
        <v>1.4251152978668491</v>
      </c>
      <c r="CH387" s="55">
        <f t="shared" si="156"/>
        <v>0.84726615148087692</v>
      </c>
      <c r="CI387" s="30">
        <v>106</v>
      </c>
      <c r="CJ387" s="30">
        <v>0</v>
      </c>
      <c r="CK387" s="30">
        <v>19</v>
      </c>
      <c r="CL387" s="30">
        <v>125</v>
      </c>
      <c r="CM387" s="30">
        <v>4645</v>
      </c>
      <c r="CN387" s="30">
        <v>0</v>
      </c>
      <c r="CO387" s="30">
        <v>185</v>
      </c>
      <c r="CP387" s="30">
        <v>4830</v>
      </c>
      <c r="CQ387" s="1">
        <f t="shared" si="164"/>
        <v>0.1938824662813102</v>
      </c>
      <c r="CR387" s="47">
        <v>89117</v>
      </c>
      <c r="CS387" s="55">
        <f t="shared" si="157"/>
        <v>3.577271997430957</v>
      </c>
      <c r="CT387" s="59">
        <v>16519</v>
      </c>
      <c r="CU387" s="29" t="s">
        <v>25</v>
      </c>
      <c r="CV387" s="29" t="s">
        <v>25</v>
      </c>
      <c r="CW387" s="29" t="s">
        <v>25</v>
      </c>
      <c r="CX387" s="35">
        <v>1</v>
      </c>
      <c r="CY387" s="49">
        <f>C387/CX387</f>
        <v>24912</v>
      </c>
      <c r="CZ387" s="35">
        <v>1</v>
      </c>
      <c r="DA387" s="35">
        <v>8.5</v>
      </c>
      <c r="DB387" s="35">
        <v>10.5</v>
      </c>
      <c r="DC387" s="49">
        <f t="shared" si="158"/>
        <v>2372.5714285714284</v>
      </c>
      <c r="DD387" s="30">
        <v>418</v>
      </c>
      <c r="DE387" s="31">
        <v>63934</v>
      </c>
      <c r="DF387" s="35">
        <v>40</v>
      </c>
      <c r="DG387" s="29" t="s">
        <v>25</v>
      </c>
      <c r="DH387" s="29" t="s">
        <v>26</v>
      </c>
      <c r="DI387" s="29" t="s">
        <v>26</v>
      </c>
      <c r="DJ387" s="47">
        <v>1111</v>
      </c>
      <c r="DK387" s="47">
        <v>0</v>
      </c>
      <c r="DL387" s="47">
        <v>11</v>
      </c>
      <c r="DM387" s="47">
        <v>10564</v>
      </c>
      <c r="DN387" s="47">
        <v>1382</v>
      </c>
      <c r="DO387" s="47">
        <v>0</v>
      </c>
      <c r="DP387" s="29" t="s">
        <v>25</v>
      </c>
      <c r="DQ387" s="47">
        <v>13228</v>
      </c>
      <c r="DR387" s="47">
        <v>2554</v>
      </c>
      <c r="DS387" s="30">
        <v>52</v>
      </c>
      <c r="DT387" s="30">
        <v>51</v>
      </c>
      <c r="DU387" s="30">
        <v>51</v>
      </c>
      <c r="DV387" s="30">
        <v>51</v>
      </c>
      <c r="DX387" s="2">
        <f t="shared" si="159"/>
        <v>2554</v>
      </c>
      <c r="DY387" s="33" t="s">
        <v>2182</v>
      </c>
      <c r="DZ387" s="33" t="s">
        <v>1025</v>
      </c>
      <c r="EA387" s="33" t="s">
        <v>2030</v>
      </c>
      <c r="EB387" s="33" t="s">
        <v>2027</v>
      </c>
      <c r="EC387" s="36">
        <v>299</v>
      </c>
      <c r="ED387" s="29" t="s">
        <v>1023</v>
      </c>
      <c r="EE387" s="29" t="s">
        <v>1024</v>
      </c>
      <c r="EF387" s="37">
        <v>41548</v>
      </c>
      <c r="EG387" s="37">
        <v>41912</v>
      </c>
      <c r="EH387" s="29" t="s">
        <v>1023</v>
      </c>
      <c r="EI387" s="55">
        <f t="shared" si="160"/>
        <v>1.4729849068721901</v>
      </c>
      <c r="EJ387" s="54">
        <f t="shared" si="161"/>
        <v>0</v>
      </c>
      <c r="EK387" s="55">
        <f t="shared" si="162"/>
        <v>3.5486111111111112</v>
      </c>
      <c r="EL387" s="54">
        <f t="shared" si="163"/>
        <v>7.6429030186255617E-2</v>
      </c>
    </row>
    <row r="388" spans="1:142" ht="28.8" x14ac:dyDescent="0.3">
      <c r="A388" s="29" t="s">
        <v>1026</v>
      </c>
      <c r="B388" s="29"/>
      <c r="C388" s="30">
        <v>152735</v>
      </c>
      <c r="D388" s="30">
        <v>1</v>
      </c>
      <c r="E388" s="30">
        <v>0</v>
      </c>
      <c r="F388" s="30">
        <v>44300</v>
      </c>
      <c r="G388">
        <v>10300</v>
      </c>
      <c r="H388" s="2">
        <f t="shared" si="166"/>
        <v>54600</v>
      </c>
      <c r="I388" s="1">
        <f t="shared" si="165"/>
        <v>0.35748191311749106</v>
      </c>
      <c r="J388" s="31">
        <v>1660541</v>
      </c>
      <c r="K388" s="31">
        <v>811801</v>
      </c>
      <c r="L388" s="31">
        <v>2472342</v>
      </c>
      <c r="M388" s="45">
        <f t="shared" ref="M388:M451" si="167">L388/C388</f>
        <v>16.187134579500441</v>
      </c>
      <c r="N388" s="31">
        <v>229615</v>
      </c>
      <c r="O388" s="31">
        <v>62126</v>
      </c>
      <c r="P388" s="31">
        <v>73096</v>
      </c>
      <c r="Q388" s="31">
        <v>364837</v>
      </c>
      <c r="R388" s="45">
        <f t="shared" ref="R388:R451" si="168">Q388/C388</f>
        <v>2.3886928339935181</v>
      </c>
      <c r="S388" s="31">
        <v>402854</v>
      </c>
      <c r="T388" s="31">
        <v>3240033</v>
      </c>
      <c r="U388" s="31">
        <v>0</v>
      </c>
      <c r="V388" s="31">
        <v>3240033</v>
      </c>
      <c r="W388" s="45">
        <f t="shared" ref="W388:W451" si="169">V388/C388</f>
        <v>21.213428487249157</v>
      </c>
      <c r="X388" s="4">
        <f t="shared" ref="X388:X451" si="170">L388/V388</f>
        <v>0.76306074660350687</v>
      </c>
      <c r="Y388" s="4">
        <f t="shared" ref="Y388:Y451" si="171">Q388/V388</f>
        <v>0.11260286546464188</v>
      </c>
      <c r="Z388" s="4">
        <f t="shared" ref="Z388:Z451" si="172">S388/V388</f>
        <v>0.12433638793185131</v>
      </c>
      <c r="AA388" s="4">
        <f t="shared" ref="AA388:AA451" si="173">U388/V388</f>
        <v>0</v>
      </c>
      <c r="AB388" s="31">
        <v>13734</v>
      </c>
      <c r="AC388" s="31">
        <v>352526</v>
      </c>
      <c r="AD388" s="31">
        <v>3227722</v>
      </c>
      <c r="AE388" s="31">
        <v>3222732</v>
      </c>
      <c r="AF388" s="31">
        <v>3222732</v>
      </c>
      <c r="AG388" s="31">
        <v>0</v>
      </c>
      <c r="AH388" s="31">
        <v>0</v>
      </c>
      <c r="AI388" s="31">
        <v>3222732</v>
      </c>
      <c r="AJ388" s="45">
        <f t="shared" ref="AJ388:AJ451" si="174">AI388/C388</f>
        <v>21.100153861262971</v>
      </c>
      <c r="AK388" s="31">
        <v>0</v>
      </c>
      <c r="AL388" s="31">
        <v>0</v>
      </c>
      <c r="AM388" s="31">
        <v>0</v>
      </c>
      <c r="AN388" s="31">
        <v>0</v>
      </c>
      <c r="AO388" s="31">
        <v>5000</v>
      </c>
      <c r="AP388" s="31">
        <v>12002</v>
      </c>
      <c r="AQ388" s="31">
        <v>17002</v>
      </c>
      <c r="AR388" s="31">
        <v>3239734</v>
      </c>
      <c r="AS388" s="46">
        <f t="shared" ref="AS388:AS451" si="175">AR388/C388</f>
        <v>21.211470848201131</v>
      </c>
      <c r="AT388" s="31">
        <v>13743</v>
      </c>
      <c r="AU388" s="31">
        <v>0</v>
      </c>
      <c r="AV388" s="31">
        <v>0</v>
      </c>
      <c r="AW388" s="31">
        <v>0</v>
      </c>
      <c r="AX388" s="31">
        <v>0</v>
      </c>
      <c r="AY388" s="31">
        <v>12311</v>
      </c>
      <c r="AZ388" s="31">
        <v>0</v>
      </c>
      <c r="BA388" s="31">
        <v>0</v>
      </c>
      <c r="BB388" s="31">
        <v>26054</v>
      </c>
      <c r="BC388" s="33" t="s">
        <v>25</v>
      </c>
      <c r="BD388" s="47">
        <v>99825</v>
      </c>
      <c r="BE388" s="47">
        <v>127219</v>
      </c>
      <c r="BF388" s="45">
        <f t="shared" ref="BF388:BF451" si="176">BE388/C388</f>
        <v>0.83293940485154028</v>
      </c>
      <c r="BG388" s="30">
        <v>6579</v>
      </c>
      <c r="BH388" s="30">
        <v>7823</v>
      </c>
      <c r="BI388" s="30">
        <v>9586</v>
      </c>
      <c r="BJ388" s="30">
        <v>13000</v>
      </c>
      <c r="BK388" s="30">
        <v>21932</v>
      </c>
      <c r="BL388" s="30">
        <v>269</v>
      </c>
      <c r="BM388" s="30">
        <v>25693</v>
      </c>
      <c r="BN388" s="30">
        <v>13</v>
      </c>
      <c r="BO388" s="30">
        <v>51</v>
      </c>
      <c r="BP388" s="30">
        <v>3</v>
      </c>
      <c r="BQ388" s="30">
        <v>67</v>
      </c>
      <c r="BR388" s="47">
        <v>119404</v>
      </c>
      <c r="BS388" s="47">
        <v>192535</v>
      </c>
      <c r="BT388" s="1">
        <f t="shared" ref="BT388:BT451" si="177">BS388/C388</f>
        <v>1.2605820538841785</v>
      </c>
      <c r="BU388" s="30">
        <v>229</v>
      </c>
      <c r="BV388" s="30">
        <v>28</v>
      </c>
      <c r="BW388" s="47">
        <v>38846</v>
      </c>
      <c r="BX388" s="52">
        <f t="shared" ref="BX388:BX451" si="178">BW388/C388</f>
        <v>0.25433594133630144</v>
      </c>
      <c r="BY388" s="47">
        <v>135666</v>
      </c>
      <c r="BZ388" s="47">
        <v>2829</v>
      </c>
      <c r="CA388" s="47">
        <v>199386</v>
      </c>
      <c r="CB388" s="47">
        <v>12407</v>
      </c>
      <c r="CC388" s="47">
        <v>350288</v>
      </c>
      <c r="CD388" s="55">
        <f t="shared" ref="CD388:CD451" si="179">CC388/C388</f>
        <v>2.2934363439945002</v>
      </c>
      <c r="CE388" s="3">
        <f t="shared" ref="CE388:CE451" si="180">CC388/DB388</f>
        <v>8222.7230046948353</v>
      </c>
      <c r="CF388" s="55">
        <f t="shared" ref="CF388:CF451" si="181">CC388/DX388</f>
        <v>68.37556119461253</v>
      </c>
      <c r="CG388" s="55">
        <f t="shared" ref="CG388:CG451" si="182">CC388/CR388</f>
        <v>0.96216049925287861</v>
      </c>
      <c r="CH388" s="55">
        <f t="shared" ref="CH388:CH451" si="183">(BY388+CA388)/BS388</f>
        <v>1.7402134676812009</v>
      </c>
      <c r="CI388" s="30">
        <v>774</v>
      </c>
      <c r="CJ388" s="30">
        <v>78</v>
      </c>
      <c r="CK388" s="30">
        <v>320</v>
      </c>
      <c r="CL388" s="30">
        <v>1172</v>
      </c>
      <c r="CM388" s="30">
        <v>48349</v>
      </c>
      <c r="CN388" s="30">
        <v>1058</v>
      </c>
      <c r="CO388" s="30">
        <v>3435</v>
      </c>
      <c r="CP388" s="30">
        <v>52842</v>
      </c>
      <c r="CQ388" s="1">
        <f t="shared" si="164"/>
        <v>0.34597178118964217</v>
      </c>
      <c r="CR388" s="47">
        <v>364064</v>
      </c>
      <c r="CS388" s="55">
        <f t="shared" ref="CS388:CS451" si="184">CR388/C388</f>
        <v>2.3836317805349134</v>
      </c>
      <c r="CT388" s="59">
        <v>35614</v>
      </c>
      <c r="CU388" s="29" t="s">
        <v>25</v>
      </c>
      <c r="CV388" s="29" t="s">
        <v>25</v>
      </c>
      <c r="CW388" s="29" t="s">
        <v>25</v>
      </c>
      <c r="CX388" s="35">
        <v>9.3000000000000007</v>
      </c>
      <c r="CY388" s="49">
        <f>C388/CX388</f>
        <v>16423.118279569891</v>
      </c>
      <c r="CZ388" s="35">
        <v>8</v>
      </c>
      <c r="DA388" s="35">
        <v>25.3</v>
      </c>
      <c r="DB388" s="35">
        <v>42.6</v>
      </c>
      <c r="DC388" s="49">
        <f t="shared" ref="DC388:DC451" si="185">C388/DB388</f>
        <v>3585.3286384976523</v>
      </c>
      <c r="DD388" s="30">
        <v>3332</v>
      </c>
      <c r="DE388" s="31">
        <v>100605</v>
      </c>
      <c r="DF388" s="35">
        <v>40</v>
      </c>
      <c r="DG388" s="29" t="s">
        <v>25</v>
      </c>
      <c r="DH388" s="29" t="s">
        <v>25</v>
      </c>
      <c r="DI388" s="29" t="s">
        <v>25</v>
      </c>
      <c r="DJ388" s="47">
        <v>316</v>
      </c>
      <c r="DK388" s="47">
        <v>29</v>
      </c>
      <c r="DL388" s="47">
        <v>98</v>
      </c>
      <c r="DM388" s="47">
        <v>131763</v>
      </c>
      <c r="DN388" s="47">
        <v>28398</v>
      </c>
      <c r="DO388" s="47">
        <v>4741738</v>
      </c>
      <c r="DP388" s="29" t="s">
        <v>25</v>
      </c>
      <c r="DQ388" s="47">
        <v>116493</v>
      </c>
      <c r="DR388" s="47">
        <v>2707</v>
      </c>
      <c r="DS388" s="30">
        <v>52</v>
      </c>
      <c r="DT388" s="30">
        <v>54</v>
      </c>
      <c r="DU388" s="30">
        <v>54</v>
      </c>
      <c r="DV388" s="30">
        <v>54</v>
      </c>
      <c r="DW388">
        <f>VLOOKUP(EC388,branch!$I$4:$K$77,3,0)</f>
        <v>2416</v>
      </c>
      <c r="DX388" s="2">
        <f t="shared" ref="DX388:DX451" si="186">DR388+DW388</f>
        <v>5123</v>
      </c>
      <c r="DY388" s="33" t="s">
        <v>2185</v>
      </c>
      <c r="DZ388" s="33" t="s">
        <v>1028</v>
      </c>
      <c r="EA388" s="33" t="s">
        <v>2030</v>
      </c>
      <c r="EB388" s="33" t="s">
        <v>2027</v>
      </c>
      <c r="EC388" s="36">
        <v>300</v>
      </c>
      <c r="ED388" s="29" t="s">
        <v>1027</v>
      </c>
      <c r="EE388" s="29" t="s">
        <v>140</v>
      </c>
      <c r="EF388" s="37">
        <v>41548</v>
      </c>
      <c r="EG388" s="37">
        <v>41912</v>
      </c>
      <c r="EH388" s="29" t="s">
        <v>1027</v>
      </c>
      <c r="EI388" s="55">
        <f t="shared" ref="EI388:EI451" si="187">BY388/C388</f>
        <v>0.88824434478017478</v>
      </c>
      <c r="EJ388" s="54">
        <f t="shared" ref="EJ388:EJ451" si="188">BZ388/C388</f>
        <v>1.8522277146691982E-2</v>
      </c>
      <c r="EK388" s="55">
        <f t="shared" ref="EK388:EK451" si="189">CA388/C388</f>
        <v>1.3054375225063017</v>
      </c>
      <c r="EL388" s="54">
        <f t="shared" ref="EL388:EL451" si="190">CB388/C388</f>
        <v>8.1232199561331722E-2</v>
      </c>
    </row>
    <row r="389" spans="1:142" ht="28.8" x14ac:dyDescent="0.3">
      <c r="A389" s="29" t="s">
        <v>1029</v>
      </c>
      <c r="B389" s="29"/>
      <c r="C389" s="30">
        <v>9618</v>
      </c>
      <c r="D389" s="30">
        <v>0</v>
      </c>
      <c r="E389" s="30">
        <v>0</v>
      </c>
      <c r="F389" s="30">
        <v>9779</v>
      </c>
      <c r="H389" s="2">
        <f t="shared" si="166"/>
        <v>9779</v>
      </c>
      <c r="I389" s="1">
        <f t="shared" si="165"/>
        <v>1.0167394468704511</v>
      </c>
      <c r="J389" s="31">
        <v>85582</v>
      </c>
      <c r="K389" s="31">
        <v>21923</v>
      </c>
      <c r="L389" s="31">
        <v>107505</v>
      </c>
      <c r="M389" s="45">
        <f t="shared" si="167"/>
        <v>11.17747972551466</v>
      </c>
      <c r="N389" s="31">
        <v>18728</v>
      </c>
      <c r="O389" s="31">
        <v>1000</v>
      </c>
      <c r="P389" s="31">
        <v>0</v>
      </c>
      <c r="Q389" s="31">
        <v>19728</v>
      </c>
      <c r="R389" s="45">
        <f t="shared" si="168"/>
        <v>2.0511540860885837</v>
      </c>
      <c r="S389" s="31">
        <v>6924</v>
      </c>
      <c r="T389" s="31">
        <v>134157</v>
      </c>
      <c r="U389" s="31">
        <v>0</v>
      </c>
      <c r="V389" s="31">
        <v>134157</v>
      </c>
      <c r="W389" s="45">
        <f t="shared" si="169"/>
        <v>13.948533998752339</v>
      </c>
      <c r="X389" s="4">
        <f t="shared" si="170"/>
        <v>0.80133723920481226</v>
      </c>
      <c r="Y389" s="4">
        <f t="shared" si="171"/>
        <v>0.14705158881012545</v>
      </c>
      <c r="Z389" s="4">
        <f t="shared" si="172"/>
        <v>5.1611171985062279E-2</v>
      </c>
      <c r="AA389" s="4">
        <f t="shared" si="173"/>
        <v>0</v>
      </c>
      <c r="AB389" s="31">
        <v>127233</v>
      </c>
      <c r="AC389" s="31">
        <v>19728</v>
      </c>
      <c r="AD389" s="31">
        <v>196586</v>
      </c>
      <c r="AE389" s="31">
        <v>196586</v>
      </c>
      <c r="AF389" s="31">
        <v>196586</v>
      </c>
      <c r="AG389" s="31">
        <v>0</v>
      </c>
      <c r="AH389" s="31">
        <v>0</v>
      </c>
      <c r="AI389" s="31">
        <v>196586</v>
      </c>
      <c r="AJ389" s="45">
        <f t="shared" si="174"/>
        <v>20.439384487419421</v>
      </c>
      <c r="AK389" s="31">
        <v>0</v>
      </c>
      <c r="AL389" s="31">
        <v>0</v>
      </c>
      <c r="AM389" s="31">
        <v>0</v>
      </c>
      <c r="AN389" s="31">
        <v>0</v>
      </c>
      <c r="AO389" s="31">
        <v>0</v>
      </c>
      <c r="AP389" s="31">
        <v>0</v>
      </c>
      <c r="AQ389" s="31">
        <v>0</v>
      </c>
      <c r="AR389" s="31">
        <v>196586</v>
      </c>
      <c r="AS389" s="46">
        <f t="shared" si="175"/>
        <v>20.439384487419421</v>
      </c>
      <c r="AT389" s="31">
        <v>0</v>
      </c>
      <c r="AU389" s="31">
        <v>0</v>
      </c>
      <c r="AV389" s="31">
        <v>0</v>
      </c>
      <c r="AW389" s="31">
        <v>0</v>
      </c>
      <c r="AX389" s="31">
        <v>0</v>
      </c>
      <c r="AY389" s="31">
        <v>0</v>
      </c>
      <c r="AZ389" s="31">
        <v>0</v>
      </c>
      <c r="BA389" s="31">
        <v>0</v>
      </c>
      <c r="BB389" s="31">
        <v>0</v>
      </c>
      <c r="BC389" s="33" t="s">
        <v>25</v>
      </c>
      <c r="BD389" s="47">
        <v>38631</v>
      </c>
      <c r="BE389" s="47">
        <v>40196</v>
      </c>
      <c r="BF389" s="45">
        <f t="shared" si="176"/>
        <v>4.179247244749428</v>
      </c>
      <c r="BG389" s="30">
        <v>651</v>
      </c>
      <c r="BH389" s="30">
        <v>651</v>
      </c>
      <c r="BI389" s="30">
        <v>0</v>
      </c>
      <c r="BJ389" s="30">
        <v>1801</v>
      </c>
      <c r="BK389" s="30">
        <v>1801</v>
      </c>
      <c r="BL389" s="30">
        <v>0</v>
      </c>
      <c r="BM389" s="30">
        <v>1725</v>
      </c>
      <c r="BN389" s="30">
        <v>1</v>
      </c>
      <c r="BO389" s="30">
        <v>51</v>
      </c>
      <c r="BP389" s="30">
        <v>0</v>
      </c>
      <c r="BQ389" s="30">
        <v>52</v>
      </c>
      <c r="BR389" s="47">
        <v>41083</v>
      </c>
      <c r="BS389" s="47">
        <v>44374</v>
      </c>
      <c r="BT389" s="1">
        <f t="shared" si="177"/>
        <v>4.6136410896236226</v>
      </c>
      <c r="BU389" s="30">
        <v>71</v>
      </c>
      <c r="BV389" s="30">
        <v>5</v>
      </c>
      <c r="BW389" s="47">
        <v>12110</v>
      </c>
      <c r="BX389" s="52">
        <f t="shared" si="178"/>
        <v>1.2590975254730714</v>
      </c>
      <c r="BY389" s="47">
        <v>607</v>
      </c>
      <c r="BZ389" s="47">
        <v>156</v>
      </c>
      <c r="CA389" s="47">
        <v>720</v>
      </c>
      <c r="CB389" s="47">
        <v>7610</v>
      </c>
      <c r="CC389" s="47">
        <v>9093</v>
      </c>
      <c r="CD389" s="55">
        <f t="shared" si="179"/>
        <v>0.94541484716157209</v>
      </c>
      <c r="CE389" s="3">
        <f t="shared" si="180"/>
        <v>3464</v>
      </c>
      <c r="CF389" s="55">
        <f t="shared" si="181"/>
        <v>3.6097657800714571</v>
      </c>
      <c r="CG389" s="55">
        <f t="shared" si="182"/>
        <v>0.32533094812164581</v>
      </c>
      <c r="CH389" s="55">
        <f t="shared" si="183"/>
        <v>2.9904899265335558E-2</v>
      </c>
      <c r="CI389" s="30">
        <v>26</v>
      </c>
      <c r="CJ389" s="30">
        <v>3</v>
      </c>
      <c r="CK389" s="30">
        <v>6</v>
      </c>
      <c r="CL389" s="30">
        <v>35</v>
      </c>
      <c r="CM389" s="30">
        <v>3208</v>
      </c>
      <c r="CN389" s="30">
        <v>340</v>
      </c>
      <c r="CO389" s="30">
        <v>152</v>
      </c>
      <c r="CP389" s="30">
        <v>3700</v>
      </c>
      <c r="CQ389" s="1">
        <f t="shared" ref="CQ389:CQ452" si="191">CP389/C389</f>
        <v>0.38469536286130174</v>
      </c>
      <c r="CR389" s="47">
        <v>27950</v>
      </c>
      <c r="CS389" s="55">
        <f t="shared" si="184"/>
        <v>2.9060095653982119</v>
      </c>
      <c r="CT389" s="59">
        <v>3430</v>
      </c>
      <c r="CU389" s="29" t="s">
        <v>25</v>
      </c>
      <c r="CV389" s="29" t="s">
        <v>25</v>
      </c>
      <c r="CW389" s="29" t="s">
        <v>25</v>
      </c>
      <c r="CX389" s="35">
        <v>0</v>
      </c>
      <c r="CY389" s="49">
        <v>0</v>
      </c>
      <c r="CZ389" s="35">
        <v>1</v>
      </c>
      <c r="DA389" s="35">
        <v>1.625</v>
      </c>
      <c r="DB389" s="35">
        <v>2.625</v>
      </c>
      <c r="DC389" s="49">
        <f t="shared" si="185"/>
        <v>3664</v>
      </c>
      <c r="DD389" s="30">
        <v>2500</v>
      </c>
      <c r="DE389" s="31">
        <v>39079</v>
      </c>
      <c r="DF389" s="35">
        <v>40</v>
      </c>
      <c r="DG389" s="29" t="s">
        <v>25</v>
      </c>
      <c r="DH389" s="29" t="s">
        <v>26</v>
      </c>
      <c r="DI389" s="29" t="s">
        <v>26</v>
      </c>
      <c r="DJ389" s="47">
        <v>0</v>
      </c>
      <c r="DK389" s="47">
        <v>0</v>
      </c>
      <c r="DL389" s="47">
        <v>15</v>
      </c>
      <c r="DM389" s="47">
        <v>3796</v>
      </c>
      <c r="DN389" s="47">
        <v>0</v>
      </c>
      <c r="DO389" s="47">
        <v>0</v>
      </c>
      <c r="DP389" s="29" t="s">
        <v>83</v>
      </c>
      <c r="DQ389" s="47">
        <v>0</v>
      </c>
      <c r="DR389" s="47">
        <v>2519</v>
      </c>
      <c r="DS389" s="30">
        <v>52</v>
      </c>
      <c r="DT389" s="30">
        <v>50</v>
      </c>
      <c r="DU389" s="30">
        <v>50</v>
      </c>
      <c r="DV389" s="30">
        <v>50</v>
      </c>
      <c r="DX389" s="2">
        <f t="shared" si="186"/>
        <v>2519</v>
      </c>
      <c r="DY389" s="33" t="s">
        <v>2187</v>
      </c>
      <c r="DZ389" s="33" t="s">
        <v>1032</v>
      </c>
      <c r="EA389" s="33" t="s">
        <v>2030</v>
      </c>
      <c r="EB389" s="33" t="s">
        <v>2027</v>
      </c>
      <c r="EC389" s="36">
        <v>301</v>
      </c>
      <c r="ED389" s="29" t="s">
        <v>1030</v>
      </c>
      <c r="EE389" s="29" t="s">
        <v>1031</v>
      </c>
      <c r="EF389" s="37">
        <v>41548</v>
      </c>
      <c r="EG389" s="37">
        <v>41912</v>
      </c>
      <c r="EH389" s="29" t="s">
        <v>1030</v>
      </c>
      <c r="EI389" s="55">
        <f t="shared" si="187"/>
        <v>6.3110833853191925E-2</v>
      </c>
      <c r="EJ389" s="54">
        <f t="shared" si="188"/>
        <v>1.6219588271990017E-2</v>
      </c>
      <c r="EK389" s="55">
        <f t="shared" si="189"/>
        <v>7.4859638178415469E-2</v>
      </c>
      <c r="EL389" s="54">
        <f t="shared" si="190"/>
        <v>0.79122478685797459</v>
      </c>
    </row>
    <row r="390" spans="1:142" ht="28.8" x14ac:dyDescent="0.3">
      <c r="A390" s="29" t="s">
        <v>533</v>
      </c>
      <c r="B390" s="29"/>
      <c r="C390" s="30">
        <v>13965</v>
      </c>
      <c r="D390" s="30">
        <v>0</v>
      </c>
      <c r="E390" s="30">
        <v>0</v>
      </c>
      <c r="F390" s="30">
        <v>4607</v>
      </c>
      <c r="H390" s="2">
        <f t="shared" si="166"/>
        <v>4607</v>
      </c>
      <c r="I390" s="1">
        <f t="shared" si="165"/>
        <v>0.32989616899391333</v>
      </c>
      <c r="J390" s="31">
        <v>76570</v>
      </c>
      <c r="K390" s="31">
        <v>21680</v>
      </c>
      <c r="L390" s="31">
        <v>98250</v>
      </c>
      <c r="M390" s="45">
        <f t="shared" si="167"/>
        <v>7.0354457572502689</v>
      </c>
      <c r="N390" s="31">
        <v>1658</v>
      </c>
      <c r="O390" s="31">
        <v>0</v>
      </c>
      <c r="P390" s="31">
        <v>0</v>
      </c>
      <c r="Q390" s="31">
        <v>1658</v>
      </c>
      <c r="R390" s="45">
        <f t="shared" si="168"/>
        <v>0.11872538489079842</v>
      </c>
      <c r="S390" s="31">
        <v>20092</v>
      </c>
      <c r="T390" s="31">
        <v>120000</v>
      </c>
      <c r="U390" s="31">
        <v>0</v>
      </c>
      <c r="V390" s="31">
        <v>120000</v>
      </c>
      <c r="W390" s="45">
        <f t="shared" si="169"/>
        <v>8.5929108485499466</v>
      </c>
      <c r="X390" s="4">
        <f t="shared" si="170"/>
        <v>0.81874999999999998</v>
      </c>
      <c r="Y390" s="4">
        <f t="shared" si="171"/>
        <v>1.3816666666666666E-2</v>
      </c>
      <c r="Z390" s="4">
        <f t="shared" si="172"/>
        <v>0.16743333333333332</v>
      </c>
      <c r="AA390" s="4">
        <f t="shared" si="173"/>
        <v>0</v>
      </c>
      <c r="AB390" s="31">
        <v>0</v>
      </c>
      <c r="AC390" s="31">
        <v>1658</v>
      </c>
      <c r="AD390" s="31">
        <v>120000</v>
      </c>
      <c r="AE390" s="31">
        <v>120000</v>
      </c>
      <c r="AF390" s="31">
        <v>0</v>
      </c>
      <c r="AG390" s="31">
        <v>120000</v>
      </c>
      <c r="AH390" s="31">
        <v>0</v>
      </c>
      <c r="AI390" s="31">
        <v>120000</v>
      </c>
      <c r="AJ390" s="45">
        <f t="shared" si="174"/>
        <v>8.5929108485499466</v>
      </c>
      <c r="AK390" s="31">
        <v>0</v>
      </c>
      <c r="AL390" s="31">
        <v>0</v>
      </c>
      <c r="AM390" s="31">
        <v>0</v>
      </c>
      <c r="AN390" s="31">
        <v>0</v>
      </c>
      <c r="AO390" s="31">
        <v>0</v>
      </c>
      <c r="AP390" s="31">
        <v>10000</v>
      </c>
      <c r="AQ390" s="31">
        <v>10000</v>
      </c>
      <c r="AR390" s="31">
        <v>130000</v>
      </c>
      <c r="AS390" s="46">
        <f t="shared" si="175"/>
        <v>9.308986752595775</v>
      </c>
      <c r="AT390" s="31">
        <v>0</v>
      </c>
      <c r="AU390" s="31">
        <v>0</v>
      </c>
      <c r="AV390" s="31">
        <v>0</v>
      </c>
      <c r="AW390" s="31">
        <v>0</v>
      </c>
      <c r="AX390" s="31">
        <v>0</v>
      </c>
      <c r="AY390" s="31">
        <v>0</v>
      </c>
      <c r="AZ390" s="31">
        <v>0</v>
      </c>
      <c r="BA390" s="31">
        <v>0</v>
      </c>
      <c r="BB390" s="31">
        <v>0</v>
      </c>
      <c r="BC390" s="33" t="s">
        <v>25</v>
      </c>
      <c r="BD390" s="47">
        <v>40000</v>
      </c>
      <c r="BE390" s="47">
        <v>45000</v>
      </c>
      <c r="BF390" s="45">
        <f t="shared" si="176"/>
        <v>3.2223415682062297</v>
      </c>
      <c r="BG390" s="30">
        <v>1500</v>
      </c>
      <c r="BH390" s="30">
        <v>1600</v>
      </c>
      <c r="BI390" s="30">
        <v>0</v>
      </c>
      <c r="BJ390" s="30">
        <v>2000</v>
      </c>
      <c r="BK390" s="30">
        <v>2080</v>
      </c>
      <c r="BL390" s="30">
        <v>0</v>
      </c>
      <c r="BM390" s="30">
        <v>0</v>
      </c>
      <c r="BN390" s="30">
        <v>0</v>
      </c>
      <c r="BO390" s="30">
        <v>51</v>
      </c>
      <c r="BP390" s="30">
        <v>0</v>
      </c>
      <c r="BQ390" s="30">
        <v>51</v>
      </c>
      <c r="BR390" s="47">
        <v>43500</v>
      </c>
      <c r="BS390" s="47">
        <v>48680</v>
      </c>
      <c r="BT390" s="1">
        <f t="shared" si="177"/>
        <v>3.4858575008950949</v>
      </c>
      <c r="BU390" s="30">
        <v>40</v>
      </c>
      <c r="BV390" s="30">
        <v>0</v>
      </c>
      <c r="BW390" s="47">
        <v>45000</v>
      </c>
      <c r="BX390" s="52">
        <f t="shared" si="178"/>
        <v>3.2223415682062297</v>
      </c>
      <c r="BY390" s="47">
        <v>13000</v>
      </c>
      <c r="BZ390" s="47">
        <v>0</v>
      </c>
      <c r="CA390" s="47">
        <v>50000</v>
      </c>
      <c r="CB390" s="47">
        <v>0</v>
      </c>
      <c r="CC390" s="47">
        <v>63000</v>
      </c>
      <c r="CD390" s="55">
        <f t="shared" si="179"/>
        <v>4.511278195488722</v>
      </c>
      <c r="CE390" s="3">
        <f t="shared" si="180"/>
        <v>13263.157894736842</v>
      </c>
      <c r="CF390" s="55">
        <f t="shared" si="181"/>
        <v>25.240384615384617</v>
      </c>
      <c r="CG390" s="55">
        <f t="shared" si="182"/>
        <v>0.7</v>
      </c>
      <c r="CH390" s="55">
        <f t="shared" si="183"/>
        <v>1.2941659819227609</v>
      </c>
      <c r="CI390" s="30">
        <v>40</v>
      </c>
      <c r="CJ390" s="30">
        <v>5</v>
      </c>
      <c r="CK390" s="30">
        <v>10</v>
      </c>
      <c r="CL390" s="30">
        <v>55</v>
      </c>
      <c r="CM390" s="30">
        <v>5200</v>
      </c>
      <c r="CN390" s="30">
        <v>75</v>
      </c>
      <c r="CO390" s="30">
        <v>50</v>
      </c>
      <c r="CP390" s="30">
        <v>5325</v>
      </c>
      <c r="CQ390" s="1">
        <f t="shared" si="191"/>
        <v>0.38131041890440387</v>
      </c>
      <c r="CR390" s="47">
        <v>90000</v>
      </c>
      <c r="CS390" s="55">
        <f t="shared" si="184"/>
        <v>6.4446831364124595</v>
      </c>
      <c r="CT390" s="59">
        <v>4000</v>
      </c>
      <c r="CU390" s="29" t="s">
        <v>25</v>
      </c>
      <c r="CV390" s="29" t="s">
        <v>25</v>
      </c>
      <c r="CW390" s="29" t="s">
        <v>25</v>
      </c>
      <c r="CX390" s="35">
        <v>1</v>
      </c>
      <c r="CY390" s="49">
        <f>C390/CX390</f>
        <v>13965</v>
      </c>
      <c r="CZ390" s="35">
        <v>2</v>
      </c>
      <c r="DA390" s="35">
        <v>1.75</v>
      </c>
      <c r="DB390" s="35">
        <v>4.75</v>
      </c>
      <c r="DC390" s="49">
        <f t="shared" si="185"/>
        <v>2940</v>
      </c>
      <c r="DD390" s="30">
        <v>725</v>
      </c>
      <c r="DE390" s="31">
        <v>39297</v>
      </c>
      <c r="DF390" s="35">
        <v>40</v>
      </c>
      <c r="DG390" s="29" t="s">
        <v>25</v>
      </c>
      <c r="DH390" s="29" t="s">
        <v>26</v>
      </c>
      <c r="DI390" s="29" t="s">
        <v>26</v>
      </c>
      <c r="DJ390" s="47">
        <v>140</v>
      </c>
      <c r="DK390" s="47">
        <v>780</v>
      </c>
      <c r="DL390" s="47">
        <v>10</v>
      </c>
      <c r="DM390" s="47">
        <v>17671</v>
      </c>
      <c r="DN390" s="47">
        <v>1196</v>
      </c>
      <c r="DO390" s="47">
        <v>7825</v>
      </c>
      <c r="DP390" s="29" t="s">
        <v>2028</v>
      </c>
      <c r="DQ390" s="47">
        <v>0</v>
      </c>
      <c r="DR390" s="47">
        <v>2496</v>
      </c>
      <c r="DS390" s="30">
        <v>52</v>
      </c>
      <c r="DT390" s="30">
        <v>48</v>
      </c>
      <c r="DU390" s="30">
        <v>48</v>
      </c>
      <c r="DV390" s="30">
        <v>48</v>
      </c>
      <c r="DX390" s="2">
        <f t="shared" si="186"/>
        <v>2496</v>
      </c>
      <c r="DY390" s="33" t="s">
        <v>2183</v>
      </c>
      <c r="DZ390" s="33" t="s">
        <v>1539</v>
      </c>
      <c r="EA390" s="33" t="s">
        <v>2031</v>
      </c>
      <c r="EB390" s="33" t="s">
        <v>2027</v>
      </c>
      <c r="EC390" s="36">
        <v>496</v>
      </c>
      <c r="ED390" s="29" t="s">
        <v>1537</v>
      </c>
      <c r="EE390" s="29" t="s">
        <v>1538</v>
      </c>
      <c r="EF390" s="37">
        <v>41640</v>
      </c>
      <c r="EG390" s="37">
        <v>42004</v>
      </c>
      <c r="EH390" s="29" t="s">
        <v>1537</v>
      </c>
      <c r="EI390" s="55">
        <f t="shared" si="187"/>
        <v>0.93089867525957748</v>
      </c>
      <c r="EJ390" s="54">
        <f t="shared" si="188"/>
        <v>0</v>
      </c>
      <c r="EK390" s="55">
        <f t="shared" si="189"/>
        <v>3.5803795202291444</v>
      </c>
      <c r="EL390" s="54">
        <f t="shared" si="190"/>
        <v>0</v>
      </c>
    </row>
    <row r="391" spans="1:142" ht="28.8" x14ac:dyDescent="0.3">
      <c r="A391" s="29" t="s">
        <v>1807</v>
      </c>
      <c r="B391" s="29"/>
      <c r="C391" s="30">
        <v>7073</v>
      </c>
      <c r="D391" s="30">
        <v>0</v>
      </c>
      <c r="E391" s="30">
        <v>0</v>
      </c>
      <c r="F391" s="30">
        <v>4796</v>
      </c>
      <c r="H391" s="2">
        <f t="shared" si="166"/>
        <v>4796</v>
      </c>
      <c r="I391" s="1">
        <f t="shared" si="165"/>
        <v>0.67807153965785383</v>
      </c>
      <c r="J391" s="31">
        <v>85021</v>
      </c>
      <c r="K391" s="31">
        <v>7814</v>
      </c>
      <c r="L391" s="31">
        <v>92835</v>
      </c>
      <c r="M391" s="45">
        <f t="shared" si="167"/>
        <v>13.125265092605684</v>
      </c>
      <c r="N391" s="31">
        <v>3000</v>
      </c>
      <c r="O391" s="31">
        <v>0</v>
      </c>
      <c r="P391" s="31">
        <v>1129</v>
      </c>
      <c r="Q391" s="31">
        <v>4129</v>
      </c>
      <c r="R391" s="45">
        <f t="shared" si="168"/>
        <v>0.58376926339601298</v>
      </c>
      <c r="S391" s="31">
        <v>51732</v>
      </c>
      <c r="T391" s="31">
        <v>148696</v>
      </c>
      <c r="U391" s="31">
        <v>0</v>
      </c>
      <c r="V391" s="31">
        <v>148696</v>
      </c>
      <c r="W391" s="45">
        <f t="shared" si="169"/>
        <v>21.023045383854093</v>
      </c>
      <c r="X391" s="4">
        <f t="shared" si="170"/>
        <v>0.62432748695324691</v>
      </c>
      <c r="Y391" s="4">
        <f t="shared" si="171"/>
        <v>2.7768063700435788E-2</v>
      </c>
      <c r="Z391" s="4">
        <f t="shared" si="172"/>
        <v>0.34790444934631731</v>
      </c>
      <c r="AA391" s="4">
        <f t="shared" si="173"/>
        <v>0</v>
      </c>
      <c r="AB391" s="31">
        <v>6949</v>
      </c>
      <c r="AC391" s="31">
        <v>4129</v>
      </c>
      <c r="AD391" s="31">
        <v>148696</v>
      </c>
      <c r="AE391" s="31">
        <v>148696</v>
      </c>
      <c r="AF391" s="31">
        <v>148698</v>
      </c>
      <c r="AG391" s="31">
        <v>14481</v>
      </c>
      <c r="AH391" s="31">
        <v>0</v>
      </c>
      <c r="AI391" s="31">
        <v>163179</v>
      </c>
      <c r="AJ391" s="45">
        <f t="shared" si="174"/>
        <v>23.070691361515621</v>
      </c>
      <c r="AK391" s="31">
        <v>0</v>
      </c>
      <c r="AL391" s="31">
        <v>0</v>
      </c>
      <c r="AM391" s="31">
        <v>0</v>
      </c>
      <c r="AN391" s="31">
        <v>0</v>
      </c>
      <c r="AO391" s="31">
        <v>0</v>
      </c>
      <c r="AP391" s="31">
        <v>3000</v>
      </c>
      <c r="AQ391" s="31">
        <v>3000</v>
      </c>
      <c r="AR391" s="31">
        <v>166179</v>
      </c>
      <c r="AS391" s="46">
        <f t="shared" si="175"/>
        <v>23.494839530609358</v>
      </c>
      <c r="AT391" s="31">
        <v>0</v>
      </c>
      <c r="AU391" s="31">
        <v>0</v>
      </c>
      <c r="AV391" s="31">
        <v>0</v>
      </c>
      <c r="AW391" s="31">
        <v>0</v>
      </c>
      <c r="AX391" s="31">
        <v>0</v>
      </c>
      <c r="AY391" s="31">
        <v>0</v>
      </c>
      <c r="AZ391" s="31">
        <v>0</v>
      </c>
      <c r="BA391" s="31">
        <v>0</v>
      </c>
      <c r="BB391" s="31">
        <v>0</v>
      </c>
      <c r="BC391" s="33" t="s">
        <v>25</v>
      </c>
      <c r="BD391" s="47">
        <v>13885</v>
      </c>
      <c r="BE391" s="47">
        <v>14585</v>
      </c>
      <c r="BF391" s="45">
        <f t="shared" si="176"/>
        <v>2.062067015410717</v>
      </c>
      <c r="BG391" s="30">
        <v>52</v>
      </c>
      <c r="BH391" s="30">
        <v>56</v>
      </c>
      <c r="BI391" s="30">
        <v>0</v>
      </c>
      <c r="BJ391" s="30">
        <v>207</v>
      </c>
      <c r="BK391" s="30">
        <v>230</v>
      </c>
      <c r="BL391" s="30">
        <v>0</v>
      </c>
      <c r="BM391" s="30">
        <v>0</v>
      </c>
      <c r="BN391" s="30">
        <v>2</v>
      </c>
      <c r="BO391" s="30">
        <v>51</v>
      </c>
      <c r="BP391" s="30">
        <v>0</v>
      </c>
      <c r="BQ391" s="30">
        <v>53</v>
      </c>
      <c r="BR391" s="47">
        <v>14144</v>
      </c>
      <c r="BS391" s="47">
        <v>14873</v>
      </c>
      <c r="BT391" s="1">
        <f t="shared" si="177"/>
        <v>2.1027852396437154</v>
      </c>
      <c r="BU391" s="30">
        <v>12</v>
      </c>
      <c r="BV391" s="30">
        <v>1</v>
      </c>
      <c r="BW391" s="47">
        <v>2879</v>
      </c>
      <c r="BX391" s="52">
        <f t="shared" si="178"/>
        <v>0.40704085960695602</v>
      </c>
      <c r="BY391" s="47">
        <v>1988</v>
      </c>
      <c r="BZ391" s="47">
        <v>0</v>
      </c>
      <c r="CA391" s="47">
        <v>2200</v>
      </c>
      <c r="CB391" s="47">
        <v>0</v>
      </c>
      <c r="CC391" s="47">
        <v>4188</v>
      </c>
      <c r="CD391" s="55">
        <f t="shared" si="179"/>
        <v>0.59211084405485648</v>
      </c>
      <c r="CE391" s="3">
        <f t="shared" si="180"/>
        <v>837.6</v>
      </c>
      <c r="CF391" s="55">
        <f t="shared" si="181"/>
        <v>1.5064748201438849</v>
      </c>
      <c r="CG391" s="55">
        <f t="shared" si="182"/>
        <v>0.33206470028544244</v>
      </c>
      <c r="CH391" s="55">
        <f t="shared" si="183"/>
        <v>0.28158407853156725</v>
      </c>
      <c r="CI391" s="30">
        <v>70</v>
      </c>
      <c r="CJ391" s="30">
        <v>61</v>
      </c>
      <c r="CK391" s="30">
        <v>40</v>
      </c>
      <c r="CL391" s="30">
        <v>171</v>
      </c>
      <c r="CM391" s="30">
        <v>1815</v>
      </c>
      <c r="CN391" s="30">
        <v>917</v>
      </c>
      <c r="CO391" s="30">
        <v>1083</v>
      </c>
      <c r="CP391" s="30">
        <v>3815</v>
      </c>
      <c r="CQ391" s="1">
        <f t="shared" si="191"/>
        <v>0.53937508836420189</v>
      </c>
      <c r="CR391" s="47">
        <v>12612</v>
      </c>
      <c r="CS391" s="55">
        <f t="shared" si="184"/>
        <v>1.7831189028700694</v>
      </c>
      <c r="CT391" s="59">
        <v>1602</v>
      </c>
      <c r="CU391" s="29" t="s">
        <v>25</v>
      </c>
      <c r="CV391" s="29" t="s">
        <v>25</v>
      </c>
      <c r="CW391" s="29" t="s">
        <v>25</v>
      </c>
      <c r="CX391" s="35">
        <v>0</v>
      </c>
      <c r="CY391" s="49">
        <v>0</v>
      </c>
      <c r="CZ391" s="35">
        <v>1</v>
      </c>
      <c r="DA391" s="35">
        <v>4</v>
      </c>
      <c r="DB391" s="35">
        <v>5</v>
      </c>
      <c r="DC391" s="49">
        <f t="shared" si="185"/>
        <v>1414.6</v>
      </c>
      <c r="DD391" s="30">
        <v>1987</v>
      </c>
      <c r="DE391" s="31">
        <v>28992</v>
      </c>
      <c r="DF391" s="35">
        <v>40</v>
      </c>
      <c r="DG391" s="29" t="s">
        <v>25</v>
      </c>
      <c r="DH391" s="29" t="s">
        <v>26</v>
      </c>
      <c r="DI391" s="29" t="s">
        <v>26</v>
      </c>
      <c r="DJ391" s="47">
        <v>0</v>
      </c>
      <c r="DK391" s="47">
        <v>0</v>
      </c>
      <c r="DL391" s="47">
        <v>20</v>
      </c>
      <c r="DM391" s="47">
        <v>7230</v>
      </c>
      <c r="DN391" s="47">
        <v>5688</v>
      </c>
      <c r="DO391" s="47">
        <v>1302</v>
      </c>
      <c r="DP391" s="29" t="s">
        <v>25</v>
      </c>
      <c r="DQ391" s="47">
        <v>7230</v>
      </c>
      <c r="DR391" s="47">
        <v>2780</v>
      </c>
      <c r="DS391" s="30">
        <v>52</v>
      </c>
      <c r="DT391" s="30">
        <v>56</v>
      </c>
      <c r="DU391" s="30">
        <v>56</v>
      </c>
      <c r="DV391" s="30">
        <v>56</v>
      </c>
      <c r="DX391" s="2">
        <f t="shared" si="186"/>
        <v>2780</v>
      </c>
      <c r="DY391" s="33" t="s">
        <v>2180</v>
      </c>
      <c r="DZ391" s="33" t="s">
        <v>1809</v>
      </c>
      <c r="EA391" s="33" t="s">
        <v>2030</v>
      </c>
      <c r="EB391" s="33" t="s">
        <v>2027</v>
      </c>
      <c r="EC391" s="36">
        <v>642</v>
      </c>
      <c r="ED391" s="29" t="s">
        <v>1808</v>
      </c>
      <c r="EE391" s="29" t="s">
        <v>35</v>
      </c>
      <c r="EF391" s="37">
        <v>41548</v>
      </c>
      <c r="EG391" s="37">
        <v>41912</v>
      </c>
      <c r="EH391" s="29" t="s">
        <v>1808</v>
      </c>
      <c r="EI391" s="55">
        <f t="shared" si="187"/>
        <v>0.2810688533861162</v>
      </c>
      <c r="EJ391" s="54">
        <f t="shared" si="188"/>
        <v>0</v>
      </c>
      <c r="EK391" s="55">
        <f t="shared" si="189"/>
        <v>0.31104199066874028</v>
      </c>
      <c r="EL391" s="54">
        <f t="shared" si="190"/>
        <v>0</v>
      </c>
    </row>
    <row r="392" spans="1:142" ht="28.8" x14ac:dyDescent="0.3">
      <c r="A392" s="29" t="s">
        <v>1033</v>
      </c>
      <c r="B392" s="29"/>
      <c r="C392" s="30">
        <v>10806</v>
      </c>
      <c r="D392" s="30">
        <v>0</v>
      </c>
      <c r="E392" s="30">
        <v>0</v>
      </c>
      <c r="F392" s="30">
        <v>12011</v>
      </c>
      <c r="H392" s="2">
        <f t="shared" si="166"/>
        <v>12011</v>
      </c>
      <c r="I392" s="1">
        <f t="shared" si="165"/>
        <v>1.111512122894688</v>
      </c>
      <c r="J392" s="31">
        <v>148228</v>
      </c>
      <c r="K392" s="31">
        <v>77566</v>
      </c>
      <c r="L392" s="31">
        <v>225794</v>
      </c>
      <c r="M392" s="45">
        <f t="shared" si="167"/>
        <v>20.895243383305569</v>
      </c>
      <c r="N392" s="31">
        <v>15486</v>
      </c>
      <c r="O392" s="31">
        <v>1000</v>
      </c>
      <c r="P392" s="31">
        <v>4179</v>
      </c>
      <c r="Q392" s="31">
        <v>20665</v>
      </c>
      <c r="R392" s="45">
        <f t="shared" si="168"/>
        <v>1.9123635017582825</v>
      </c>
      <c r="S392" s="31">
        <v>23165</v>
      </c>
      <c r="T392" s="31">
        <v>269624</v>
      </c>
      <c r="U392" s="31">
        <v>0</v>
      </c>
      <c r="V392" s="31">
        <v>269624</v>
      </c>
      <c r="W392" s="45">
        <f t="shared" si="169"/>
        <v>24.951323338885803</v>
      </c>
      <c r="X392" s="4">
        <f t="shared" si="170"/>
        <v>0.83744028721478803</v>
      </c>
      <c r="Y392" s="4">
        <f t="shared" si="171"/>
        <v>7.6643770584220991E-2</v>
      </c>
      <c r="Z392" s="4">
        <f t="shared" si="172"/>
        <v>8.5915942200991011E-2</v>
      </c>
      <c r="AA392" s="4">
        <f t="shared" si="173"/>
        <v>0</v>
      </c>
      <c r="AB392" s="31">
        <v>0</v>
      </c>
      <c r="AC392" s="31">
        <v>20024</v>
      </c>
      <c r="AD392" s="31">
        <v>267222</v>
      </c>
      <c r="AE392" s="31">
        <v>267222</v>
      </c>
      <c r="AF392" s="31">
        <v>0</v>
      </c>
      <c r="AG392" s="31">
        <v>295847</v>
      </c>
      <c r="AH392" s="31">
        <v>0</v>
      </c>
      <c r="AI392" s="31">
        <v>295847</v>
      </c>
      <c r="AJ392" s="45">
        <f t="shared" si="174"/>
        <v>27.378030723672033</v>
      </c>
      <c r="AK392" s="31">
        <v>0</v>
      </c>
      <c r="AL392" s="31">
        <v>0</v>
      </c>
      <c r="AM392" s="31">
        <v>0</v>
      </c>
      <c r="AN392" s="31">
        <v>0</v>
      </c>
      <c r="AO392" s="31">
        <v>2000</v>
      </c>
      <c r="AP392" s="31">
        <v>4166</v>
      </c>
      <c r="AQ392" s="31">
        <v>6166</v>
      </c>
      <c r="AR392" s="31">
        <v>302013</v>
      </c>
      <c r="AS392" s="46">
        <f t="shared" si="175"/>
        <v>27.948639644641865</v>
      </c>
      <c r="AT392" s="31">
        <v>0</v>
      </c>
      <c r="AU392" s="31">
        <v>0</v>
      </c>
      <c r="AV392" s="31">
        <v>0</v>
      </c>
      <c r="AW392" s="31">
        <v>0</v>
      </c>
      <c r="AX392" s="31">
        <v>0</v>
      </c>
      <c r="AY392" s="31">
        <v>0</v>
      </c>
      <c r="AZ392" s="31">
        <v>0</v>
      </c>
      <c r="BA392" s="31">
        <v>0</v>
      </c>
      <c r="BB392" s="31">
        <v>0</v>
      </c>
      <c r="BC392" s="33" t="s">
        <v>25</v>
      </c>
      <c r="BD392" s="47">
        <v>31981</v>
      </c>
      <c r="BE392" s="47">
        <v>31986</v>
      </c>
      <c r="BF392" s="45">
        <f t="shared" si="176"/>
        <v>2.9600222098833981</v>
      </c>
      <c r="BG392" s="30">
        <v>1365</v>
      </c>
      <c r="BH392" s="30">
        <v>1368</v>
      </c>
      <c r="BI392" s="30">
        <v>803</v>
      </c>
      <c r="BJ392" s="30">
        <v>1362</v>
      </c>
      <c r="BK392" s="30">
        <v>1366</v>
      </c>
      <c r="BL392" s="30">
        <v>23</v>
      </c>
      <c r="BM392" s="30">
        <v>3348</v>
      </c>
      <c r="BN392" s="30">
        <v>0</v>
      </c>
      <c r="BO392" s="30">
        <v>51</v>
      </c>
      <c r="BP392" s="30">
        <v>16</v>
      </c>
      <c r="BQ392" s="30">
        <v>67</v>
      </c>
      <c r="BR392" s="47">
        <v>34708</v>
      </c>
      <c r="BS392" s="47">
        <v>38894</v>
      </c>
      <c r="BT392" s="1">
        <f t="shared" si="177"/>
        <v>3.5992966870257264</v>
      </c>
      <c r="BU392" s="30">
        <v>8</v>
      </c>
      <c r="BV392" s="30">
        <v>0</v>
      </c>
      <c r="BW392" s="47">
        <v>242</v>
      </c>
      <c r="BX392" s="52">
        <f t="shared" si="178"/>
        <v>2.2394965759763096E-2</v>
      </c>
      <c r="BY392" s="47">
        <v>7007</v>
      </c>
      <c r="BZ392" s="47">
        <v>14</v>
      </c>
      <c r="CA392" s="47">
        <v>38228</v>
      </c>
      <c r="CB392" s="47">
        <v>394</v>
      </c>
      <c r="CC392" s="47">
        <v>45643</v>
      </c>
      <c r="CD392" s="55">
        <f t="shared" si="179"/>
        <v>4.2238571164168057</v>
      </c>
      <c r="CE392" s="3">
        <f t="shared" si="180"/>
        <v>9128.6</v>
      </c>
      <c r="CF392" s="55">
        <f t="shared" si="181"/>
        <v>20.160335689045937</v>
      </c>
      <c r="CG392" s="55">
        <f t="shared" si="182"/>
        <v>2.5044170096021947</v>
      </c>
      <c r="CH392" s="55">
        <f t="shared" si="183"/>
        <v>1.1630328585385921</v>
      </c>
      <c r="CI392" s="30">
        <v>43</v>
      </c>
      <c r="CJ392" s="30">
        <v>0</v>
      </c>
      <c r="CK392" s="30">
        <v>23</v>
      </c>
      <c r="CL392" s="30">
        <v>66</v>
      </c>
      <c r="CM392" s="30">
        <v>1153</v>
      </c>
      <c r="CN392" s="30">
        <v>0</v>
      </c>
      <c r="CO392" s="30">
        <v>305</v>
      </c>
      <c r="CP392" s="30">
        <v>1458</v>
      </c>
      <c r="CQ392" s="1">
        <f t="shared" si="191"/>
        <v>0.13492504164353136</v>
      </c>
      <c r="CR392" s="47">
        <v>18225</v>
      </c>
      <c r="CS392" s="55">
        <f t="shared" si="184"/>
        <v>1.6865630205441422</v>
      </c>
      <c r="CT392" s="59">
        <v>5258</v>
      </c>
      <c r="CU392" s="29" t="s">
        <v>25</v>
      </c>
      <c r="CV392" s="29" t="s">
        <v>25</v>
      </c>
      <c r="CW392" s="29" t="s">
        <v>25</v>
      </c>
      <c r="CX392" s="35">
        <v>0</v>
      </c>
      <c r="CY392" s="49">
        <v>0</v>
      </c>
      <c r="CZ392" s="35">
        <v>1</v>
      </c>
      <c r="DA392" s="35">
        <v>4</v>
      </c>
      <c r="DB392" s="35">
        <v>5</v>
      </c>
      <c r="DC392" s="49">
        <f t="shared" si="185"/>
        <v>2161.1999999999998</v>
      </c>
      <c r="DD392" s="30">
        <v>95</v>
      </c>
      <c r="DE392" s="31">
        <v>40375</v>
      </c>
      <c r="DF392" s="35">
        <v>40</v>
      </c>
      <c r="DG392" s="29" t="s">
        <v>25</v>
      </c>
      <c r="DH392" s="29" t="s">
        <v>25</v>
      </c>
      <c r="DI392" s="29" t="s">
        <v>25</v>
      </c>
      <c r="DJ392" s="47">
        <v>57</v>
      </c>
      <c r="DK392" s="47">
        <v>61</v>
      </c>
      <c r="DL392" s="47">
        <v>8</v>
      </c>
      <c r="DM392" s="47">
        <v>5844</v>
      </c>
      <c r="DN392" s="47">
        <v>9</v>
      </c>
      <c r="DO392" s="47">
        <v>356</v>
      </c>
      <c r="DP392" s="29" t="s">
        <v>25</v>
      </c>
      <c r="DQ392" s="47">
        <v>594</v>
      </c>
      <c r="DR392" s="47">
        <v>2264</v>
      </c>
      <c r="DS392" s="30">
        <v>49</v>
      </c>
      <c r="DT392" s="30">
        <v>49</v>
      </c>
      <c r="DU392" s="30">
        <v>49</v>
      </c>
      <c r="DV392" s="30">
        <v>49</v>
      </c>
      <c r="DX392" s="2">
        <f t="shared" si="186"/>
        <v>2264</v>
      </c>
      <c r="DY392" s="33" t="s">
        <v>2184</v>
      </c>
      <c r="DZ392" s="33" t="s">
        <v>1036</v>
      </c>
      <c r="EA392" s="33" t="s">
        <v>2031</v>
      </c>
      <c r="EB392" s="33" t="s">
        <v>2027</v>
      </c>
      <c r="EC392" s="36">
        <v>303</v>
      </c>
      <c r="ED392" s="29" t="s">
        <v>1034</v>
      </c>
      <c r="EE392" s="29" t="s">
        <v>1035</v>
      </c>
      <c r="EF392" s="37">
        <v>41548</v>
      </c>
      <c r="EG392" s="37">
        <v>41912</v>
      </c>
      <c r="EH392" s="29" t="s">
        <v>1034</v>
      </c>
      <c r="EI392" s="55">
        <f t="shared" si="187"/>
        <v>0.64843605404404958</v>
      </c>
      <c r="EJ392" s="54">
        <f t="shared" si="188"/>
        <v>1.2955765315565426E-3</v>
      </c>
      <c r="EK392" s="55">
        <f t="shared" si="189"/>
        <v>3.5376642605959652</v>
      </c>
      <c r="EL392" s="54">
        <f t="shared" si="190"/>
        <v>3.6461225245234131E-2</v>
      </c>
    </row>
    <row r="393" spans="1:142" ht="28.8" x14ac:dyDescent="0.3">
      <c r="A393" s="29" t="s">
        <v>1383</v>
      </c>
      <c r="B393" s="29"/>
      <c r="C393" s="30">
        <v>53752</v>
      </c>
      <c r="D393" s="30">
        <v>0</v>
      </c>
      <c r="E393" s="30">
        <v>0</v>
      </c>
      <c r="F393" s="30">
        <v>28000</v>
      </c>
      <c r="H393" s="2">
        <f t="shared" si="166"/>
        <v>28000</v>
      </c>
      <c r="I393" s="1">
        <f t="shared" si="165"/>
        <v>0.52091084982884361</v>
      </c>
      <c r="J393" s="31">
        <v>489835</v>
      </c>
      <c r="K393" s="31">
        <v>174069</v>
      </c>
      <c r="L393" s="31">
        <v>663904</v>
      </c>
      <c r="M393" s="45">
        <f t="shared" si="167"/>
        <v>12.35124274445602</v>
      </c>
      <c r="N393" s="31">
        <v>125825</v>
      </c>
      <c r="O393" s="31">
        <v>39800</v>
      </c>
      <c r="P393" s="31">
        <v>39625</v>
      </c>
      <c r="Q393" s="31">
        <v>205250</v>
      </c>
      <c r="R393" s="45">
        <f t="shared" si="168"/>
        <v>3.8184625688346481</v>
      </c>
      <c r="S393" s="31">
        <v>186699</v>
      </c>
      <c r="T393" s="31">
        <v>1055853</v>
      </c>
      <c r="U393" s="31">
        <v>0</v>
      </c>
      <c r="V393" s="31">
        <v>1055853</v>
      </c>
      <c r="W393" s="45">
        <f t="shared" si="169"/>
        <v>19.643045840154784</v>
      </c>
      <c r="X393" s="4">
        <f t="shared" si="170"/>
        <v>0.62878449935739156</v>
      </c>
      <c r="Y393" s="4">
        <f t="shared" si="171"/>
        <v>0.19439259063524941</v>
      </c>
      <c r="Z393" s="4">
        <f t="shared" si="172"/>
        <v>0.17682291000735897</v>
      </c>
      <c r="AA393" s="4">
        <f t="shared" si="173"/>
        <v>0</v>
      </c>
      <c r="AB393" s="31">
        <v>0</v>
      </c>
      <c r="AC393" s="31">
        <v>205250</v>
      </c>
      <c r="AD393" s="31">
        <v>1055853</v>
      </c>
      <c r="AE393" s="31">
        <v>1052353</v>
      </c>
      <c r="AF393" s="31">
        <v>1052353</v>
      </c>
      <c r="AG393" s="31">
        <v>0</v>
      </c>
      <c r="AH393" s="31">
        <v>0</v>
      </c>
      <c r="AI393" s="31">
        <v>1052353</v>
      </c>
      <c r="AJ393" s="45">
        <f t="shared" si="174"/>
        <v>19.577931983926181</v>
      </c>
      <c r="AK393" s="31">
        <v>0</v>
      </c>
      <c r="AL393" s="31">
        <v>0</v>
      </c>
      <c r="AM393" s="31">
        <v>0</v>
      </c>
      <c r="AN393" s="31">
        <v>0</v>
      </c>
      <c r="AO393" s="31">
        <v>0</v>
      </c>
      <c r="AP393" s="31">
        <v>3500</v>
      </c>
      <c r="AQ393" s="31">
        <v>3500</v>
      </c>
      <c r="AR393" s="31">
        <v>1055853</v>
      </c>
      <c r="AS393" s="46">
        <f t="shared" si="175"/>
        <v>19.643045840154784</v>
      </c>
      <c r="AT393" s="31">
        <v>0</v>
      </c>
      <c r="AU393" s="31">
        <v>0</v>
      </c>
      <c r="AV393" s="31">
        <v>0</v>
      </c>
      <c r="AW393" s="31">
        <v>0</v>
      </c>
      <c r="AX393" s="31">
        <v>0</v>
      </c>
      <c r="AY393" s="31">
        <v>0</v>
      </c>
      <c r="AZ393" s="31">
        <v>0</v>
      </c>
      <c r="BA393" s="31">
        <v>0</v>
      </c>
      <c r="BB393" s="31">
        <v>0</v>
      </c>
      <c r="BC393" s="33" t="s">
        <v>25</v>
      </c>
      <c r="BD393" s="47">
        <v>46238</v>
      </c>
      <c r="BE393" s="47">
        <v>48594</v>
      </c>
      <c r="BF393" s="45">
        <f t="shared" si="176"/>
        <v>0.90404077987795806</v>
      </c>
      <c r="BG393" s="30">
        <v>5595</v>
      </c>
      <c r="BH393" s="30">
        <v>5676</v>
      </c>
      <c r="BI393" s="30">
        <v>3193</v>
      </c>
      <c r="BJ393" s="30">
        <v>7903</v>
      </c>
      <c r="BK393" s="30">
        <v>8271</v>
      </c>
      <c r="BL393" s="30">
        <v>600</v>
      </c>
      <c r="BM393" s="30">
        <v>6500</v>
      </c>
      <c r="BN393" s="30">
        <v>30</v>
      </c>
      <c r="BO393" s="30">
        <v>51</v>
      </c>
      <c r="BP393" s="30">
        <v>0</v>
      </c>
      <c r="BQ393" s="30">
        <v>81</v>
      </c>
      <c r="BR393" s="47">
        <v>59736</v>
      </c>
      <c r="BS393" s="47">
        <v>72864</v>
      </c>
      <c r="BT393" s="1">
        <f t="shared" si="177"/>
        <v>1.3555588629260307</v>
      </c>
      <c r="BU393" s="30">
        <v>143</v>
      </c>
      <c r="BV393" s="30">
        <v>40</v>
      </c>
      <c r="BW393" s="47">
        <v>17218</v>
      </c>
      <c r="BX393" s="52">
        <f t="shared" si="178"/>
        <v>0.32032296472689387</v>
      </c>
      <c r="BY393" s="47">
        <v>144542</v>
      </c>
      <c r="BZ393" s="47">
        <v>0</v>
      </c>
      <c r="CA393" s="47">
        <v>186005</v>
      </c>
      <c r="CB393" s="47">
        <v>37469</v>
      </c>
      <c r="CC393" s="47">
        <v>368016</v>
      </c>
      <c r="CD393" s="55">
        <f t="shared" si="179"/>
        <v>6.8465545468075604</v>
      </c>
      <c r="CE393" s="3">
        <f t="shared" si="180"/>
        <v>24865.945945945943</v>
      </c>
      <c r="CF393" s="55">
        <f t="shared" si="181"/>
        <v>126.20576131687243</v>
      </c>
      <c r="CG393" s="55">
        <f t="shared" si="182"/>
        <v>1.0686986546017383</v>
      </c>
      <c r="CH393" s="55">
        <f t="shared" si="183"/>
        <v>4.5364926438296003</v>
      </c>
      <c r="CI393" s="30">
        <v>320</v>
      </c>
      <c r="CJ393" s="30">
        <v>124</v>
      </c>
      <c r="CK393" s="30">
        <v>337</v>
      </c>
      <c r="CL393" s="30">
        <v>781</v>
      </c>
      <c r="CM393" s="30">
        <v>17703</v>
      </c>
      <c r="CN393" s="30">
        <v>1577</v>
      </c>
      <c r="CO393" s="30">
        <v>3431</v>
      </c>
      <c r="CP393" s="30">
        <v>22711</v>
      </c>
      <c r="CQ393" s="1">
        <f t="shared" si="191"/>
        <v>0.42251451108795951</v>
      </c>
      <c r="CR393" s="47">
        <v>344359</v>
      </c>
      <c r="CS393" s="55">
        <f t="shared" si="184"/>
        <v>6.4064406905789548</v>
      </c>
      <c r="CT393" s="59">
        <v>25931</v>
      </c>
      <c r="CU393" s="29" t="s">
        <v>25</v>
      </c>
      <c r="CV393" s="29" t="s">
        <v>25</v>
      </c>
      <c r="CW393" s="29" t="s">
        <v>25</v>
      </c>
      <c r="CX393" s="35">
        <v>5</v>
      </c>
      <c r="CY393" s="49">
        <f>C393/CX393</f>
        <v>10750.4</v>
      </c>
      <c r="CZ393" s="35">
        <v>0</v>
      </c>
      <c r="DA393" s="35">
        <v>9.8000000000000007</v>
      </c>
      <c r="DB393" s="35">
        <v>14.8</v>
      </c>
      <c r="DC393" s="49">
        <f t="shared" si="185"/>
        <v>3631.8918918918916</v>
      </c>
      <c r="DD393" s="30">
        <v>4448</v>
      </c>
      <c r="DE393" s="31">
        <v>84000</v>
      </c>
      <c r="DF393" s="35">
        <v>40</v>
      </c>
      <c r="DG393" s="29" t="s">
        <v>25</v>
      </c>
      <c r="DH393" s="29" t="s">
        <v>25</v>
      </c>
      <c r="DI393" s="29" t="s">
        <v>25</v>
      </c>
      <c r="DJ393" s="47">
        <v>371</v>
      </c>
      <c r="DK393" s="47">
        <v>33</v>
      </c>
      <c r="DL393" s="47">
        <v>45</v>
      </c>
      <c r="DM393" s="47">
        <v>37824</v>
      </c>
      <c r="DN393" s="47">
        <v>34436</v>
      </c>
      <c r="DO393" s="47">
        <v>195000</v>
      </c>
      <c r="DP393" s="29" t="s">
        <v>25</v>
      </c>
      <c r="DQ393" s="47">
        <v>99286</v>
      </c>
      <c r="DR393" s="47">
        <v>2916</v>
      </c>
      <c r="DS393" s="30">
        <v>52</v>
      </c>
      <c r="DT393" s="30">
        <v>58</v>
      </c>
      <c r="DU393" s="30">
        <v>58</v>
      </c>
      <c r="DV393" s="30">
        <v>58</v>
      </c>
      <c r="DX393" s="2">
        <f t="shared" si="186"/>
        <v>2916</v>
      </c>
      <c r="DY393" s="33" t="s">
        <v>2186</v>
      </c>
      <c r="DZ393" s="33" t="s">
        <v>1385</v>
      </c>
      <c r="EA393" s="33" t="s">
        <v>2030</v>
      </c>
      <c r="EB393" s="33" t="s">
        <v>2027</v>
      </c>
      <c r="EC393" s="36">
        <v>430</v>
      </c>
      <c r="ED393" s="29" t="s">
        <v>1384</v>
      </c>
      <c r="EE393" s="29" t="s">
        <v>110</v>
      </c>
      <c r="EF393" s="37">
        <v>41548</v>
      </c>
      <c r="EG393" s="37">
        <v>41912</v>
      </c>
      <c r="EH393" s="29" t="s">
        <v>1384</v>
      </c>
      <c r="EI393" s="55">
        <f t="shared" si="187"/>
        <v>2.6890534305700253</v>
      </c>
      <c r="EJ393" s="54">
        <f t="shared" si="188"/>
        <v>0</v>
      </c>
      <c r="EK393" s="55">
        <f t="shared" si="189"/>
        <v>3.4604293793719303</v>
      </c>
      <c r="EL393" s="54">
        <f t="shared" si="190"/>
        <v>0.69707173686560497</v>
      </c>
    </row>
    <row r="394" spans="1:142" ht="28.8" x14ac:dyDescent="0.3">
      <c r="A394" s="29" t="s">
        <v>1037</v>
      </c>
      <c r="B394" s="29"/>
      <c r="C394" s="30">
        <v>114656</v>
      </c>
      <c r="D394" s="30">
        <v>0</v>
      </c>
      <c r="E394" s="30">
        <v>0</v>
      </c>
      <c r="F394" s="30">
        <v>31798</v>
      </c>
      <c r="H394" s="2">
        <f t="shared" si="166"/>
        <v>31798</v>
      </c>
      <c r="I394" s="1">
        <f t="shared" si="165"/>
        <v>0.27733393804074796</v>
      </c>
      <c r="J394" s="31">
        <v>621670</v>
      </c>
      <c r="K394" s="31">
        <v>182020</v>
      </c>
      <c r="L394" s="31">
        <v>803690</v>
      </c>
      <c r="M394" s="45">
        <f t="shared" si="167"/>
        <v>7.0095764722299752</v>
      </c>
      <c r="N394" s="31">
        <v>105500</v>
      </c>
      <c r="O394" s="31">
        <v>0</v>
      </c>
      <c r="P394" s="31">
        <v>6500</v>
      </c>
      <c r="Q394" s="31">
        <v>112000</v>
      </c>
      <c r="R394" s="45">
        <f t="shared" si="168"/>
        <v>0.97683505442366736</v>
      </c>
      <c r="S394" s="31">
        <v>244580</v>
      </c>
      <c r="T394" s="31">
        <v>1160270</v>
      </c>
      <c r="U394" s="31">
        <v>133212</v>
      </c>
      <c r="V394" s="31">
        <v>1293482</v>
      </c>
      <c r="W394" s="45">
        <f t="shared" si="169"/>
        <v>11.28141571308959</v>
      </c>
      <c r="X394" s="4">
        <f t="shared" si="170"/>
        <v>0.62133837192941221</v>
      </c>
      <c r="Y394" s="4">
        <f t="shared" si="171"/>
        <v>8.6587984989354314E-2</v>
      </c>
      <c r="Z394" s="4">
        <f t="shared" si="172"/>
        <v>0.18908651222050249</v>
      </c>
      <c r="AA394" s="4">
        <f t="shared" si="173"/>
        <v>0.10298713086073095</v>
      </c>
      <c r="AB394" s="31">
        <v>0</v>
      </c>
      <c r="AC394" s="31">
        <v>112000</v>
      </c>
      <c r="AD394" s="31">
        <v>1293482</v>
      </c>
      <c r="AE394" s="31">
        <v>1293482</v>
      </c>
      <c r="AF394" s="31">
        <v>1148010</v>
      </c>
      <c r="AG394" s="31">
        <v>18242</v>
      </c>
      <c r="AH394" s="31">
        <v>0</v>
      </c>
      <c r="AI394" s="31">
        <v>1166252</v>
      </c>
      <c r="AJ394" s="45">
        <f t="shared" si="174"/>
        <v>10.171748534747419</v>
      </c>
      <c r="AK394" s="31">
        <v>0</v>
      </c>
      <c r="AL394" s="31">
        <v>0</v>
      </c>
      <c r="AM394" s="31">
        <v>0</v>
      </c>
      <c r="AN394" s="31">
        <v>0</v>
      </c>
      <c r="AO394" s="31">
        <v>0</v>
      </c>
      <c r="AP394" s="31">
        <v>3000</v>
      </c>
      <c r="AQ394" s="31">
        <v>3000</v>
      </c>
      <c r="AR394" s="31">
        <v>1169252</v>
      </c>
      <c r="AS394" s="46">
        <f t="shared" si="175"/>
        <v>10.197913759419482</v>
      </c>
      <c r="AT394" s="31">
        <v>0</v>
      </c>
      <c r="AU394" s="31">
        <v>0</v>
      </c>
      <c r="AV394" s="31">
        <v>0</v>
      </c>
      <c r="AW394" s="31">
        <v>0</v>
      </c>
      <c r="AX394" s="31">
        <v>0</v>
      </c>
      <c r="AY394" s="31">
        <v>0</v>
      </c>
      <c r="AZ394" s="31">
        <v>0</v>
      </c>
      <c r="BA394" s="31">
        <v>0</v>
      </c>
      <c r="BB394" s="31">
        <v>0</v>
      </c>
      <c r="BC394" s="33" t="s">
        <v>25</v>
      </c>
      <c r="BD394" s="47">
        <v>76677</v>
      </c>
      <c r="BE394" s="47">
        <v>83713</v>
      </c>
      <c r="BF394" s="45">
        <f t="shared" si="176"/>
        <v>0.73012315099078984</v>
      </c>
      <c r="BG394" s="30">
        <v>2335</v>
      </c>
      <c r="BH394" s="30">
        <v>2381</v>
      </c>
      <c r="BI394" s="30">
        <v>0</v>
      </c>
      <c r="BJ394" s="30">
        <v>1909</v>
      </c>
      <c r="BK394" s="30">
        <v>2300</v>
      </c>
      <c r="BL394" s="30">
        <v>0</v>
      </c>
      <c r="BM394" s="30">
        <v>0</v>
      </c>
      <c r="BN394" s="30">
        <v>7</v>
      </c>
      <c r="BO394" s="30">
        <v>51</v>
      </c>
      <c r="BP394" s="30">
        <v>3</v>
      </c>
      <c r="BQ394" s="30">
        <v>61</v>
      </c>
      <c r="BR394" s="47">
        <v>80921</v>
      </c>
      <c r="BS394" s="47">
        <v>88401</v>
      </c>
      <c r="BT394" s="1">
        <f t="shared" si="177"/>
        <v>0.77101067541166624</v>
      </c>
      <c r="BU394" s="30">
        <v>163</v>
      </c>
      <c r="BV394" s="30">
        <v>65</v>
      </c>
      <c r="BW394" s="47">
        <v>129688</v>
      </c>
      <c r="BX394" s="52">
        <f t="shared" si="178"/>
        <v>1.1311052190901478</v>
      </c>
      <c r="BY394" s="47">
        <v>37954</v>
      </c>
      <c r="BZ394" s="47">
        <v>0</v>
      </c>
      <c r="CA394" s="47">
        <v>78166</v>
      </c>
      <c r="CB394" s="47">
        <v>0</v>
      </c>
      <c r="CC394" s="47">
        <v>116120</v>
      </c>
      <c r="CD394" s="55">
        <f t="shared" si="179"/>
        <v>1.0127686296399665</v>
      </c>
      <c r="CE394" s="3">
        <f t="shared" si="180"/>
        <v>4762.9204265791632</v>
      </c>
      <c r="CF394" s="55">
        <f t="shared" si="181"/>
        <v>32.372456091441315</v>
      </c>
      <c r="CG394" s="55">
        <f t="shared" si="182"/>
        <v>0.39692360280293965</v>
      </c>
      <c r="CH394" s="55">
        <f t="shared" si="183"/>
        <v>1.3135598013597132</v>
      </c>
      <c r="CI394" s="30">
        <v>300</v>
      </c>
      <c r="CJ394" s="30">
        <v>70</v>
      </c>
      <c r="CK394" s="30">
        <v>156</v>
      </c>
      <c r="CL394" s="30">
        <v>526</v>
      </c>
      <c r="CM394" s="30">
        <v>13921</v>
      </c>
      <c r="CN394" s="30">
        <v>351</v>
      </c>
      <c r="CO394" s="30">
        <v>2340</v>
      </c>
      <c r="CP394" s="30">
        <v>16612</v>
      </c>
      <c r="CQ394" s="1">
        <f t="shared" si="191"/>
        <v>0.14488557075076752</v>
      </c>
      <c r="CR394" s="47">
        <v>292550</v>
      </c>
      <c r="CS394" s="55">
        <f t="shared" si="184"/>
        <v>2.5515454926039633</v>
      </c>
      <c r="CT394" s="59">
        <v>62196</v>
      </c>
      <c r="CU394" s="29" t="s">
        <v>25</v>
      </c>
      <c r="CV394" s="29" t="s">
        <v>25</v>
      </c>
      <c r="CW394" s="29" t="s">
        <v>25</v>
      </c>
      <c r="CX394" s="35">
        <v>2</v>
      </c>
      <c r="CY394" s="49">
        <f>C394/CX394</f>
        <v>57328</v>
      </c>
      <c r="CZ394" s="35">
        <v>2</v>
      </c>
      <c r="DA394" s="35">
        <v>20.38</v>
      </c>
      <c r="DB394" s="35">
        <v>24.38</v>
      </c>
      <c r="DC394" s="49">
        <f t="shared" si="185"/>
        <v>4702.871205906481</v>
      </c>
      <c r="DD394" s="30">
        <v>1800</v>
      </c>
      <c r="DE394" s="31">
        <v>57000</v>
      </c>
      <c r="DF394" s="35">
        <v>40</v>
      </c>
      <c r="DG394" s="29" t="s">
        <v>25</v>
      </c>
      <c r="DH394" s="29" t="s">
        <v>26</v>
      </c>
      <c r="DI394" s="29" t="s">
        <v>26</v>
      </c>
      <c r="DJ394" s="47">
        <v>150</v>
      </c>
      <c r="DK394" s="47">
        <v>347</v>
      </c>
      <c r="DL394" s="47">
        <v>91</v>
      </c>
      <c r="DM394" s="47">
        <v>190860</v>
      </c>
      <c r="DN394" s="47">
        <v>3355</v>
      </c>
      <c r="DO394" s="47">
        <v>6592</v>
      </c>
      <c r="DP394" s="29" t="s">
        <v>2028</v>
      </c>
      <c r="DQ394" s="47">
        <v>0</v>
      </c>
      <c r="DR394" s="47">
        <v>3587</v>
      </c>
      <c r="DS394" s="30">
        <v>52</v>
      </c>
      <c r="DT394" s="30">
        <v>71</v>
      </c>
      <c r="DU394" s="30">
        <v>71</v>
      </c>
      <c r="DV394" s="30">
        <v>71</v>
      </c>
      <c r="DX394" s="2">
        <f t="shared" si="186"/>
        <v>3587</v>
      </c>
      <c r="DY394" s="33" t="s">
        <v>2180</v>
      </c>
      <c r="DZ394" s="33" t="s">
        <v>1039</v>
      </c>
      <c r="EA394" s="33" t="s">
        <v>2030</v>
      </c>
      <c r="EB394" s="33" t="s">
        <v>2027</v>
      </c>
      <c r="EC394" s="36">
        <v>305</v>
      </c>
      <c r="ED394" s="29" t="s">
        <v>1038</v>
      </c>
      <c r="EE394" s="29" t="s">
        <v>35</v>
      </c>
      <c r="EF394" s="37">
        <v>41548</v>
      </c>
      <c r="EG394" s="37">
        <v>41912</v>
      </c>
      <c r="EH394" s="29" t="s">
        <v>1038</v>
      </c>
      <c r="EI394" s="55">
        <f t="shared" si="187"/>
        <v>0.33102497906782025</v>
      </c>
      <c r="EJ394" s="54">
        <f t="shared" si="188"/>
        <v>0</v>
      </c>
      <c r="EK394" s="55">
        <f t="shared" si="189"/>
        <v>0.68174365057214625</v>
      </c>
      <c r="EL394" s="54">
        <f t="shared" si="190"/>
        <v>0</v>
      </c>
    </row>
    <row r="395" spans="1:142" ht="43.2" x14ac:dyDescent="0.3">
      <c r="A395" s="29" t="s">
        <v>1041</v>
      </c>
      <c r="B395" s="29"/>
      <c r="C395" s="30">
        <v>5156</v>
      </c>
      <c r="D395" s="30">
        <v>0</v>
      </c>
      <c r="E395" s="30">
        <v>0</v>
      </c>
      <c r="F395" s="30">
        <v>5800</v>
      </c>
      <c r="H395" s="2">
        <f t="shared" si="166"/>
        <v>5800</v>
      </c>
      <c r="I395" s="1">
        <f t="shared" si="165"/>
        <v>1.1249030256012413</v>
      </c>
      <c r="J395" s="31">
        <v>79423</v>
      </c>
      <c r="K395" s="31">
        <v>20667</v>
      </c>
      <c r="L395" s="31">
        <v>100090</v>
      </c>
      <c r="M395" s="45">
        <f t="shared" si="167"/>
        <v>19.41233514352211</v>
      </c>
      <c r="N395" s="31">
        <v>6891</v>
      </c>
      <c r="O395" s="31">
        <v>0</v>
      </c>
      <c r="P395" s="31">
        <v>746</v>
      </c>
      <c r="Q395" s="31">
        <v>7637</v>
      </c>
      <c r="R395" s="45">
        <f t="shared" si="168"/>
        <v>1.4811869666408068</v>
      </c>
      <c r="S395" s="31">
        <v>22694</v>
      </c>
      <c r="T395" s="31">
        <v>130421</v>
      </c>
      <c r="U395" s="31">
        <v>0</v>
      </c>
      <c r="V395" s="31">
        <v>130421</v>
      </c>
      <c r="W395" s="45">
        <f t="shared" si="169"/>
        <v>25.294996121024049</v>
      </c>
      <c r="X395" s="4">
        <f t="shared" si="170"/>
        <v>0.76743775925656144</v>
      </c>
      <c r="Y395" s="4">
        <f t="shared" si="171"/>
        <v>5.8556520805698467E-2</v>
      </c>
      <c r="Z395" s="4">
        <f t="shared" si="172"/>
        <v>0.17400571993774008</v>
      </c>
      <c r="AA395" s="4">
        <f t="shared" si="173"/>
        <v>0</v>
      </c>
      <c r="AB395" s="31">
        <v>0</v>
      </c>
      <c r="AC395" s="31">
        <v>7637</v>
      </c>
      <c r="AD395" s="31">
        <v>130421</v>
      </c>
      <c r="AE395" s="31">
        <v>129699</v>
      </c>
      <c r="AF395" s="31">
        <v>116929</v>
      </c>
      <c r="AG395" s="31">
        <v>12770</v>
      </c>
      <c r="AH395" s="31">
        <v>0</v>
      </c>
      <c r="AI395" s="31">
        <v>129699</v>
      </c>
      <c r="AJ395" s="45">
        <f t="shared" si="174"/>
        <v>25.154965089216446</v>
      </c>
      <c r="AK395" s="31">
        <v>0</v>
      </c>
      <c r="AL395" s="31">
        <v>0</v>
      </c>
      <c r="AM395" s="31">
        <v>0</v>
      </c>
      <c r="AN395" s="31">
        <v>0</v>
      </c>
      <c r="AO395" s="31">
        <v>0</v>
      </c>
      <c r="AP395" s="31">
        <v>765</v>
      </c>
      <c r="AQ395" s="31">
        <v>765</v>
      </c>
      <c r="AR395" s="31">
        <v>130464</v>
      </c>
      <c r="AS395" s="46">
        <f t="shared" si="175"/>
        <v>25.303335919317302</v>
      </c>
      <c r="AT395" s="31">
        <v>0</v>
      </c>
      <c r="AU395" s="31">
        <v>0</v>
      </c>
      <c r="AV395" s="31">
        <v>0</v>
      </c>
      <c r="AW395" s="31">
        <v>0</v>
      </c>
      <c r="AX395" s="31">
        <v>0</v>
      </c>
      <c r="AY395" s="31">
        <v>0</v>
      </c>
      <c r="AZ395" s="31">
        <v>0</v>
      </c>
      <c r="BA395" s="31">
        <v>0</v>
      </c>
      <c r="BB395" s="31">
        <v>0</v>
      </c>
      <c r="BC395" s="33" t="s">
        <v>25</v>
      </c>
      <c r="BD395" s="47">
        <v>15833</v>
      </c>
      <c r="BE395" s="47">
        <v>16024</v>
      </c>
      <c r="BF395" s="45">
        <f t="shared" si="176"/>
        <v>3.1078355314197053</v>
      </c>
      <c r="BG395" s="30">
        <v>576</v>
      </c>
      <c r="BH395" s="30">
        <v>590</v>
      </c>
      <c r="BI395" s="30">
        <v>0</v>
      </c>
      <c r="BJ395" s="30">
        <v>750</v>
      </c>
      <c r="BK395" s="30">
        <v>782</v>
      </c>
      <c r="BL395" s="30">
        <v>0</v>
      </c>
      <c r="BM395" s="30">
        <v>0</v>
      </c>
      <c r="BN395" s="30">
        <v>0</v>
      </c>
      <c r="BO395" s="30">
        <v>51</v>
      </c>
      <c r="BP395" s="30">
        <v>0</v>
      </c>
      <c r="BQ395" s="30">
        <v>51</v>
      </c>
      <c r="BR395" s="47">
        <v>17159</v>
      </c>
      <c r="BS395" s="47">
        <v>17396</v>
      </c>
      <c r="BT395" s="1">
        <f t="shared" si="177"/>
        <v>3.3739332816136538</v>
      </c>
      <c r="BU395" s="30">
        <v>24</v>
      </c>
      <c r="BV395" s="30">
        <v>0</v>
      </c>
      <c r="BW395" s="47">
        <v>918</v>
      </c>
      <c r="BX395" s="52">
        <f t="shared" si="178"/>
        <v>0.17804499612102406</v>
      </c>
      <c r="BY395" s="47">
        <v>3223</v>
      </c>
      <c r="BZ395" s="47">
        <v>0</v>
      </c>
      <c r="CA395" s="47">
        <v>10212</v>
      </c>
      <c r="CB395" s="47">
        <v>0</v>
      </c>
      <c r="CC395" s="47">
        <v>13435</v>
      </c>
      <c r="CD395" s="55">
        <f t="shared" si="179"/>
        <v>2.6057020946470133</v>
      </c>
      <c r="CE395" s="3">
        <f t="shared" si="180"/>
        <v>5627.2251308900522</v>
      </c>
      <c r="CF395" s="55">
        <f t="shared" si="181"/>
        <v>6.6509900990099009</v>
      </c>
      <c r="CG395" s="55">
        <f t="shared" si="182"/>
        <v>0.70699363258432879</v>
      </c>
      <c r="CH395" s="55">
        <f t="shared" si="183"/>
        <v>0.77230397792595995</v>
      </c>
      <c r="CI395" s="30">
        <v>57</v>
      </c>
      <c r="CJ395" s="30">
        <v>0</v>
      </c>
      <c r="CK395" s="30">
        <v>2</v>
      </c>
      <c r="CL395" s="30">
        <v>59</v>
      </c>
      <c r="CM395" s="30">
        <v>605</v>
      </c>
      <c r="CN395" s="30">
        <v>0</v>
      </c>
      <c r="CO395" s="30">
        <v>21</v>
      </c>
      <c r="CP395" s="30">
        <v>626</v>
      </c>
      <c r="CQ395" s="1">
        <f t="shared" si="191"/>
        <v>0.12141194724592708</v>
      </c>
      <c r="CR395" s="47">
        <v>19003</v>
      </c>
      <c r="CS395" s="55">
        <f t="shared" si="184"/>
        <v>3.6856089992242049</v>
      </c>
      <c r="CT395" s="59">
        <v>3890</v>
      </c>
      <c r="CU395" s="29" t="s">
        <v>25</v>
      </c>
      <c r="CV395" s="29" t="s">
        <v>25</v>
      </c>
      <c r="CW395" s="29" t="s">
        <v>25</v>
      </c>
      <c r="CX395" s="35">
        <v>2</v>
      </c>
      <c r="CY395" s="49">
        <f>C395/CX395</f>
        <v>2578</v>
      </c>
      <c r="CZ395" s="35">
        <v>0</v>
      </c>
      <c r="DA395" s="35">
        <v>0.38750000000000001</v>
      </c>
      <c r="DB395" s="35">
        <v>2.3875000000000002</v>
      </c>
      <c r="DC395" s="49">
        <f t="shared" si="185"/>
        <v>2159.5811518324604</v>
      </c>
      <c r="DD395" s="30">
        <v>8</v>
      </c>
      <c r="DE395" s="31">
        <v>40000</v>
      </c>
      <c r="DF395" s="35">
        <v>40</v>
      </c>
      <c r="DG395" s="29" t="s">
        <v>25</v>
      </c>
      <c r="DH395" s="29" t="s">
        <v>25</v>
      </c>
      <c r="DI395" s="29" t="s">
        <v>25</v>
      </c>
      <c r="DJ395" s="47">
        <v>3</v>
      </c>
      <c r="DK395" s="47">
        <v>20</v>
      </c>
      <c r="DL395" s="47">
        <v>4</v>
      </c>
      <c r="DM395" s="47">
        <v>1971</v>
      </c>
      <c r="DN395" s="47">
        <v>411</v>
      </c>
      <c r="DO395" s="47">
        <v>664</v>
      </c>
      <c r="DP395" s="29" t="s">
        <v>2028</v>
      </c>
      <c r="DQ395" s="47">
        <v>0</v>
      </c>
      <c r="DR395" s="47">
        <v>2020</v>
      </c>
      <c r="DS395" s="30">
        <v>51</v>
      </c>
      <c r="DT395" s="30">
        <v>40</v>
      </c>
      <c r="DU395" s="30">
        <v>40</v>
      </c>
      <c r="DV395" s="30">
        <v>40</v>
      </c>
      <c r="DX395" s="2">
        <f t="shared" si="186"/>
        <v>2020</v>
      </c>
      <c r="DY395" s="33" t="s">
        <v>2181</v>
      </c>
      <c r="DZ395" s="33" t="s">
        <v>1042</v>
      </c>
      <c r="EA395" s="33" t="s">
        <v>2030</v>
      </c>
      <c r="EB395" s="33" t="s">
        <v>2027</v>
      </c>
      <c r="EC395" s="36">
        <v>306</v>
      </c>
      <c r="ED395" s="29" t="s">
        <v>1040</v>
      </c>
      <c r="EE395" s="29" t="s">
        <v>424</v>
      </c>
      <c r="EF395" s="37">
        <v>41548</v>
      </c>
      <c r="EG395" s="37">
        <v>41912</v>
      </c>
      <c r="EH395" s="29" t="s">
        <v>1040</v>
      </c>
      <c r="EI395" s="55">
        <f t="shared" si="187"/>
        <v>0.62509697439875878</v>
      </c>
      <c r="EJ395" s="54">
        <f t="shared" si="188"/>
        <v>0</v>
      </c>
      <c r="EK395" s="55">
        <f t="shared" si="189"/>
        <v>1.9806051202482544</v>
      </c>
      <c r="EL395" s="54">
        <f t="shared" si="190"/>
        <v>0</v>
      </c>
    </row>
    <row r="396" spans="1:142" ht="28.8" x14ac:dyDescent="0.3">
      <c r="A396" s="29" t="s">
        <v>1043</v>
      </c>
      <c r="B396" s="29"/>
      <c r="C396" s="30">
        <v>822</v>
      </c>
      <c r="D396" s="30">
        <v>0</v>
      </c>
      <c r="E396" s="30">
        <v>0</v>
      </c>
      <c r="F396" s="30">
        <v>5598</v>
      </c>
      <c r="H396" s="2">
        <f t="shared" si="166"/>
        <v>5598</v>
      </c>
      <c r="I396" s="1">
        <f t="shared" si="165"/>
        <v>6.8102189781021893</v>
      </c>
      <c r="J396" s="31">
        <v>67911</v>
      </c>
      <c r="K396" s="31">
        <v>23287</v>
      </c>
      <c r="L396" s="31">
        <v>91198</v>
      </c>
      <c r="M396" s="45">
        <f t="shared" si="167"/>
        <v>110.94647201946472</v>
      </c>
      <c r="N396" s="31">
        <v>10399</v>
      </c>
      <c r="O396" s="31">
        <v>1494</v>
      </c>
      <c r="P396" s="31">
        <v>2448</v>
      </c>
      <c r="Q396" s="31">
        <v>14341</v>
      </c>
      <c r="R396" s="45">
        <f t="shared" si="168"/>
        <v>17.446472019464721</v>
      </c>
      <c r="S396" s="31">
        <v>102621</v>
      </c>
      <c r="T396" s="31">
        <v>208160</v>
      </c>
      <c r="U396" s="31">
        <v>0</v>
      </c>
      <c r="V396" s="31">
        <v>208160</v>
      </c>
      <c r="W396" s="45">
        <f t="shared" si="169"/>
        <v>253.23600973236009</v>
      </c>
      <c r="X396" s="4">
        <f t="shared" si="170"/>
        <v>0.43811491160645655</v>
      </c>
      <c r="Y396" s="4">
        <f t="shared" si="171"/>
        <v>6.8894119907763257E-2</v>
      </c>
      <c r="Z396" s="4">
        <f t="shared" si="172"/>
        <v>0.49299096848578017</v>
      </c>
      <c r="AA396" s="4">
        <f t="shared" si="173"/>
        <v>0</v>
      </c>
      <c r="AB396" s="31">
        <v>0</v>
      </c>
      <c r="AC396" s="31">
        <v>14341</v>
      </c>
      <c r="AD396" s="31">
        <v>208160</v>
      </c>
      <c r="AE396" s="31">
        <v>5960</v>
      </c>
      <c r="AF396" s="31">
        <v>5960</v>
      </c>
      <c r="AG396" s="31">
        <v>0</v>
      </c>
      <c r="AH396" s="31">
        <v>0</v>
      </c>
      <c r="AI396" s="31">
        <v>5960</v>
      </c>
      <c r="AJ396" s="45">
        <f t="shared" si="174"/>
        <v>7.2506082725060823</v>
      </c>
      <c r="AK396" s="31">
        <v>0</v>
      </c>
      <c r="AL396" s="31">
        <v>0</v>
      </c>
      <c r="AM396" s="31">
        <v>0</v>
      </c>
      <c r="AN396" s="31">
        <v>0</v>
      </c>
      <c r="AO396" s="31">
        <v>202200</v>
      </c>
      <c r="AP396" s="31">
        <v>0</v>
      </c>
      <c r="AQ396" s="31">
        <v>202200</v>
      </c>
      <c r="AR396" s="31">
        <v>208160</v>
      </c>
      <c r="AS396" s="46">
        <f t="shared" si="175"/>
        <v>253.23600973236009</v>
      </c>
      <c r="AT396" s="31">
        <v>0</v>
      </c>
      <c r="AU396" s="31">
        <v>0</v>
      </c>
      <c r="AV396" s="31">
        <v>0</v>
      </c>
      <c r="AW396" s="31">
        <v>0</v>
      </c>
      <c r="AX396" s="31">
        <v>0</v>
      </c>
      <c r="AY396" s="31">
        <v>0</v>
      </c>
      <c r="AZ396" s="31">
        <v>0</v>
      </c>
      <c r="BA396" s="31">
        <v>0</v>
      </c>
      <c r="BB396" s="31">
        <v>0</v>
      </c>
      <c r="BC396" s="33" t="s">
        <v>25</v>
      </c>
      <c r="BD396" s="47">
        <v>20293</v>
      </c>
      <c r="BE396" s="47">
        <v>22619</v>
      </c>
      <c r="BF396" s="45">
        <f t="shared" si="176"/>
        <v>27.517031630170315</v>
      </c>
      <c r="BG396" s="30">
        <v>1166</v>
      </c>
      <c r="BH396" s="30">
        <v>1187</v>
      </c>
      <c r="BI396" s="30">
        <v>0</v>
      </c>
      <c r="BJ396" s="30">
        <v>1217</v>
      </c>
      <c r="BK396" s="30">
        <v>1251</v>
      </c>
      <c r="BL396" s="30">
        <v>0</v>
      </c>
      <c r="BM396" s="30">
        <v>1431</v>
      </c>
      <c r="BN396" s="30">
        <v>1</v>
      </c>
      <c r="BO396" s="30">
        <v>51</v>
      </c>
      <c r="BP396" s="30">
        <v>1</v>
      </c>
      <c r="BQ396" s="30">
        <v>53</v>
      </c>
      <c r="BR396" s="47">
        <v>22676</v>
      </c>
      <c r="BS396" s="47">
        <v>26489</v>
      </c>
      <c r="BT396" s="1">
        <f t="shared" si="177"/>
        <v>32.225060827250608</v>
      </c>
      <c r="BU396" s="30">
        <v>21</v>
      </c>
      <c r="BV396" s="30">
        <v>0</v>
      </c>
      <c r="BW396" s="47">
        <v>1450</v>
      </c>
      <c r="BX396" s="52">
        <f t="shared" si="178"/>
        <v>1.7639902676399026</v>
      </c>
      <c r="BY396" s="47">
        <v>2248</v>
      </c>
      <c r="BZ396" s="47">
        <v>0</v>
      </c>
      <c r="CA396" s="47">
        <v>9748</v>
      </c>
      <c r="CB396" s="47">
        <v>812</v>
      </c>
      <c r="CC396" s="47">
        <v>12808</v>
      </c>
      <c r="CD396" s="55">
        <f t="shared" si="179"/>
        <v>15.581508515815084</v>
      </c>
      <c r="CE396" s="3">
        <f t="shared" si="180"/>
        <v>4494.0350877192977</v>
      </c>
      <c r="CF396" s="55">
        <f t="shared" si="181"/>
        <v>7.2320722755505367</v>
      </c>
      <c r="CG396" s="55">
        <f t="shared" si="182"/>
        <v>0.683603757472246</v>
      </c>
      <c r="CH396" s="55">
        <f t="shared" si="183"/>
        <v>0.45286722790592321</v>
      </c>
      <c r="CI396" s="30">
        <v>5</v>
      </c>
      <c r="CJ396" s="30">
        <v>0</v>
      </c>
      <c r="CK396" s="30">
        <v>0</v>
      </c>
      <c r="CL396" s="30">
        <v>5</v>
      </c>
      <c r="CM396" s="30">
        <v>260</v>
      </c>
      <c r="CN396" s="30">
        <v>0</v>
      </c>
      <c r="CO396" s="30">
        <v>0</v>
      </c>
      <c r="CP396" s="30">
        <v>260</v>
      </c>
      <c r="CQ396" s="1">
        <f t="shared" si="191"/>
        <v>0.31630170316301703</v>
      </c>
      <c r="CR396" s="47">
        <v>18736</v>
      </c>
      <c r="CS396" s="55">
        <f t="shared" si="184"/>
        <v>22.793187347931873</v>
      </c>
      <c r="CT396" s="59">
        <v>2743</v>
      </c>
      <c r="CU396" s="29" t="s">
        <v>25</v>
      </c>
      <c r="CV396" s="29" t="s">
        <v>25</v>
      </c>
      <c r="CW396" s="29" t="s">
        <v>25</v>
      </c>
      <c r="CX396" s="35">
        <v>0</v>
      </c>
      <c r="CY396" s="49">
        <v>0</v>
      </c>
      <c r="CZ396" s="35">
        <v>1</v>
      </c>
      <c r="DA396" s="35">
        <v>1.85</v>
      </c>
      <c r="DB396" s="35">
        <v>2.85</v>
      </c>
      <c r="DC396" s="49">
        <f t="shared" si="185"/>
        <v>288.42105263157896</v>
      </c>
      <c r="DD396" s="30">
        <v>156</v>
      </c>
      <c r="DE396" s="31">
        <v>30893</v>
      </c>
      <c r="DF396" s="35">
        <v>40</v>
      </c>
      <c r="DG396" s="29" t="s">
        <v>25</v>
      </c>
      <c r="DH396" s="29" t="s">
        <v>25</v>
      </c>
      <c r="DI396" s="29" t="s">
        <v>25</v>
      </c>
      <c r="DJ396" s="47">
        <v>31</v>
      </c>
      <c r="DK396" s="47">
        <v>0</v>
      </c>
      <c r="DL396" s="47">
        <v>10</v>
      </c>
      <c r="DM396" s="47">
        <v>4490</v>
      </c>
      <c r="DN396" s="47">
        <v>55</v>
      </c>
      <c r="DO396" s="47">
        <v>2531</v>
      </c>
      <c r="DP396" s="29" t="s">
        <v>2028</v>
      </c>
      <c r="DQ396" s="47">
        <v>0</v>
      </c>
      <c r="DR396" s="47">
        <v>1771</v>
      </c>
      <c r="DS396" s="30">
        <v>52</v>
      </c>
      <c r="DT396" s="30">
        <v>35</v>
      </c>
      <c r="DU396" s="30">
        <v>35</v>
      </c>
      <c r="DV396" s="30">
        <v>35</v>
      </c>
      <c r="DX396" s="2">
        <f t="shared" si="186"/>
        <v>1771</v>
      </c>
      <c r="DY396" s="33" t="s">
        <v>2185</v>
      </c>
      <c r="DZ396" s="33" t="s">
        <v>1046</v>
      </c>
      <c r="EA396" s="33" t="s">
        <v>2030</v>
      </c>
      <c r="EB396" s="33" t="s">
        <v>2027</v>
      </c>
      <c r="EC396" s="36">
        <v>307</v>
      </c>
      <c r="ED396" s="29" t="s">
        <v>1044</v>
      </c>
      <c r="EE396" s="29" t="s">
        <v>1045</v>
      </c>
      <c r="EF396" s="37">
        <v>41640</v>
      </c>
      <c r="EG396" s="37">
        <v>42004</v>
      </c>
      <c r="EH396" s="29" t="s">
        <v>1044</v>
      </c>
      <c r="EI396" s="55">
        <f t="shared" si="187"/>
        <v>2.7347931873479321</v>
      </c>
      <c r="EJ396" s="54">
        <f t="shared" si="188"/>
        <v>0</v>
      </c>
      <c r="EK396" s="55">
        <f t="shared" si="189"/>
        <v>11.858880778588809</v>
      </c>
      <c r="EL396" s="54">
        <f t="shared" si="190"/>
        <v>0.98783454987834551</v>
      </c>
    </row>
    <row r="397" spans="1:142" ht="43.2" x14ac:dyDescent="0.3">
      <c r="A397" s="29" t="s">
        <v>1047</v>
      </c>
      <c r="B397" s="29"/>
      <c r="C397" s="30">
        <v>12413</v>
      </c>
      <c r="D397" s="30">
        <v>0</v>
      </c>
      <c r="E397" s="30">
        <v>0</v>
      </c>
      <c r="F397" s="30">
        <v>6250</v>
      </c>
      <c r="H397" s="2">
        <f t="shared" si="166"/>
        <v>6250</v>
      </c>
      <c r="I397" s="1">
        <f t="shared" si="165"/>
        <v>0.50350439055828566</v>
      </c>
      <c r="J397" s="31">
        <v>119431</v>
      </c>
      <c r="K397" s="31">
        <v>31802</v>
      </c>
      <c r="L397" s="31">
        <v>151233</v>
      </c>
      <c r="M397" s="45">
        <f t="shared" si="167"/>
        <v>12.183436719568194</v>
      </c>
      <c r="N397" s="31">
        <v>13791</v>
      </c>
      <c r="O397" s="31">
        <v>432</v>
      </c>
      <c r="P397" s="31">
        <v>2685</v>
      </c>
      <c r="Q397" s="31">
        <v>16908</v>
      </c>
      <c r="R397" s="45">
        <f t="shared" si="168"/>
        <v>1.3621203576895191</v>
      </c>
      <c r="S397" s="31">
        <v>32663</v>
      </c>
      <c r="T397" s="31">
        <v>200804</v>
      </c>
      <c r="U397" s="31">
        <v>0</v>
      </c>
      <c r="V397" s="31">
        <v>200804</v>
      </c>
      <c r="W397" s="45">
        <f t="shared" si="169"/>
        <v>16.176911302666561</v>
      </c>
      <c r="X397" s="4">
        <f t="shared" si="170"/>
        <v>0.75313738770144023</v>
      </c>
      <c r="Y397" s="4">
        <f t="shared" si="171"/>
        <v>8.4201509930081075E-2</v>
      </c>
      <c r="Z397" s="4">
        <f t="shared" si="172"/>
        <v>0.16266110236847872</v>
      </c>
      <c r="AA397" s="4">
        <f t="shared" si="173"/>
        <v>0</v>
      </c>
      <c r="AB397" s="31">
        <v>0</v>
      </c>
      <c r="AC397" s="31">
        <v>16908</v>
      </c>
      <c r="AD397" s="31">
        <v>199264</v>
      </c>
      <c r="AE397" s="31">
        <v>178054</v>
      </c>
      <c r="AF397" s="31">
        <v>94200</v>
      </c>
      <c r="AG397" s="31">
        <v>83854</v>
      </c>
      <c r="AH397" s="31">
        <v>0</v>
      </c>
      <c r="AI397" s="31">
        <v>178054</v>
      </c>
      <c r="AJ397" s="45">
        <f t="shared" si="174"/>
        <v>14.3441553210344</v>
      </c>
      <c r="AK397" s="31">
        <v>0</v>
      </c>
      <c r="AL397" s="31">
        <v>0</v>
      </c>
      <c r="AM397" s="31">
        <v>0</v>
      </c>
      <c r="AN397" s="31">
        <v>0</v>
      </c>
      <c r="AO397" s="31">
        <v>8450</v>
      </c>
      <c r="AP397" s="31">
        <v>15984</v>
      </c>
      <c r="AQ397" s="31">
        <v>24434</v>
      </c>
      <c r="AR397" s="31">
        <v>202488</v>
      </c>
      <c r="AS397" s="46">
        <f t="shared" si="175"/>
        <v>16.312575525658584</v>
      </c>
      <c r="AT397" s="31">
        <v>0</v>
      </c>
      <c r="AU397" s="31">
        <v>0</v>
      </c>
      <c r="AV397" s="31">
        <v>0</v>
      </c>
      <c r="AW397" s="31">
        <v>0</v>
      </c>
      <c r="AX397" s="31">
        <v>0</v>
      </c>
      <c r="AY397" s="31">
        <v>0</v>
      </c>
      <c r="AZ397" s="31">
        <v>0</v>
      </c>
      <c r="BA397" s="31">
        <v>0</v>
      </c>
      <c r="BB397" s="31">
        <v>0</v>
      </c>
      <c r="BC397" s="33" t="s">
        <v>25</v>
      </c>
      <c r="BD397" s="47">
        <v>20405</v>
      </c>
      <c r="BE397" s="47">
        <v>22110</v>
      </c>
      <c r="BF397" s="45">
        <f t="shared" si="176"/>
        <v>1.7811971320389914</v>
      </c>
      <c r="BG397" s="30">
        <v>1079</v>
      </c>
      <c r="BH397" s="30">
        <v>1087</v>
      </c>
      <c r="BI397" s="30">
        <v>23</v>
      </c>
      <c r="BJ397" s="30">
        <v>1527</v>
      </c>
      <c r="BK397" s="30">
        <v>1645</v>
      </c>
      <c r="BL397" s="30">
        <v>0</v>
      </c>
      <c r="BM397" s="30">
        <v>28</v>
      </c>
      <c r="BN397" s="30">
        <v>2</v>
      </c>
      <c r="BO397" s="30">
        <v>51</v>
      </c>
      <c r="BP397" s="30">
        <v>0</v>
      </c>
      <c r="BQ397" s="30">
        <v>53</v>
      </c>
      <c r="BR397" s="47">
        <v>23011</v>
      </c>
      <c r="BS397" s="47">
        <v>24895</v>
      </c>
      <c r="BT397" s="1">
        <f t="shared" si="177"/>
        <v>2.0055586884717633</v>
      </c>
      <c r="BU397" s="30">
        <v>18</v>
      </c>
      <c r="BV397" s="30">
        <v>0</v>
      </c>
      <c r="BW397" s="47">
        <v>17500</v>
      </c>
      <c r="BX397" s="52">
        <f t="shared" si="178"/>
        <v>1.4098122935631998</v>
      </c>
      <c r="BY397" s="47">
        <v>18066</v>
      </c>
      <c r="BZ397" s="47">
        <v>0</v>
      </c>
      <c r="CA397" s="47">
        <v>45454</v>
      </c>
      <c r="CB397" s="47">
        <v>28</v>
      </c>
      <c r="CC397" s="47">
        <v>63548</v>
      </c>
      <c r="CD397" s="55">
        <f t="shared" si="179"/>
        <v>5.1194715217916702</v>
      </c>
      <c r="CE397" s="3">
        <f t="shared" si="180"/>
        <v>18419.710144927536</v>
      </c>
      <c r="CF397" s="55">
        <f t="shared" si="181"/>
        <v>28.522441651705567</v>
      </c>
      <c r="CG397" s="55">
        <f t="shared" si="182"/>
        <v>2.0653926157046283</v>
      </c>
      <c r="CH397" s="55">
        <f t="shared" si="183"/>
        <v>2.5515163687487448</v>
      </c>
      <c r="CI397" s="30">
        <v>45</v>
      </c>
      <c r="CJ397" s="30">
        <v>0</v>
      </c>
      <c r="CK397" s="30">
        <v>56</v>
      </c>
      <c r="CL397" s="30">
        <v>101</v>
      </c>
      <c r="CM397" s="30">
        <v>699</v>
      </c>
      <c r="CN397" s="30">
        <v>0</v>
      </c>
      <c r="CO397" s="30">
        <v>759</v>
      </c>
      <c r="CP397" s="30">
        <v>1458</v>
      </c>
      <c r="CQ397" s="1">
        <f t="shared" si="191"/>
        <v>0.11745750422943688</v>
      </c>
      <c r="CR397" s="47">
        <v>30768</v>
      </c>
      <c r="CS397" s="55">
        <f t="shared" si="184"/>
        <v>2.4786916941915735</v>
      </c>
      <c r="CT397" s="59">
        <v>5928</v>
      </c>
      <c r="CU397" s="29" t="s">
        <v>25</v>
      </c>
      <c r="CV397" s="29" t="s">
        <v>25</v>
      </c>
      <c r="CW397" s="29" t="s">
        <v>25</v>
      </c>
      <c r="CX397" s="35">
        <v>0</v>
      </c>
      <c r="CY397" s="49">
        <v>0</v>
      </c>
      <c r="CZ397" s="35">
        <v>1</v>
      </c>
      <c r="DA397" s="35">
        <v>2.4500000000000002</v>
      </c>
      <c r="DB397" s="35">
        <v>3.45</v>
      </c>
      <c r="DC397" s="49">
        <f t="shared" si="185"/>
        <v>3597.9710144927535</v>
      </c>
      <c r="DD397" s="30">
        <v>1897</v>
      </c>
      <c r="DE397" s="31">
        <v>48079</v>
      </c>
      <c r="DF397" s="35">
        <v>40</v>
      </c>
      <c r="DG397" s="29" t="s">
        <v>25</v>
      </c>
      <c r="DH397" s="29" t="s">
        <v>25</v>
      </c>
      <c r="DI397" s="29" t="s">
        <v>25</v>
      </c>
      <c r="DJ397" s="47">
        <v>37</v>
      </c>
      <c r="DK397" s="47">
        <v>21</v>
      </c>
      <c r="DL397" s="47">
        <v>21</v>
      </c>
      <c r="DM397" s="47">
        <v>12618</v>
      </c>
      <c r="DN397" s="47">
        <v>12149</v>
      </c>
      <c r="DO397" s="47">
        <v>-1</v>
      </c>
      <c r="DP397" s="29" t="s">
        <v>25</v>
      </c>
      <c r="DQ397" s="47">
        <v>2451</v>
      </c>
      <c r="DR397" s="47">
        <v>2228</v>
      </c>
      <c r="DS397" s="30">
        <v>52</v>
      </c>
      <c r="DT397" s="30">
        <v>46</v>
      </c>
      <c r="DU397" s="30">
        <v>46</v>
      </c>
      <c r="DV397" s="30">
        <v>42</v>
      </c>
      <c r="DX397" s="2">
        <f t="shared" si="186"/>
        <v>2228</v>
      </c>
      <c r="DY397" s="33" t="s">
        <v>2182</v>
      </c>
      <c r="DZ397" s="33" t="s">
        <v>1050</v>
      </c>
      <c r="EA397" s="33" t="s">
        <v>2034</v>
      </c>
      <c r="EB397" s="33" t="s">
        <v>2027</v>
      </c>
      <c r="EC397" s="36">
        <v>308</v>
      </c>
      <c r="ED397" s="29" t="s">
        <v>1048</v>
      </c>
      <c r="EE397" s="29" t="s">
        <v>1049</v>
      </c>
      <c r="EF397" s="37">
        <v>41548</v>
      </c>
      <c r="EG397" s="37">
        <v>41912</v>
      </c>
      <c r="EH397" s="29" t="s">
        <v>1048</v>
      </c>
      <c r="EI397" s="55">
        <f t="shared" si="187"/>
        <v>1.4554096511721581</v>
      </c>
      <c r="EJ397" s="54">
        <f t="shared" si="188"/>
        <v>0</v>
      </c>
      <c r="EK397" s="55">
        <f t="shared" si="189"/>
        <v>3.6618061709498106</v>
      </c>
      <c r="EL397" s="54">
        <f t="shared" si="190"/>
        <v>2.25569966970112E-3</v>
      </c>
    </row>
    <row r="398" spans="1:142" ht="28.8" x14ac:dyDescent="0.3">
      <c r="A398" s="29" t="s">
        <v>1051</v>
      </c>
      <c r="B398" s="29"/>
      <c r="C398" s="30">
        <v>3825</v>
      </c>
      <c r="D398" s="30">
        <v>0</v>
      </c>
      <c r="E398" s="30">
        <v>0</v>
      </c>
      <c r="F398" s="30">
        <v>6112</v>
      </c>
      <c r="H398" s="2">
        <f t="shared" si="166"/>
        <v>6112</v>
      </c>
      <c r="I398" s="1">
        <f t="shared" si="165"/>
        <v>1.5979084967320261</v>
      </c>
      <c r="J398" s="31">
        <v>119447</v>
      </c>
      <c r="K398" s="31">
        <v>54000</v>
      </c>
      <c r="L398" s="31">
        <v>173447</v>
      </c>
      <c r="M398" s="45">
        <f t="shared" si="167"/>
        <v>45.345620915032683</v>
      </c>
      <c r="N398" s="31">
        <v>19800</v>
      </c>
      <c r="O398" s="31">
        <v>0</v>
      </c>
      <c r="P398" s="31">
        <v>2400</v>
      </c>
      <c r="Q398" s="31">
        <v>22200</v>
      </c>
      <c r="R398" s="45">
        <f t="shared" si="168"/>
        <v>5.8039215686274508</v>
      </c>
      <c r="S398" s="31">
        <v>20200</v>
      </c>
      <c r="T398" s="31">
        <v>215847</v>
      </c>
      <c r="U398" s="31">
        <v>0</v>
      </c>
      <c r="V398" s="31">
        <v>215847</v>
      </c>
      <c r="W398" s="45">
        <f t="shared" si="169"/>
        <v>56.430588235294117</v>
      </c>
      <c r="X398" s="4">
        <f t="shared" si="170"/>
        <v>0.80356456193507442</v>
      </c>
      <c r="Y398" s="4">
        <f t="shared" si="171"/>
        <v>0.10285063030757897</v>
      </c>
      <c r="Z398" s="4">
        <f t="shared" si="172"/>
        <v>9.3584807757346636E-2</v>
      </c>
      <c r="AA398" s="4">
        <f t="shared" si="173"/>
        <v>0</v>
      </c>
      <c r="AB398" s="31">
        <v>0</v>
      </c>
      <c r="AC398" s="31">
        <v>22200</v>
      </c>
      <c r="AD398" s="31">
        <v>214047</v>
      </c>
      <c r="AE398" s="31">
        <v>214047</v>
      </c>
      <c r="AF398" s="31">
        <v>0</v>
      </c>
      <c r="AG398" s="31">
        <v>214047</v>
      </c>
      <c r="AH398" s="31">
        <v>0</v>
      </c>
      <c r="AI398" s="31">
        <v>214047</v>
      </c>
      <c r="AJ398" s="45">
        <f t="shared" si="174"/>
        <v>55.96</v>
      </c>
      <c r="AK398" s="31">
        <v>0</v>
      </c>
      <c r="AL398" s="31">
        <v>0</v>
      </c>
      <c r="AM398" s="31">
        <v>0</v>
      </c>
      <c r="AN398" s="31">
        <v>0</v>
      </c>
      <c r="AO398" s="31">
        <v>0</v>
      </c>
      <c r="AP398" s="31">
        <v>4000</v>
      </c>
      <c r="AQ398" s="31">
        <v>4000</v>
      </c>
      <c r="AR398" s="31">
        <v>218047</v>
      </c>
      <c r="AS398" s="46">
        <f t="shared" si="175"/>
        <v>57.005751633986925</v>
      </c>
      <c r="AT398" s="31">
        <v>0</v>
      </c>
      <c r="AU398" s="31">
        <v>0</v>
      </c>
      <c r="AV398" s="31">
        <v>0</v>
      </c>
      <c r="AW398" s="31">
        <v>0</v>
      </c>
      <c r="AX398" s="31">
        <v>0</v>
      </c>
      <c r="AY398" s="31">
        <v>0</v>
      </c>
      <c r="AZ398" s="31">
        <v>0</v>
      </c>
      <c r="BA398" s="31">
        <v>0</v>
      </c>
      <c r="BB398" s="31">
        <v>0</v>
      </c>
      <c r="BC398" s="33" t="s">
        <v>25</v>
      </c>
      <c r="BD398" s="47">
        <v>37168</v>
      </c>
      <c r="BE398" s="47">
        <v>37800</v>
      </c>
      <c r="BF398" s="45">
        <f t="shared" si="176"/>
        <v>9.882352941176471</v>
      </c>
      <c r="BG398" s="30">
        <v>1140</v>
      </c>
      <c r="BH398" s="30">
        <v>1146</v>
      </c>
      <c r="BI398" s="30">
        <v>0</v>
      </c>
      <c r="BJ398" s="30">
        <v>3442</v>
      </c>
      <c r="BK398" s="30">
        <v>3485</v>
      </c>
      <c r="BL398" s="30">
        <v>0</v>
      </c>
      <c r="BM398" s="30">
        <v>0</v>
      </c>
      <c r="BN398" s="30">
        <v>0</v>
      </c>
      <c r="BO398" s="30">
        <v>51</v>
      </c>
      <c r="BP398" s="30">
        <v>0</v>
      </c>
      <c r="BQ398" s="30">
        <v>51</v>
      </c>
      <c r="BR398" s="47">
        <v>41750</v>
      </c>
      <c r="BS398" s="47">
        <v>42431</v>
      </c>
      <c r="BT398" s="1">
        <f t="shared" si="177"/>
        <v>11.093071895424837</v>
      </c>
      <c r="BU398" s="30">
        <v>76</v>
      </c>
      <c r="BV398" s="30">
        <v>0</v>
      </c>
      <c r="BW398" s="47">
        <v>9585</v>
      </c>
      <c r="BX398" s="52">
        <f t="shared" si="178"/>
        <v>2.5058823529411764</v>
      </c>
      <c r="BY398" s="47">
        <v>5412</v>
      </c>
      <c r="BZ398" s="47">
        <v>0</v>
      </c>
      <c r="CA398" s="47">
        <v>32472</v>
      </c>
      <c r="CB398" s="47">
        <v>0</v>
      </c>
      <c r="CC398" s="47">
        <v>37884</v>
      </c>
      <c r="CD398" s="55">
        <f t="shared" si="179"/>
        <v>9.9043137254901961</v>
      </c>
      <c r="CE398" s="3">
        <f t="shared" si="180"/>
        <v>11480</v>
      </c>
      <c r="CF398" s="55">
        <f t="shared" si="181"/>
        <v>18.04</v>
      </c>
      <c r="CG398" s="55">
        <f t="shared" si="182"/>
        <v>2.415763295498023</v>
      </c>
      <c r="CH398" s="55">
        <f t="shared" si="183"/>
        <v>0.89283778369588274</v>
      </c>
      <c r="CI398" s="30">
        <v>248</v>
      </c>
      <c r="CJ398" s="30">
        <v>127</v>
      </c>
      <c r="CK398" s="30">
        <v>102</v>
      </c>
      <c r="CL398" s="30">
        <v>477</v>
      </c>
      <c r="CM398" s="30">
        <v>5570</v>
      </c>
      <c r="CN398" s="30">
        <v>1653</v>
      </c>
      <c r="CO398" s="30">
        <v>1734</v>
      </c>
      <c r="CP398" s="30">
        <v>8957</v>
      </c>
      <c r="CQ398" s="1">
        <f t="shared" si="191"/>
        <v>2.3416993464052287</v>
      </c>
      <c r="CR398" s="47">
        <v>15682</v>
      </c>
      <c r="CS398" s="55">
        <f t="shared" si="184"/>
        <v>4.099869281045752</v>
      </c>
      <c r="CT398" s="59">
        <v>1303</v>
      </c>
      <c r="CU398" s="29" t="s">
        <v>25</v>
      </c>
      <c r="CV398" s="29" t="s">
        <v>25</v>
      </c>
      <c r="CW398" s="29" t="s">
        <v>25</v>
      </c>
      <c r="CX398" s="35">
        <v>0</v>
      </c>
      <c r="CY398" s="49">
        <v>0</v>
      </c>
      <c r="CZ398" s="35">
        <v>0.75</v>
      </c>
      <c r="DA398" s="35">
        <v>2.5499999999999998</v>
      </c>
      <c r="DB398" s="35">
        <v>3.3</v>
      </c>
      <c r="DC398" s="49">
        <f t="shared" si="185"/>
        <v>1159.0909090909092</v>
      </c>
      <c r="DD398" s="30">
        <v>13</v>
      </c>
      <c r="DE398" s="31">
        <v>27500</v>
      </c>
      <c r="DF398" s="35">
        <v>20</v>
      </c>
      <c r="DG398" s="29" t="s">
        <v>25</v>
      </c>
      <c r="DH398" s="29" t="s">
        <v>26</v>
      </c>
      <c r="DI398" s="29" t="s">
        <v>26</v>
      </c>
      <c r="DJ398" s="47">
        <v>884</v>
      </c>
      <c r="DK398" s="47">
        <v>931</v>
      </c>
      <c r="DL398" s="47">
        <v>9</v>
      </c>
      <c r="DM398" s="47">
        <v>11671</v>
      </c>
      <c r="DN398" s="47">
        <v>4949</v>
      </c>
      <c r="DO398" s="47">
        <v>4647</v>
      </c>
      <c r="DP398" s="29" t="s">
        <v>2028</v>
      </c>
      <c r="DQ398" s="47">
        <v>0</v>
      </c>
      <c r="DR398" s="47">
        <v>2100</v>
      </c>
      <c r="DS398" s="30">
        <v>50</v>
      </c>
      <c r="DT398" s="30">
        <v>42</v>
      </c>
      <c r="DU398" s="30">
        <v>42</v>
      </c>
      <c r="DV398" s="30">
        <v>42</v>
      </c>
      <c r="DX398" s="2">
        <f t="shared" si="186"/>
        <v>2100</v>
      </c>
      <c r="DY398" s="33" t="s">
        <v>2178</v>
      </c>
      <c r="DZ398" s="33" t="s">
        <v>1053</v>
      </c>
      <c r="EA398" s="33" t="s">
        <v>2031</v>
      </c>
      <c r="EB398" s="33" t="s">
        <v>2027</v>
      </c>
      <c r="EC398" s="36">
        <v>309</v>
      </c>
      <c r="ED398" s="29" t="s">
        <v>1052</v>
      </c>
      <c r="EE398" s="29" t="s">
        <v>428</v>
      </c>
      <c r="EF398" s="37">
        <v>41640</v>
      </c>
      <c r="EG398" s="37">
        <v>42004</v>
      </c>
      <c r="EH398" s="29" t="s">
        <v>1052</v>
      </c>
      <c r="EI398" s="55">
        <f t="shared" si="187"/>
        <v>1.4149019607843136</v>
      </c>
      <c r="EJ398" s="54">
        <f t="shared" si="188"/>
        <v>0</v>
      </c>
      <c r="EK398" s="55">
        <f t="shared" si="189"/>
        <v>8.4894117647058831</v>
      </c>
      <c r="EL398" s="54">
        <f t="shared" si="190"/>
        <v>0</v>
      </c>
    </row>
    <row r="399" spans="1:142" ht="28.8" x14ac:dyDescent="0.3">
      <c r="A399" s="29" t="s">
        <v>1054</v>
      </c>
      <c r="B399" s="29"/>
      <c r="C399" s="30">
        <v>29882</v>
      </c>
      <c r="D399" s="30">
        <v>0</v>
      </c>
      <c r="E399" s="30">
        <v>0</v>
      </c>
      <c r="F399" s="30">
        <v>12000</v>
      </c>
      <c r="H399" s="2">
        <f t="shared" si="166"/>
        <v>12000</v>
      </c>
      <c r="I399" s="1">
        <f t="shared" si="165"/>
        <v>0.40157954621511277</v>
      </c>
      <c r="J399" s="31">
        <v>191304</v>
      </c>
      <c r="K399" s="31">
        <v>76482</v>
      </c>
      <c r="L399" s="31">
        <v>267786</v>
      </c>
      <c r="M399" s="45">
        <f t="shared" si="167"/>
        <v>8.9614483635633491</v>
      </c>
      <c r="N399" s="31">
        <v>57903</v>
      </c>
      <c r="O399" s="31">
        <v>0</v>
      </c>
      <c r="P399" s="31">
        <v>3167</v>
      </c>
      <c r="Q399" s="31">
        <v>61070</v>
      </c>
      <c r="R399" s="45">
        <f t="shared" si="168"/>
        <v>2.043705240613078</v>
      </c>
      <c r="S399" s="31">
        <v>80538</v>
      </c>
      <c r="T399" s="31">
        <v>409394</v>
      </c>
      <c r="U399" s="31">
        <v>0</v>
      </c>
      <c r="V399" s="31">
        <v>409394</v>
      </c>
      <c r="W399" s="45">
        <f t="shared" si="169"/>
        <v>13.700354728599157</v>
      </c>
      <c r="X399" s="4">
        <f t="shared" si="170"/>
        <v>0.65410338207203822</v>
      </c>
      <c r="Y399" s="4">
        <f t="shared" si="171"/>
        <v>0.149171702565255</v>
      </c>
      <c r="Z399" s="4">
        <f t="shared" si="172"/>
        <v>0.19672491536270684</v>
      </c>
      <c r="AA399" s="4">
        <f t="shared" si="173"/>
        <v>0</v>
      </c>
      <c r="AB399" s="31">
        <v>20381</v>
      </c>
      <c r="AC399" s="31">
        <v>61070</v>
      </c>
      <c r="AD399" s="31">
        <v>409394</v>
      </c>
      <c r="AE399" s="31">
        <v>409394</v>
      </c>
      <c r="AF399" s="31">
        <v>399894</v>
      </c>
      <c r="AG399" s="31">
        <v>9500</v>
      </c>
      <c r="AH399" s="31">
        <v>0</v>
      </c>
      <c r="AI399" s="31">
        <v>409394</v>
      </c>
      <c r="AJ399" s="45">
        <f t="shared" si="174"/>
        <v>13.700354728599157</v>
      </c>
      <c r="AK399" s="31">
        <v>0</v>
      </c>
      <c r="AL399" s="31">
        <v>0</v>
      </c>
      <c r="AM399" s="31">
        <v>0</v>
      </c>
      <c r="AN399" s="31">
        <v>0</v>
      </c>
      <c r="AO399" s="31">
        <v>0</v>
      </c>
      <c r="AP399" s="31">
        <v>0</v>
      </c>
      <c r="AQ399" s="31">
        <v>0</v>
      </c>
      <c r="AR399" s="31">
        <v>409394</v>
      </c>
      <c r="AS399" s="46">
        <f t="shared" si="175"/>
        <v>13.700354728599157</v>
      </c>
      <c r="AT399" s="31">
        <v>0</v>
      </c>
      <c r="AU399" s="31">
        <v>0</v>
      </c>
      <c r="AV399" s="31">
        <v>0</v>
      </c>
      <c r="AW399" s="31">
        <v>0</v>
      </c>
      <c r="AX399" s="31">
        <v>0</v>
      </c>
      <c r="AY399" s="31">
        <v>0</v>
      </c>
      <c r="AZ399" s="31">
        <v>0</v>
      </c>
      <c r="BA399" s="31">
        <v>0</v>
      </c>
      <c r="BB399" s="31">
        <v>0</v>
      </c>
      <c r="BC399" s="33" t="s">
        <v>25</v>
      </c>
      <c r="BD399" s="47">
        <v>43035</v>
      </c>
      <c r="BE399" s="47">
        <v>45074</v>
      </c>
      <c r="BF399" s="45">
        <f t="shared" si="176"/>
        <v>1.5083997055083327</v>
      </c>
      <c r="BG399" s="30">
        <v>1341</v>
      </c>
      <c r="BH399" s="30">
        <v>1370</v>
      </c>
      <c r="BI399" s="30">
        <v>0</v>
      </c>
      <c r="BJ399" s="30">
        <v>1968</v>
      </c>
      <c r="BK399" s="30">
        <v>2154</v>
      </c>
      <c r="BL399" s="30">
        <v>0</v>
      </c>
      <c r="BM399" s="30">
        <v>0</v>
      </c>
      <c r="BN399" s="30">
        <v>0</v>
      </c>
      <c r="BO399" s="30">
        <v>51</v>
      </c>
      <c r="BP399" s="30">
        <v>0</v>
      </c>
      <c r="BQ399" s="30">
        <v>51</v>
      </c>
      <c r="BR399" s="47">
        <v>46344</v>
      </c>
      <c r="BS399" s="47">
        <v>48598</v>
      </c>
      <c r="BT399" s="1">
        <f t="shared" si="177"/>
        <v>1.6263302322468376</v>
      </c>
      <c r="BU399" s="30">
        <v>115</v>
      </c>
      <c r="BV399" s="30">
        <v>0</v>
      </c>
      <c r="BW399" s="47">
        <v>6578</v>
      </c>
      <c r="BX399" s="52">
        <f t="shared" si="178"/>
        <v>0.22013252125025098</v>
      </c>
      <c r="BY399" s="47">
        <v>13626</v>
      </c>
      <c r="BZ399" s="47">
        <v>0</v>
      </c>
      <c r="CA399" s="47">
        <v>26972</v>
      </c>
      <c r="CB399" s="47">
        <v>0</v>
      </c>
      <c r="CC399" s="47">
        <v>40598</v>
      </c>
      <c r="CD399" s="55">
        <f t="shared" si="179"/>
        <v>1.3586105347700956</v>
      </c>
      <c r="CE399" s="3">
        <f t="shared" si="180"/>
        <v>8119.6</v>
      </c>
      <c r="CF399" s="55">
        <f t="shared" si="181"/>
        <v>14.593098490294752</v>
      </c>
      <c r="CG399" s="55">
        <f t="shared" si="182"/>
        <v>0.56707453346742653</v>
      </c>
      <c r="CH399" s="55">
        <f t="shared" si="183"/>
        <v>0.83538417218815586</v>
      </c>
      <c r="CI399" s="30">
        <v>69</v>
      </c>
      <c r="CJ399" s="30">
        <v>0</v>
      </c>
      <c r="CK399" s="30">
        <v>33</v>
      </c>
      <c r="CL399" s="30">
        <v>102</v>
      </c>
      <c r="CM399" s="30">
        <v>2971</v>
      </c>
      <c r="CN399" s="30">
        <v>0</v>
      </c>
      <c r="CO399" s="30">
        <v>600</v>
      </c>
      <c r="CP399" s="30">
        <v>3571</v>
      </c>
      <c r="CQ399" s="1">
        <f t="shared" si="191"/>
        <v>0.11950337996118064</v>
      </c>
      <c r="CR399" s="47">
        <v>71592</v>
      </c>
      <c r="CS399" s="55">
        <f t="shared" si="184"/>
        <v>2.3958235727193626</v>
      </c>
      <c r="CT399" s="59">
        <v>34044</v>
      </c>
      <c r="CU399" s="29" t="s">
        <v>25</v>
      </c>
      <c r="CV399" s="29" t="s">
        <v>25</v>
      </c>
      <c r="CW399" s="29" t="s">
        <v>25</v>
      </c>
      <c r="CX399" s="35">
        <v>1</v>
      </c>
      <c r="CY399" s="49">
        <f>C399/CX399</f>
        <v>29882</v>
      </c>
      <c r="CZ399" s="35">
        <v>0</v>
      </c>
      <c r="DA399" s="35">
        <v>4</v>
      </c>
      <c r="DB399" s="35">
        <v>5</v>
      </c>
      <c r="DC399" s="49">
        <f t="shared" si="185"/>
        <v>5976.4</v>
      </c>
      <c r="DD399" s="30">
        <v>600</v>
      </c>
      <c r="DE399" s="31">
        <v>56118</v>
      </c>
      <c r="DF399" s="35">
        <v>40</v>
      </c>
      <c r="DG399" s="29" t="s">
        <v>25</v>
      </c>
      <c r="DH399" s="29" t="s">
        <v>25</v>
      </c>
      <c r="DI399" s="29" t="s">
        <v>25</v>
      </c>
      <c r="DJ399" s="47">
        <v>250</v>
      </c>
      <c r="DK399" s="47">
        <v>16</v>
      </c>
      <c r="DL399" s="47">
        <v>16</v>
      </c>
      <c r="DM399" s="47">
        <v>33384</v>
      </c>
      <c r="DN399" s="47">
        <v>1430</v>
      </c>
      <c r="DO399" s="47">
        <v>2002</v>
      </c>
      <c r="DP399" s="29" t="s">
        <v>2028</v>
      </c>
      <c r="DQ399" s="47">
        <v>0</v>
      </c>
      <c r="DR399" s="47">
        <v>2782</v>
      </c>
      <c r="DS399" s="30">
        <v>52</v>
      </c>
      <c r="DT399" s="30">
        <v>59</v>
      </c>
      <c r="DU399" s="30">
        <v>59</v>
      </c>
      <c r="DV399" s="30">
        <v>45</v>
      </c>
      <c r="DX399" s="2">
        <f t="shared" si="186"/>
        <v>2782</v>
      </c>
      <c r="DY399" s="33" t="s">
        <v>2178</v>
      </c>
      <c r="DZ399" s="33" t="s">
        <v>1056</v>
      </c>
      <c r="EA399" s="33" t="s">
        <v>2030</v>
      </c>
      <c r="EB399" s="33" t="s">
        <v>2027</v>
      </c>
      <c r="EC399" s="36">
        <v>310</v>
      </c>
      <c r="ED399" s="29" t="s">
        <v>1055</v>
      </c>
      <c r="EE399" s="29" t="s">
        <v>24</v>
      </c>
      <c r="EF399" s="37">
        <v>41548</v>
      </c>
      <c r="EG399" s="37">
        <v>41912</v>
      </c>
      <c r="EH399" s="29" t="s">
        <v>1055</v>
      </c>
      <c r="EI399" s="55">
        <f t="shared" si="187"/>
        <v>0.45599357472726054</v>
      </c>
      <c r="EJ399" s="54">
        <f t="shared" si="188"/>
        <v>0</v>
      </c>
      <c r="EK399" s="55">
        <f t="shared" si="189"/>
        <v>0.9026169600428352</v>
      </c>
      <c r="EL399" s="54">
        <f t="shared" si="190"/>
        <v>0</v>
      </c>
    </row>
    <row r="400" spans="1:142" ht="28.8" x14ac:dyDescent="0.3">
      <c r="A400" s="29" t="s">
        <v>1057</v>
      </c>
      <c r="B400" s="29"/>
      <c r="C400" s="30">
        <v>274409</v>
      </c>
      <c r="D400" s="30">
        <v>4</v>
      </c>
      <c r="E400" s="30">
        <v>0</v>
      </c>
      <c r="F400" s="30">
        <v>50000</v>
      </c>
      <c r="G400">
        <v>120000</v>
      </c>
      <c r="H400" s="2">
        <f t="shared" si="166"/>
        <v>170000</v>
      </c>
      <c r="I400" s="1">
        <f t="shared" si="165"/>
        <v>0.61951320838602231</v>
      </c>
      <c r="J400" s="31">
        <v>5998539</v>
      </c>
      <c r="K400" s="31">
        <v>2585138</v>
      </c>
      <c r="L400" s="31">
        <v>8583677</v>
      </c>
      <c r="M400" s="45">
        <f t="shared" si="167"/>
        <v>31.280595753054747</v>
      </c>
      <c r="N400" s="31">
        <v>775250</v>
      </c>
      <c r="O400" s="31">
        <v>249500</v>
      </c>
      <c r="P400" s="31">
        <v>259750</v>
      </c>
      <c r="Q400" s="31">
        <v>1284500</v>
      </c>
      <c r="R400" s="45">
        <f t="shared" si="168"/>
        <v>4.680968918657916</v>
      </c>
      <c r="S400" s="31">
        <v>957981</v>
      </c>
      <c r="T400" s="31">
        <v>10826158</v>
      </c>
      <c r="U400" s="31">
        <v>0</v>
      </c>
      <c r="V400" s="31">
        <v>10826158</v>
      </c>
      <c r="W400" s="45">
        <f t="shared" si="169"/>
        <v>39.452634571023545</v>
      </c>
      <c r="X400" s="4">
        <f t="shared" si="170"/>
        <v>0.79286456007754547</v>
      </c>
      <c r="Y400" s="4">
        <f t="shared" si="171"/>
        <v>0.11864781578100006</v>
      </c>
      <c r="Z400" s="4">
        <f t="shared" si="172"/>
        <v>8.8487624141454432E-2</v>
      </c>
      <c r="AA400" s="4">
        <f t="shared" si="173"/>
        <v>0</v>
      </c>
      <c r="AB400" s="31">
        <v>0</v>
      </c>
      <c r="AC400" s="31">
        <v>1284500</v>
      </c>
      <c r="AD400" s="31">
        <v>10826158</v>
      </c>
      <c r="AE400" s="31">
        <v>10826158</v>
      </c>
      <c r="AF400" s="31">
        <v>10826158</v>
      </c>
      <c r="AG400" s="31">
        <v>0</v>
      </c>
      <c r="AH400" s="31">
        <v>0</v>
      </c>
      <c r="AI400" s="31">
        <v>10826158</v>
      </c>
      <c r="AJ400" s="45">
        <f t="shared" si="174"/>
        <v>39.452634571023545</v>
      </c>
      <c r="AK400" s="31">
        <v>0</v>
      </c>
      <c r="AL400" s="31">
        <v>0</v>
      </c>
      <c r="AM400" s="31">
        <v>0</v>
      </c>
      <c r="AN400" s="31">
        <v>0</v>
      </c>
      <c r="AO400" s="31">
        <v>0</v>
      </c>
      <c r="AP400" s="31">
        <v>74931</v>
      </c>
      <c r="AQ400" s="31">
        <v>74931</v>
      </c>
      <c r="AR400" s="31">
        <v>10901089</v>
      </c>
      <c r="AS400" s="46">
        <f t="shared" si="175"/>
        <v>39.725697772303384</v>
      </c>
      <c r="AT400" s="31">
        <v>0</v>
      </c>
      <c r="AU400" s="31">
        <v>0</v>
      </c>
      <c r="AV400" s="31">
        <v>0</v>
      </c>
      <c r="AW400" s="31">
        <v>0</v>
      </c>
      <c r="AX400" s="31">
        <v>0</v>
      </c>
      <c r="AY400" s="31">
        <v>0</v>
      </c>
      <c r="AZ400" s="31">
        <v>0</v>
      </c>
      <c r="BA400" s="31">
        <v>0</v>
      </c>
      <c r="BB400" s="31">
        <v>0</v>
      </c>
      <c r="BC400" s="33" t="s">
        <v>25</v>
      </c>
      <c r="BD400" s="47">
        <v>288204</v>
      </c>
      <c r="BE400" s="47">
        <v>676537</v>
      </c>
      <c r="BF400" s="45">
        <f t="shared" si="176"/>
        <v>2.4654329850697319</v>
      </c>
      <c r="BG400" s="30">
        <v>27967</v>
      </c>
      <c r="BH400" s="30">
        <v>47971</v>
      </c>
      <c r="BI400" s="30">
        <v>4990</v>
      </c>
      <c r="BJ400" s="30">
        <v>19364</v>
      </c>
      <c r="BK400" s="30">
        <v>49149</v>
      </c>
      <c r="BL400" s="30">
        <v>0</v>
      </c>
      <c r="BM400" s="30">
        <v>9317</v>
      </c>
      <c r="BN400" s="30">
        <v>20</v>
      </c>
      <c r="BO400" s="30">
        <v>51</v>
      </c>
      <c r="BP400" s="30">
        <v>0</v>
      </c>
      <c r="BQ400" s="30">
        <v>71</v>
      </c>
      <c r="BR400" s="47">
        <v>335535</v>
      </c>
      <c r="BS400" s="47">
        <v>787984</v>
      </c>
      <c r="BT400" s="1">
        <f t="shared" si="177"/>
        <v>2.8715676235108907</v>
      </c>
      <c r="BU400" s="30">
        <v>721</v>
      </c>
      <c r="BV400" s="30">
        <v>149</v>
      </c>
      <c r="BW400" s="47">
        <v>136204</v>
      </c>
      <c r="BX400" s="52">
        <f t="shared" si="178"/>
        <v>0.49635398255888108</v>
      </c>
      <c r="BY400" s="47">
        <v>2103840</v>
      </c>
      <c r="BZ400" s="47">
        <v>0</v>
      </c>
      <c r="CA400" s="47">
        <v>1557828</v>
      </c>
      <c r="CB400" s="47">
        <v>182809</v>
      </c>
      <c r="CC400" s="47">
        <v>3844477</v>
      </c>
      <c r="CD400" s="55">
        <f t="shared" si="179"/>
        <v>14.010025181389823</v>
      </c>
      <c r="CE400" s="3">
        <f t="shared" si="180"/>
        <v>25629.846666666668</v>
      </c>
      <c r="CF400" s="55">
        <f t="shared" si="181"/>
        <v>226.09250764525993</v>
      </c>
      <c r="CG400" s="55">
        <f t="shared" si="182"/>
        <v>2.680712629652227</v>
      </c>
      <c r="CH400" s="55">
        <f t="shared" si="183"/>
        <v>4.6468811549473088</v>
      </c>
      <c r="CI400" s="30">
        <v>2269</v>
      </c>
      <c r="CJ400" s="30">
        <v>145</v>
      </c>
      <c r="CK400" s="30">
        <v>550</v>
      </c>
      <c r="CL400" s="30">
        <v>2964</v>
      </c>
      <c r="CM400" s="30">
        <v>108709</v>
      </c>
      <c r="CN400" s="30">
        <v>1625</v>
      </c>
      <c r="CO400" s="30">
        <v>5186</v>
      </c>
      <c r="CP400" s="30">
        <v>115520</v>
      </c>
      <c r="CQ400" s="1">
        <f t="shared" si="191"/>
        <v>0.42097744607501941</v>
      </c>
      <c r="CR400" s="47">
        <v>1434125</v>
      </c>
      <c r="CS400" s="55">
        <f t="shared" si="184"/>
        <v>5.2262316469212013</v>
      </c>
      <c r="CT400" s="59">
        <v>203478</v>
      </c>
      <c r="CU400" s="29" t="s">
        <v>25</v>
      </c>
      <c r="CV400" s="29" t="s">
        <v>25</v>
      </c>
      <c r="CW400" s="29" t="s">
        <v>25</v>
      </c>
      <c r="CX400" s="35">
        <v>49</v>
      </c>
      <c r="CY400" s="49">
        <f>C400/CX400</f>
        <v>5600.1836734693879</v>
      </c>
      <c r="CZ400" s="35">
        <v>0</v>
      </c>
      <c r="DA400" s="35">
        <v>101</v>
      </c>
      <c r="DB400" s="35">
        <v>150</v>
      </c>
      <c r="DC400" s="49">
        <f t="shared" si="185"/>
        <v>1829.3933333333334</v>
      </c>
      <c r="DD400" s="30">
        <v>9412</v>
      </c>
      <c r="DE400" s="31">
        <v>116073</v>
      </c>
      <c r="DF400" s="35">
        <v>40</v>
      </c>
      <c r="DG400" s="29" t="s">
        <v>25</v>
      </c>
      <c r="DH400" s="29" t="s">
        <v>25</v>
      </c>
      <c r="DI400" s="29" t="s">
        <v>25</v>
      </c>
      <c r="DJ400" s="47">
        <v>1596</v>
      </c>
      <c r="DK400" s="47">
        <v>7555</v>
      </c>
      <c r="DL400" s="47">
        <v>196</v>
      </c>
      <c r="DM400" s="47">
        <v>260110</v>
      </c>
      <c r="DN400" s="47">
        <v>797</v>
      </c>
      <c r="DO400" s="47">
        <v>33046</v>
      </c>
      <c r="DP400" s="29" t="s">
        <v>25</v>
      </c>
      <c r="DQ400" s="47">
        <v>1275148</v>
      </c>
      <c r="DR400" s="47">
        <v>3442</v>
      </c>
      <c r="DS400" s="30">
        <v>52</v>
      </c>
      <c r="DT400" s="30">
        <v>69</v>
      </c>
      <c r="DU400" s="30">
        <v>69</v>
      </c>
      <c r="DV400" s="30">
        <v>69</v>
      </c>
      <c r="DW400">
        <f>VLOOKUP(EC400,branch!$I$4:$K$77,3,0)</f>
        <v>13562</v>
      </c>
      <c r="DX400" s="2">
        <f t="shared" si="186"/>
        <v>17004</v>
      </c>
      <c r="DY400" s="33" t="s">
        <v>2182</v>
      </c>
      <c r="DZ400" s="33" t="s">
        <v>1059</v>
      </c>
      <c r="EA400" s="33" t="s">
        <v>2030</v>
      </c>
      <c r="EB400" s="33" t="s">
        <v>2027</v>
      </c>
      <c r="EC400" s="36">
        <v>311</v>
      </c>
      <c r="ED400" s="29" t="s">
        <v>1058</v>
      </c>
      <c r="EE400" s="29" t="s">
        <v>51</v>
      </c>
      <c r="EF400" s="37">
        <v>41548</v>
      </c>
      <c r="EG400" s="37">
        <v>41912</v>
      </c>
      <c r="EH400" s="29" t="s">
        <v>1058</v>
      </c>
      <c r="EI400" s="55">
        <f t="shared" si="187"/>
        <v>7.6668039313579364</v>
      </c>
      <c r="EJ400" s="54">
        <f t="shared" si="188"/>
        <v>0</v>
      </c>
      <c r="EK400" s="55">
        <f t="shared" si="189"/>
        <v>5.6770295434916491</v>
      </c>
      <c r="EL400" s="54">
        <f t="shared" si="190"/>
        <v>0.6661917065402374</v>
      </c>
    </row>
    <row r="401" spans="1:142" ht="28.8" x14ac:dyDescent="0.3">
      <c r="A401" s="29" t="s">
        <v>1060</v>
      </c>
      <c r="B401" s="29"/>
      <c r="C401" s="30">
        <v>21393</v>
      </c>
      <c r="D401" s="30">
        <v>0</v>
      </c>
      <c r="E401" s="30">
        <v>0</v>
      </c>
      <c r="F401" s="30">
        <v>9400</v>
      </c>
      <c r="H401" s="2">
        <f t="shared" si="166"/>
        <v>9400</v>
      </c>
      <c r="I401" s="1">
        <f t="shared" si="165"/>
        <v>0.43939606413312765</v>
      </c>
      <c r="J401" s="31">
        <v>174869</v>
      </c>
      <c r="K401" s="31">
        <v>64644</v>
      </c>
      <c r="L401" s="31">
        <v>239513</v>
      </c>
      <c r="M401" s="45">
        <f t="shared" si="167"/>
        <v>11.195858458374234</v>
      </c>
      <c r="N401" s="31">
        <v>16227</v>
      </c>
      <c r="O401" s="31">
        <v>0</v>
      </c>
      <c r="P401" s="31">
        <v>12525</v>
      </c>
      <c r="Q401" s="31">
        <v>28752</v>
      </c>
      <c r="R401" s="45">
        <f t="shared" si="168"/>
        <v>1.3439910251016687</v>
      </c>
      <c r="S401" s="31">
        <v>44220</v>
      </c>
      <c r="T401" s="31">
        <v>312485</v>
      </c>
      <c r="U401" s="31">
        <v>0</v>
      </c>
      <c r="V401" s="31">
        <v>312485</v>
      </c>
      <c r="W401" s="45">
        <f t="shared" si="169"/>
        <v>14.606880755387277</v>
      </c>
      <c r="X401" s="4">
        <f t="shared" si="170"/>
        <v>0.76647839096276627</v>
      </c>
      <c r="Y401" s="4">
        <f t="shared" si="171"/>
        <v>9.201081651919292E-2</v>
      </c>
      <c r="Z401" s="4">
        <f t="shared" si="172"/>
        <v>0.14151079251804086</v>
      </c>
      <c r="AA401" s="4">
        <f t="shared" si="173"/>
        <v>0</v>
      </c>
      <c r="AB401" s="31">
        <v>24627</v>
      </c>
      <c r="AC401" s="31">
        <v>28752</v>
      </c>
      <c r="AD401" s="31">
        <v>312485</v>
      </c>
      <c r="AE401" s="31">
        <v>312485</v>
      </c>
      <c r="AF401" s="31">
        <v>312485</v>
      </c>
      <c r="AG401" s="31">
        <v>6600</v>
      </c>
      <c r="AH401" s="31">
        <v>0</v>
      </c>
      <c r="AI401" s="31">
        <v>319085</v>
      </c>
      <c r="AJ401" s="45">
        <f t="shared" si="174"/>
        <v>14.915392885523302</v>
      </c>
      <c r="AK401" s="31">
        <v>0</v>
      </c>
      <c r="AL401" s="31">
        <v>0</v>
      </c>
      <c r="AM401" s="31">
        <v>0</v>
      </c>
      <c r="AN401" s="31">
        <v>0</v>
      </c>
      <c r="AO401" s="31">
        <v>0</v>
      </c>
      <c r="AP401" s="31">
        <v>0</v>
      </c>
      <c r="AQ401" s="31">
        <v>0</v>
      </c>
      <c r="AR401" s="31">
        <v>319085</v>
      </c>
      <c r="AS401" s="46">
        <f t="shared" si="175"/>
        <v>14.915392885523302</v>
      </c>
      <c r="AT401" s="31">
        <v>0</v>
      </c>
      <c r="AU401" s="31">
        <v>0</v>
      </c>
      <c r="AV401" s="31">
        <v>0</v>
      </c>
      <c r="AW401" s="31">
        <v>0</v>
      </c>
      <c r="AX401" s="31">
        <v>0</v>
      </c>
      <c r="AY401" s="31">
        <v>0</v>
      </c>
      <c r="AZ401" s="31">
        <v>0</v>
      </c>
      <c r="BA401" s="31">
        <v>0</v>
      </c>
      <c r="BB401" s="31">
        <v>0</v>
      </c>
      <c r="BC401" s="33" t="s">
        <v>25</v>
      </c>
      <c r="BD401" s="47">
        <v>30441</v>
      </c>
      <c r="BE401" s="47">
        <v>32298</v>
      </c>
      <c r="BF401" s="45">
        <f t="shared" si="176"/>
        <v>1.50974617865657</v>
      </c>
      <c r="BG401" s="30">
        <v>349</v>
      </c>
      <c r="BH401" s="30">
        <v>378</v>
      </c>
      <c r="BI401" s="30">
        <v>0</v>
      </c>
      <c r="BJ401" s="30">
        <v>2144</v>
      </c>
      <c r="BK401" s="30">
        <v>2409</v>
      </c>
      <c r="BL401" s="30">
        <v>0</v>
      </c>
      <c r="BM401" s="30">
        <v>0</v>
      </c>
      <c r="BN401" s="30">
        <v>0</v>
      </c>
      <c r="BO401" s="30">
        <v>0</v>
      </c>
      <c r="BP401" s="30">
        <v>0</v>
      </c>
      <c r="BQ401" s="30">
        <v>0</v>
      </c>
      <c r="BR401" s="47">
        <v>32934</v>
      </c>
      <c r="BS401" s="47">
        <v>35085</v>
      </c>
      <c r="BT401" s="1">
        <f t="shared" si="177"/>
        <v>1.6400224372458281</v>
      </c>
      <c r="BU401" s="30">
        <v>61</v>
      </c>
      <c r="BV401" s="30">
        <v>0</v>
      </c>
      <c r="BW401" s="47">
        <v>5612</v>
      </c>
      <c r="BX401" s="52">
        <f t="shared" si="178"/>
        <v>0.26232879913990559</v>
      </c>
      <c r="BY401" s="47">
        <v>4314</v>
      </c>
      <c r="BZ401" s="47">
        <v>0</v>
      </c>
      <c r="CA401" s="47">
        <v>31601</v>
      </c>
      <c r="CB401" s="47">
        <v>0</v>
      </c>
      <c r="CC401" s="47">
        <v>35915</v>
      </c>
      <c r="CD401" s="55">
        <f t="shared" si="179"/>
        <v>1.6788201748235405</v>
      </c>
      <c r="CE401" s="3">
        <f t="shared" si="180"/>
        <v>7981.1111111111113</v>
      </c>
      <c r="CF401" s="55">
        <f t="shared" si="181"/>
        <v>15.933895297249334</v>
      </c>
      <c r="CG401" s="55">
        <f t="shared" si="182"/>
        <v>1.0080271688792837</v>
      </c>
      <c r="CH401" s="55">
        <f t="shared" si="183"/>
        <v>1.0236568334045888</v>
      </c>
      <c r="CI401" s="30">
        <v>60</v>
      </c>
      <c r="CJ401" s="30">
        <v>0</v>
      </c>
      <c r="CK401" s="30">
        <v>287</v>
      </c>
      <c r="CL401" s="30">
        <v>347</v>
      </c>
      <c r="CM401" s="30">
        <v>1103</v>
      </c>
      <c r="CN401" s="30">
        <v>0</v>
      </c>
      <c r="CO401" s="30">
        <v>908</v>
      </c>
      <c r="CP401" s="30">
        <v>2011</v>
      </c>
      <c r="CQ401" s="1">
        <f t="shared" si="191"/>
        <v>9.4002711167204225E-2</v>
      </c>
      <c r="CR401" s="47">
        <v>35629</v>
      </c>
      <c r="CS401" s="55">
        <f t="shared" si="184"/>
        <v>1.6654513158509794</v>
      </c>
      <c r="CT401" s="59">
        <v>7774</v>
      </c>
      <c r="CU401" s="29" t="s">
        <v>25</v>
      </c>
      <c r="CV401" s="29" t="s">
        <v>25</v>
      </c>
      <c r="CW401" s="29" t="s">
        <v>25</v>
      </c>
      <c r="CX401" s="35">
        <v>1</v>
      </c>
      <c r="CY401" s="49">
        <f>C401/CX401</f>
        <v>21393</v>
      </c>
      <c r="CZ401" s="35">
        <v>0</v>
      </c>
      <c r="DA401" s="35">
        <v>3.5</v>
      </c>
      <c r="DB401" s="35">
        <v>4.5</v>
      </c>
      <c r="DC401" s="49">
        <f t="shared" si="185"/>
        <v>4754</v>
      </c>
      <c r="DD401" s="30">
        <v>151</v>
      </c>
      <c r="DE401" s="31">
        <v>63283</v>
      </c>
      <c r="DF401" s="35">
        <v>40</v>
      </c>
      <c r="DG401" s="29" t="s">
        <v>25</v>
      </c>
      <c r="DH401" s="29" t="s">
        <v>25</v>
      </c>
      <c r="DI401" s="29" t="s">
        <v>26</v>
      </c>
      <c r="DJ401" s="47">
        <v>236</v>
      </c>
      <c r="DK401" s="47">
        <v>0</v>
      </c>
      <c r="DL401" s="47">
        <v>15</v>
      </c>
      <c r="DM401" s="47">
        <v>11108</v>
      </c>
      <c r="DN401" s="47">
        <v>0</v>
      </c>
      <c r="DO401" s="47">
        <v>11108</v>
      </c>
      <c r="DP401" s="29" t="s">
        <v>2028</v>
      </c>
      <c r="DQ401" s="47">
        <v>0</v>
      </c>
      <c r="DR401" s="47">
        <v>2254</v>
      </c>
      <c r="DS401" s="30">
        <v>46</v>
      </c>
      <c r="DT401" s="30">
        <v>49</v>
      </c>
      <c r="DU401" s="30">
        <v>49</v>
      </c>
      <c r="DV401" s="30">
        <v>49</v>
      </c>
      <c r="DX401" s="2">
        <f t="shared" si="186"/>
        <v>2254</v>
      </c>
      <c r="DY401" s="33" t="s">
        <v>2187</v>
      </c>
      <c r="DZ401" s="33" t="s">
        <v>1063</v>
      </c>
      <c r="EA401" s="33" t="s">
        <v>2030</v>
      </c>
      <c r="EB401" s="33" t="s">
        <v>2027</v>
      </c>
      <c r="EC401" s="36">
        <v>312</v>
      </c>
      <c r="ED401" s="29" t="s">
        <v>1061</v>
      </c>
      <c r="EE401" s="29" t="s">
        <v>730</v>
      </c>
      <c r="EF401" s="37">
        <v>41548</v>
      </c>
      <c r="EG401" s="37">
        <v>41912</v>
      </c>
      <c r="EH401" s="29" t="s">
        <v>1061</v>
      </c>
      <c r="EI401" s="55">
        <f t="shared" si="187"/>
        <v>0.20165474687982049</v>
      </c>
      <c r="EJ401" s="54">
        <f t="shared" si="188"/>
        <v>0</v>
      </c>
      <c r="EK401" s="55">
        <f t="shared" si="189"/>
        <v>1.4771654279437199</v>
      </c>
      <c r="EL401" s="54">
        <f t="shared" si="190"/>
        <v>0</v>
      </c>
    </row>
    <row r="402" spans="1:142" ht="28.8" x14ac:dyDescent="0.3">
      <c r="A402" s="29" t="s">
        <v>1671</v>
      </c>
      <c r="B402" s="29"/>
      <c r="C402" s="30">
        <v>1877</v>
      </c>
      <c r="D402" s="30">
        <v>0</v>
      </c>
      <c r="E402" s="30">
        <v>0</v>
      </c>
      <c r="F402" s="30">
        <v>1191</v>
      </c>
      <c r="H402" s="2">
        <f t="shared" si="166"/>
        <v>1191</v>
      </c>
      <c r="I402" s="1">
        <f t="shared" si="165"/>
        <v>0.6345231752797017</v>
      </c>
      <c r="J402" s="31">
        <v>20867</v>
      </c>
      <c r="K402" s="31">
        <v>0</v>
      </c>
      <c r="L402" s="31">
        <v>20867</v>
      </c>
      <c r="M402" s="45">
        <f t="shared" si="167"/>
        <v>11.117208311134789</v>
      </c>
      <c r="N402" s="31">
        <v>1968</v>
      </c>
      <c r="O402" s="31">
        <v>76</v>
      </c>
      <c r="P402" s="31">
        <v>671</v>
      </c>
      <c r="Q402" s="31">
        <v>2715</v>
      </c>
      <c r="R402" s="45">
        <f t="shared" si="168"/>
        <v>1.4464571124134258</v>
      </c>
      <c r="S402" s="31">
        <v>6734</v>
      </c>
      <c r="T402" s="31">
        <v>30316</v>
      </c>
      <c r="U402" s="31">
        <v>0</v>
      </c>
      <c r="V402" s="31">
        <v>30316</v>
      </c>
      <c r="W402" s="45">
        <f t="shared" si="169"/>
        <v>16.151305274374</v>
      </c>
      <c r="X402" s="4">
        <f t="shared" si="170"/>
        <v>0.68831640058055155</v>
      </c>
      <c r="Y402" s="4">
        <f t="shared" si="171"/>
        <v>8.9556669745348996E-2</v>
      </c>
      <c r="Z402" s="4">
        <f t="shared" si="172"/>
        <v>0.2221269296740995</v>
      </c>
      <c r="AA402" s="4">
        <f t="shared" si="173"/>
        <v>0</v>
      </c>
      <c r="AB402" s="31">
        <v>13086</v>
      </c>
      <c r="AC402" s="31">
        <v>2715</v>
      </c>
      <c r="AD402" s="31">
        <v>30316</v>
      </c>
      <c r="AE402" s="31">
        <v>20867</v>
      </c>
      <c r="AF402" s="31">
        <v>10459</v>
      </c>
      <c r="AG402" s="31">
        <v>11019</v>
      </c>
      <c r="AH402" s="31">
        <v>0</v>
      </c>
      <c r="AI402" s="31">
        <v>21478</v>
      </c>
      <c r="AJ402" s="45">
        <f t="shared" si="174"/>
        <v>11.442727757059137</v>
      </c>
      <c r="AK402" s="31">
        <v>4476</v>
      </c>
      <c r="AL402" s="31">
        <v>0</v>
      </c>
      <c r="AM402" s="31">
        <v>0</v>
      </c>
      <c r="AN402" s="31">
        <v>0</v>
      </c>
      <c r="AO402" s="31">
        <v>3242</v>
      </c>
      <c r="AP402" s="31">
        <v>1120</v>
      </c>
      <c r="AQ402" s="31">
        <v>4362</v>
      </c>
      <c r="AR402" s="31">
        <v>30316</v>
      </c>
      <c r="AS402" s="46">
        <f t="shared" si="175"/>
        <v>16.151305274374</v>
      </c>
      <c r="AT402" s="31">
        <v>0</v>
      </c>
      <c r="AU402" s="31">
        <v>0</v>
      </c>
      <c r="AV402" s="31">
        <v>0</v>
      </c>
      <c r="AW402" s="31">
        <v>3414</v>
      </c>
      <c r="AX402" s="31">
        <v>0</v>
      </c>
      <c r="AY402" s="31">
        <v>0</v>
      </c>
      <c r="AZ402" s="31">
        <v>9672</v>
      </c>
      <c r="BA402" s="31">
        <v>0</v>
      </c>
      <c r="BB402" s="31">
        <v>13086</v>
      </c>
      <c r="BC402" s="33" t="s">
        <v>25</v>
      </c>
      <c r="BD402" s="47">
        <v>9492</v>
      </c>
      <c r="BE402" s="47">
        <v>9569</v>
      </c>
      <c r="BF402" s="45">
        <f t="shared" si="176"/>
        <v>5.0980287693127329</v>
      </c>
      <c r="BG402" s="30">
        <v>214</v>
      </c>
      <c r="BH402" s="30">
        <v>216</v>
      </c>
      <c r="BI402" s="30">
        <v>0</v>
      </c>
      <c r="BJ402" s="30">
        <v>1077</v>
      </c>
      <c r="BK402" s="30">
        <v>1140</v>
      </c>
      <c r="BL402" s="30">
        <v>0</v>
      </c>
      <c r="BM402" s="30">
        <v>0</v>
      </c>
      <c r="BN402" s="30">
        <v>0</v>
      </c>
      <c r="BO402" s="30">
        <v>51</v>
      </c>
      <c r="BP402" s="30">
        <v>0</v>
      </c>
      <c r="BQ402" s="30">
        <v>51</v>
      </c>
      <c r="BR402" s="47">
        <v>10783</v>
      </c>
      <c r="BS402" s="47">
        <v>10925</v>
      </c>
      <c r="BT402" s="1">
        <f t="shared" si="177"/>
        <v>5.8204581779435269</v>
      </c>
      <c r="BU402" s="30">
        <v>4</v>
      </c>
      <c r="BV402" s="30">
        <v>0</v>
      </c>
      <c r="BW402" s="47">
        <v>520</v>
      </c>
      <c r="BX402" s="52">
        <f t="shared" si="178"/>
        <v>0.27703782631859353</v>
      </c>
      <c r="BY402" s="47">
        <v>2576</v>
      </c>
      <c r="BZ402" s="47">
        <v>0</v>
      </c>
      <c r="CA402" s="47">
        <v>2285</v>
      </c>
      <c r="CB402" s="47">
        <v>0</v>
      </c>
      <c r="CC402" s="47">
        <v>4861</v>
      </c>
      <c r="CD402" s="55">
        <f t="shared" si="179"/>
        <v>2.5897709110282365</v>
      </c>
      <c r="CE402" s="3">
        <f t="shared" si="180"/>
        <v>4320.8888888888887</v>
      </c>
      <c r="CF402" s="55">
        <f t="shared" si="181"/>
        <v>3.824547600314713</v>
      </c>
      <c r="CG402" s="55">
        <f t="shared" si="182"/>
        <v>1.233756345177665</v>
      </c>
      <c r="CH402" s="55">
        <f t="shared" si="183"/>
        <v>0.44494279176201373</v>
      </c>
      <c r="CI402" s="30">
        <v>32</v>
      </c>
      <c r="CJ402" s="30">
        <v>0</v>
      </c>
      <c r="CK402" s="30">
        <v>0</v>
      </c>
      <c r="CL402" s="30">
        <v>32</v>
      </c>
      <c r="CM402" s="30">
        <v>451</v>
      </c>
      <c r="CN402" s="30">
        <v>0</v>
      </c>
      <c r="CO402" s="30">
        <v>0</v>
      </c>
      <c r="CP402" s="30">
        <v>451</v>
      </c>
      <c r="CQ402" s="1">
        <f t="shared" si="191"/>
        <v>0.2402770378263186</v>
      </c>
      <c r="CR402" s="47">
        <v>3940</v>
      </c>
      <c r="CS402" s="55">
        <f t="shared" si="184"/>
        <v>2.0990942994139585</v>
      </c>
      <c r="CT402" s="59">
        <v>1014</v>
      </c>
      <c r="CU402" s="29" t="s">
        <v>25</v>
      </c>
      <c r="CV402" s="29" t="s">
        <v>25</v>
      </c>
      <c r="CW402" s="29" t="s">
        <v>25</v>
      </c>
      <c r="CX402" s="35">
        <v>0.625</v>
      </c>
      <c r="CY402" s="49">
        <f>C402/CX402</f>
        <v>3003.2</v>
      </c>
      <c r="CZ402" s="35">
        <v>0</v>
      </c>
      <c r="DA402" s="35">
        <v>0.5</v>
      </c>
      <c r="DB402" s="35">
        <v>1.125</v>
      </c>
      <c r="DC402" s="49">
        <f t="shared" si="185"/>
        <v>1668.4444444444443</v>
      </c>
      <c r="DD402" s="30">
        <v>141</v>
      </c>
      <c r="DE402" s="31">
        <v>15600</v>
      </c>
      <c r="DF402" s="35">
        <v>25</v>
      </c>
      <c r="DG402" s="29" t="s">
        <v>25</v>
      </c>
      <c r="DH402" s="29" t="s">
        <v>25</v>
      </c>
      <c r="DI402" s="29" t="s">
        <v>25</v>
      </c>
      <c r="DJ402" s="47">
        <v>247</v>
      </c>
      <c r="DK402" s="47">
        <v>399</v>
      </c>
      <c r="DL402" s="47">
        <v>4</v>
      </c>
      <c r="DM402" s="47">
        <v>910</v>
      </c>
      <c r="DN402" s="47">
        <v>250</v>
      </c>
      <c r="DO402" s="47">
        <v>0</v>
      </c>
      <c r="DP402" s="29" t="s">
        <v>2028</v>
      </c>
      <c r="DQ402" s="47">
        <v>0</v>
      </c>
      <c r="DR402" s="47">
        <v>1271</v>
      </c>
      <c r="DS402" s="30">
        <v>52</v>
      </c>
      <c r="DT402" s="30">
        <v>25</v>
      </c>
      <c r="DU402" s="30">
        <v>25</v>
      </c>
      <c r="DV402" s="30">
        <v>25</v>
      </c>
      <c r="DX402" s="2">
        <f t="shared" si="186"/>
        <v>1271</v>
      </c>
      <c r="DY402" s="33" t="s">
        <v>2181</v>
      </c>
      <c r="DZ402" s="33" t="s">
        <v>1673</v>
      </c>
      <c r="EA402" s="33" t="s">
        <v>2030</v>
      </c>
      <c r="EB402" s="33" t="s">
        <v>2027</v>
      </c>
      <c r="EC402" s="36">
        <v>568</v>
      </c>
      <c r="ED402" s="29" t="s">
        <v>1672</v>
      </c>
      <c r="EE402" s="29" t="s">
        <v>424</v>
      </c>
      <c r="EF402" s="37">
        <v>41518</v>
      </c>
      <c r="EG402" s="37">
        <v>41882</v>
      </c>
      <c r="EH402" s="29" t="s">
        <v>1672</v>
      </c>
      <c r="EI402" s="55">
        <f t="shared" si="187"/>
        <v>1.3724027703782631</v>
      </c>
      <c r="EJ402" s="54">
        <f t="shared" si="188"/>
        <v>0</v>
      </c>
      <c r="EK402" s="55">
        <f t="shared" si="189"/>
        <v>1.2173681406499735</v>
      </c>
      <c r="EL402" s="54">
        <f t="shared" si="190"/>
        <v>0</v>
      </c>
    </row>
    <row r="403" spans="1:142" ht="28.8" x14ac:dyDescent="0.3">
      <c r="A403" s="29" t="s">
        <v>1065</v>
      </c>
      <c r="B403" s="29"/>
      <c r="C403" s="30">
        <v>3778</v>
      </c>
      <c r="D403" s="30">
        <v>0</v>
      </c>
      <c r="E403" s="30">
        <v>0</v>
      </c>
      <c r="F403" s="30">
        <v>5221</v>
      </c>
      <c r="H403" s="2">
        <f t="shared" si="166"/>
        <v>5221</v>
      </c>
      <c r="I403" s="1">
        <f t="shared" si="165"/>
        <v>1.3819481206987825</v>
      </c>
      <c r="J403" s="31">
        <v>145126</v>
      </c>
      <c r="K403" s="31">
        <v>64515</v>
      </c>
      <c r="L403" s="31">
        <v>209641</v>
      </c>
      <c r="M403" s="45">
        <f t="shared" si="167"/>
        <v>55.489941768131288</v>
      </c>
      <c r="N403" s="31">
        <v>16521</v>
      </c>
      <c r="O403" s="31">
        <v>2549</v>
      </c>
      <c r="P403" s="31">
        <v>7447</v>
      </c>
      <c r="Q403" s="31">
        <v>26517</v>
      </c>
      <c r="R403" s="45">
        <f t="shared" si="168"/>
        <v>7.0187930121757542</v>
      </c>
      <c r="S403" s="31">
        <v>12894</v>
      </c>
      <c r="T403" s="31">
        <v>249052</v>
      </c>
      <c r="U403" s="31">
        <v>0</v>
      </c>
      <c r="V403" s="31">
        <v>249052</v>
      </c>
      <c r="W403" s="45">
        <f t="shared" si="169"/>
        <v>65.921651667548971</v>
      </c>
      <c r="X403" s="4">
        <f t="shared" si="170"/>
        <v>0.84175593851886354</v>
      </c>
      <c r="Y403" s="4">
        <f t="shared" si="171"/>
        <v>0.10647174084127009</v>
      </c>
      <c r="Z403" s="4">
        <f t="shared" si="172"/>
        <v>5.1772320639866372E-2</v>
      </c>
      <c r="AA403" s="4">
        <f t="shared" si="173"/>
        <v>0</v>
      </c>
      <c r="AB403" s="31">
        <v>0</v>
      </c>
      <c r="AC403" s="31">
        <v>26517</v>
      </c>
      <c r="AD403" s="31">
        <v>249052</v>
      </c>
      <c r="AE403" s="31">
        <v>247322</v>
      </c>
      <c r="AF403" s="31">
        <v>247322</v>
      </c>
      <c r="AG403" s="31">
        <v>0</v>
      </c>
      <c r="AH403" s="31">
        <v>0</v>
      </c>
      <c r="AI403" s="31">
        <v>247322</v>
      </c>
      <c r="AJ403" s="45">
        <f t="shared" si="174"/>
        <v>65.463737427210162</v>
      </c>
      <c r="AK403" s="31">
        <v>0</v>
      </c>
      <c r="AL403" s="31">
        <v>0</v>
      </c>
      <c r="AM403" s="31">
        <v>0</v>
      </c>
      <c r="AN403" s="31">
        <v>0</v>
      </c>
      <c r="AO403" s="31">
        <v>0</v>
      </c>
      <c r="AP403" s="31">
        <v>19999</v>
      </c>
      <c r="AQ403" s="31">
        <v>19999</v>
      </c>
      <c r="AR403" s="31">
        <v>267321</v>
      </c>
      <c r="AS403" s="46">
        <f t="shared" si="175"/>
        <v>70.757278983589202</v>
      </c>
      <c r="AT403" s="31">
        <v>0</v>
      </c>
      <c r="AU403" s="31">
        <v>0</v>
      </c>
      <c r="AV403" s="31">
        <v>0</v>
      </c>
      <c r="AW403" s="31">
        <v>0</v>
      </c>
      <c r="AX403" s="31">
        <v>0</v>
      </c>
      <c r="AY403" s="31">
        <v>0</v>
      </c>
      <c r="AZ403" s="31">
        <v>0</v>
      </c>
      <c r="BA403" s="31">
        <v>0</v>
      </c>
      <c r="BB403" s="31">
        <v>0</v>
      </c>
      <c r="BC403" s="33" t="s">
        <v>25</v>
      </c>
      <c r="BD403" s="47">
        <v>21029</v>
      </c>
      <c r="BE403" s="47">
        <v>22160</v>
      </c>
      <c r="BF403" s="45">
        <f t="shared" si="176"/>
        <v>5.8655373213340392</v>
      </c>
      <c r="BG403" s="30">
        <v>1080</v>
      </c>
      <c r="BH403" s="30">
        <v>1083</v>
      </c>
      <c r="BI403" s="30">
        <v>0</v>
      </c>
      <c r="BJ403" s="30">
        <v>4087</v>
      </c>
      <c r="BK403" s="30">
        <v>4357</v>
      </c>
      <c r="BL403" s="30">
        <v>0</v>
      </c>
      <c r="BM403" s="30">
        <v>80</v>
      </c>
      <c r="BN403" s="30">
        <v>0</v>
      </c>
      <c r="BO403" s="30">
        <v>51</v>
      </c>
      <c r="BP403" s="30">
        <v>1</v>
      </c>
      <c r="BQ403" s="30">
        <v>52</v>
      </c>
      <c r="BR403" s="47">
        <v>26196</v>
      </c>
      <c r="BS403" s="47">
        <v>27680</v>
      </c>
      <c r="BT403" s="1">
        <f t="shared" si="177"/>
        <v>7.326627845420858</v>
      </c>
      <c r="BU403" s="30">
        <v>88</v>
      </c>
      <c r="BV403" s="30">
        <v>2</v>
      </c>
      <c r="BW403" s="47">
        <v>1996</v>
      </c>
      <c r="BX403" s="52">
        <f t="shared" si="178"/>
        <v>0.52832186341979881</v>
      </c>
      <c r="BY403" s="47">
        <v>8234</v>
      </c>
      <c r="BZ403" s="47">
        <v>279</v>
      </c>
      <c r="CA403" s="47">
        <v>39150</v>
      </c>
      <c r="CB403" s="47">
        <v>2544</v>
      </c>
      <c r="CC403" s="47">
        <v>50207</v>
      </c>
      <c r="CD403" s="55">
        <f t="shared" si="179"/>
        <v>13.289306511381684</v>
      </c>
      <c r="CE403" s="3">
        <f t="shared" si="180"/>
        <v>12551.75</v>
      </c>
      <c r="CF403" s="55">
        <f t="shared" si="181"/>
        <v>26.424736842105265</v>
      </c>
      <c r="CG403" s="55">
        <f t="shared" si="182"/>
        <v>1.2081769178939263</v>
      </c>
      <c r="CH403" s="55">
        <f t="shared" si="183"/>
        <v>1.7118497109826589</v>
      </c>
      <c r="CI403" s="30">
        <v>35</v>
      </c>
      <c r="CJ403" s="30">
        <v>0</v>
      </c>
      <c r="CK403" s="30">
        <v>19</v>
      </c>
      <c r="CL403" s="30">
        <v>54</v>
      </c>
      <c r="CM403" s="30">
        <v>294</v>
      </c>
      <c r="CN403" s="30">
        <v>0</v>
      </c>
      <c r="CO403" s="30">
        <v>190</v>
      </c>
      <c r="CP403" s="30">
        <v>484</v>
      </c>
      <c r="CQ403" s="1">
        <f t="shared" si="191"/>
        <v>0.12811011116993118</v>
      </c>
      <c r="CR403" s="47">
        <v>41556</v>
      </c>
      <c r="CS403" s="55">
        <f t="shared" si="184"/>
        <v>10.99947061937533</v>
      </c>
      <c r="CT403" s="59">
        <v>5302</v>
      </c>
      <c r="CU403" s="29" t="s">
        <v>25</v>
      </c>
      <c r="CV403" s="29" t="s">
        <v>25</v>
      </c>
      <c r="CW403" s="29" t="s">
        <v>25</v>
      </c>
      <c r="CX403" s="35">
        <v>0</v>
      </c>
      <c r="CY403" s="49">
        <v>0</v>
      </c>
      <c r="CZ403" s="35">
        <v>1</v>
      </c>
      <c r="DA403" s="35">
        <v>3</v>
      </c>
      <c r="DB403" s="35">
        <v>4</v>
      </c>
      <c r="DC403" s="49">
        <f t="shared" si="185"/>
        <v>944.5</v>
      </c>
      <c r="DD403" s="30">
        <v>443</v>
      </c>
      <c r="DE403" s="31">
        <v>53973</v>
      </c>
      <c r="DF403" s="35">
        <v>40</v>
      </c>
      <c r="DG403" s="29" t="s">
        <v>25</v>
      </c>
      <c r="DH403" s="29" t="s">
        <v>25</v>
      </c>
      <c r="DI403" s="29" t="s">
        <v>25</v>
      </c>
      <c r="DJ403" s="47">
        <v>450</v>
      </c>
      <c r="DK403" s="47">
        <v>233</v>
      </c>
      <c r="DL403" s="47">
        <v>5</v>
      </c>
      <c r="DM403" s="47">
        <v>3587</v>
      </c>
      <c r="DN403" s="47">
        <v>1996</v>
      </c>
      <c r="DO403" s="47">
        <v>817</v>
      </c>
      <c r="DP403" s="29" t="s">
        <v>25</v>
      </c>
      <c r="DQ403" s="47">
        <v>3000</v>
      </c>
      <c r="DR403" s="47">
        <v>1900</v>
      </c>
      <c r="DS403" s="30">
        <v>52</v>
      </c>
      <c r="DT403" s="30">
        <v>38</v>
      </c>
      <c r="DU403" s="30">
        <v>38</v>
      </c>
      <c r="DV403" s="30">
        <v>38</v>
      </c>
      <c r="DX403" s="2">
        <f t="shared" si="186"/>
        <v>1900</v>
      </c>
      <c r="DY403" s="33" t="s">
        <v>2180</v>
      </c>
      <c r="DZ403" s="33" t="s">
        <v>1066</v>
      </c>
      <c r="EA403" s="33" t="s">
        <v>2030</v>
      </c>
      <c r="EB403" s="33" t="s">
        <v>2027</v>
      </c>
      <c r="EC403" s="36">
        <v>313</v>
      </c>
      <c r="ED403" s="29" t="s">
        <v>1064</v>
      </c>
      <c r="EE403" s="29" t="s">
        <v>354</v>
      </c>
      <c r="EF403" s="37">
        <v>41548</v>
      </c>
      <c r="EG403" s="37">
        <v>41912</v>
      </c>
      <c r="EH403" s="29" t="s">
        <v>1064</v>
      </c>
      <c r="EI403" s="55">
        <f t="shared" si="187"/>
        <v>2.1794600317628374</v>
      </c>
      <c r="EJ403" s="54">
        <f t="shared" si="188"/>
        <v>7.3848597141344632E-2</v>
      </c>
      <c r="EK403" s="55">
        <f t="shared" si="189"/>
        <v>10.36262572789836</v>
      </c>
      <c r="EL403" s="54">
        <f t="shared" si="190"/>
        <v>0.67337215457914246</v>
      </c>
    </row>
    <row r="404" spans="1:142" ht="28.8" x14ac:dyDescent="0.3">
      <c r="A404" s="29" t="s">
        <v>1068</v>
      </c>
      <c r="B404" s="29"/>
      <c r="C404" s="30">
        <v>54135</v>
      </c>
      <c r="D404" s="30">
        <v>0</v>
      </c>
      <c r="E404" s="30">
        <v>0</v>
      </c>
      <c r="F404" s="30">
        <v>24500</v>
      </c>
      <c r="H404" s="2">
        <f t="shared" si="166"/>
        <v>24500</v>
      </c>
      <c r="I404" s="1">
        <f t="shared" si="165"/>
        <v>0.45257227302115083</v>
      </c>
      <c r="J404" s="31">
        <v>627387</v>
      </c>
      <c r="K404" s="31">
        <v>234089</v>
      </c>
      <c r="L404" s="31">
        <v>861476</v>
      </c>
      <c r="M404" s="45">
        <f t="shared" si="167"/>
        <v>15.913475570333425</v>
      </c>
      <c r="N404" s="31">
        <v>109326</v>
      </c>
      <c r="O404" s="31">
        <v>16895</v>
      </c>
      <c r="P404" s="31">
        <v>8870</v>
      </c>
      <c r="Q404" s="31">
        <v>135091</v>
      </c>
      <c r="R404" s="45">
        <f t="shared" si="168"/>
        <v>2.4954465687632772</v>
      </c>
      <c r="S404" s="31">
        <v>189059</v>
      </c>
      <c r="T404" s="31">
        <v>1185626</v>
      </c>
      <c r="U404" s="31">
        <v>0</v>
      </c>
      <c r="V404" s="31">
        <v>1185626</v>
      </c>
      <c r="W404" s="45">
        <f t="shared" si="169"/>
        <v>21.901283827468365</v>
      </c>
      <c r="X404" s="4">
        <f t="shared" si="170"/>
        <v>0.72660012516594608</v>
      </c>
      <c r="Y404" s="4">
        <f t="shared" si="171"/>
        <v>0.11394065244857991</v>
      </c>
      <c r="Z404" s="4">
        <f t="shared" si="172"/>
        <v>0.159459222385474</v>
      </c>
      <c r="AA404" s="4">
        <f t="shared" si="173"/>
        <v>0</v>
      </c>
      <c r="AB404" s="31">
        <v>0</v>
      </c>
      <c r="AC404" s="31">
        <v>135091</v>
      </c>
      <c r="AD404" s="31">
        <v>1185626</v>
      </c>
      <c r="AE404" s="31">
        <v>1185626</v>
      </c>
      <c r="AF404" s="31">
        <v>1185626</v>
      </c>
      <c r="AG404" s="31">
        <v>0</v>
      </c>
      <c r="AH404" s="31">
        <v>0</v>
      </c>
      <c r="AI404" s="31">
        <v>1185626</v>
      </c>
      <c r="AJ404" s="45">
        <f t="shared" si="174"/>
        <v>21.901283827468365</v>
      </c>
      <c r="AK404" s="31">
        <v>0</v>
      </c>
      <c r="AL404" s="31">
        <v>0</v>
      </c>
      <c r="AM404" s="31">
        <v>0</v>
      </c>
      <c r="AN404" s="31">
        <v>0</v>
      </c>
      <c r="AO404" s="31">
        <v>0</v>
      </c>
      <c r="AP404" s="31">
        <v>2340</v>
      </c>
      <c r="AQ404" s="31">
        <v>2340</v>
      </c>
      <c r="AR404" s="31">
        <v>1187966</v>
      </c>
      <c r="AS404" s="46">
        <f t="shared" si="175"/>
        <v>21.944509097626305</v>
      </c>
      <c r="AT404" s="31">
        <v>0</v>
      </c>
      <c r="AU404" s="31">
        <v>0</v>
      </c>
      <c r="AV404" s="31">
        <v>0</v>
      </c>
      <c r="AW404" s="31">
        <v>0</v>
      </c>
      <c r="AX404" s="31">
        <v>0</v>
      </c>
      <c r="AY404" s="31">
        <v>0</v>
      </c>
      <c r="AZ404" s="31">
        <v>0</v>
      </c>
      <c r="BA404" s="31">
        <v>0</v>
      </c>
      <c r="BB404" s="31">
        <v>0</v>
      </c>
      <c r="BC404" s="33" t="s">
        <v>25</v>
      </c>
      <c r="BD404" s="47">
        <v>135022</v>
      </c>
      <c r="BE404" s="47">
        <v>156432</v>
      </c>
      <c r="BF404" s="45">
        <f t="shared" si="176"/>
        <v>2.889664727071211</v>
      </c>
      <c r="BG404" s="30">
        <v>6599</v>
      </c>
      <c r="BH404" s="30">
        <v>8809</v>
      </c>
      <c r="BI404" s="30">
        <v>9604</v>
      </c>
      <c r="BJ404" s="30">
        <v>6326</v>
      </c>
      <c r="BK404" s="30">
        <v>7120</v>
      </c>
      <c r="BL404" s="30">
        <v>270</v>
      </c>
      <c r="BM404" s="30">
        <v>52248</v>
      </c>
      <c r="BN404" s="30">
        <v>3</v>
      </c>
      <c r="BO404" s="30">
        <v>51</v>
      </c>
      <c r="BP404" s="30">
        <v>11</v>
      </c>
      <c r="BQ404" s="30">
        <v>65</v>
      </c>
      <c r="BR404" s="47">
        <v>147947</v>
      </c>
      <c r="BS404" s="47">
        <v>234486</v>
      </c>
      <c r="BT404" s="1">
        <f t="shared" si="177"/>
        <v>4.3315045719035741</v>
      </c>
      <c r="BU404" s="30">
        <v>227</v>
      </c>
      <c r="BV404" s="30">
        <v>88</v>
      </c>
      <c r="BW404" s="47">
        <v>34221</v>
      </c>
      <c r="BX404" s="52">
        <f t="shared" si="178"/>
        <v>0.6321418675533389</v>
      </c>
      <c r="BY404" s="47">
        <v>18089</v>
      </c>
      <c r="BZ404" s="47">
        <v>949</v>
      </c>
      <c r="CA404" s="47">
        <v>27841</v>
      </c>
      <c r="CB404" s="47">
        <v>3122</v>
      </c>
      <c r="CC404" s="47">
        <v>50001</v>
      </c>
      <c r="CD404" s="55">
        <f t="shared" si="179"/>
        <v>0.92363535605430869</v>
      </c>
      <c r="CE404" s="3">
        <f t="shared" si="180"/>
        <v>2857.2</v>
      </c>
      <c r="CF404" s="55">
        <f t="shared" si="181"/>
        <v>14.823895641861844</v>
      </c>
      <c r="CG404" s="55">
        <f t="shared" si="182"/>
        <v>0.35724186219313536</v>
      </c>
      <c r="CH404" s="55">
        <f t="shared" si="183"/>
        <v>0.1958752334894194</v>
      </c>
      <c r="CI404" s="30">
        <v>103</v>
      </c>
      <c r="CJ404" s="30">
        <v>50</v>
      </c>
      <c r="CK404" s="30">
        <v>161</v>
      </c>
      <c r="CL404" s="30">
        <v>314</v>
      </c>
      <c r="CM404" s="30">
        <v>5066</v>
      </c>
      <c r="CN404" s="30">
        <v>640</v>
      </c>
      <c r="CO404" s="30">
        <v>3220</v>
      </c>
      <c r="CP404" s="30">
        <v>8926</v>
      </c>
      <c r="CQ404" s="1">
        <f t="shared" si="191"/>
        <v>0.16488408608109356</v>
      </c>
      <c r="CR404" s="47">
        <v>139964</v>
      </c>
      <c r="CS404" s="55">
        <f t="shared" si="184"/>
        <v>2.5854622702503001</v>
      </c>
      <c r="CT404" s="59">
        <v>15543</v>
      </c>
      <c r="CU404" s="29" t="s">
        <v>25</v>
      </c>
      <c r="CV404" s="29" t="s">
        <v>25</v>
      </c>
      <c r="CW404" s="29" t="s">
        <v>25</v>
      </c>
      <c r="CX404" s="35">
        <v>2</v>
      </c>
      <c r="CY404" s="49">
        <f>C404/CX404</f>
        <v>27067.5</v>
      </c>
      <c r="CZ404" s="35">
        <v>2</v>
      </c>
      <c r="DA404" s="35">
        <v>13.5</v>
      </c>
      <c r="DB404" s="35">
        <v>17.5</v>
      </c>
      <c r="DC404" s="49">
        <f t="shared" si="185"/>
        <v>3093.4285714285716</v>
      </c>
      <c r="DD404" s="30">
        <v>366</v>
      </c>
      <c r="DE404" s="31">
        <v>81603</v>
      </c>
      <c r="DF404" s="35">
        <v>40</v>
      </c>
      <c r="DG404" s="29" t="s">
        <v>25</v>
      </c>
      <c r="DH404" s="29" t="s">
        <v>25</v>
      </c>
      <c r="DI404" s="29" t="s">
        <v>25</v>
      </c>
      <c r="DJ404" s="47">
        <v>240</v>
      </c>
      <c r="DK404" s="47">
        <v>362</v>
      </c>
      <c r="DL404" s="47">
        <v>30</v>
      </c>
      <c r="DM404" s="47">
        <v>29327</v>
      </c>
      <c r="DN404" s="47">
        <v>112</v>
      </c>
      <c r="DO404" s="47">
        <v>12232</v>
      </c>
      <c r="DP404" s="29" t="s">
        <v>25</v>
      </c>
      <c r="DQ404" s="47">
        <v>127824</v>
      </c>
      <c r="DR404" s="47">
        <v>3373</v>
      </c>
      <c r="DS404" s="30">
        <v>52</v>
      </c>
      <c r="DT404" s="30">
        <v>69</v>
      </c>
      <c r="DU404" s="30">
        <v>69</v>
      </c>
      <c r="DV404" s="30">
        <v>65</v>
      </c>
      <c r="DX404" s="2">
        <f t="shared" si="186"/>
        <v>3373</v>
      </c>
      <c r="DY404" s="33" t="s">
        <v>2185</v>
      </c>
      <c r="DZ404" s="33" t="s">
        <v>1069</v>
      </c>
      <c r="EA404" s="33" t="s">
        <v>2030</v>
      </c>
      <c r="EB404" s="33" t="s">
        <v>2027</v>
      </c>
      <c r="EC404" s="36">
        <v>314</v>
      </c>
      <c r="ED404" s="29" t="s">
        <v>1067</v>
      </c>
      <c r="EE404" s="29" t="s">
        <v>144</v>
      </c>
      <c r="EF404" s="37">
        <v>41548</v>
      </c>
      <c r="EG404" s="37">
        <v>41912</v>
      </c>
      <c r="EH404" s="29" t="s">
        <v>1067</v>
      </c>
      <c r="EI404" s="55">
        <f t="shared" si="187"/>
        <v>0.33414611619100398</v>
      </c>
      <c r="EJ404" s="54">
        <f t="shared" si="188"/>
        <v>1.7530248452941721E-2</v>
      </c>
      <c r="EK404" s="55">
        <f t="shared" si="189"/>
        <v>0.51428835319109634</v>
      </c>
      <c r="EL404" s="54">
        <f t="shared" si="190"/>
        <v>5.767063821926665E-2</v>
      </c>
    </row>
    <row r="405" spans="1:142" ht="28.8" x14ac:dyDescent="0.3">
      <c r="A405" s="29" t="s">
        <v>1071</v>
      </c>
      <c r="B405" s="29"/>
      <c r="C405" s="30">
        <v>7054</v>
      </c>
      <c r="D405" s="30">
        <v>1</v>
      </c>
      <c r="E405" s="30">
        <v>0</v>
      </c>
      <c r="F405" s="30">
        <v>10429</v>
      </c>
      <c r="G405">
        <v>500</v>
      </c>
      <c r="H405" s="2">
        <f t="shared" si="166"/>
        <v>10929</v>
      </c>
      <c r="I405" s="1">
        <f t="shared" si="165"/>
        <v>1.5493337113694359</v>
      </c>
      <c r="J405" s="31">
        <v>103277</v>
      </c>
      <c r="K405" s="31">
        <v>28827</v>
      </c>
      <c r="L405" s="31">
        <v>132104</v>
      </c>
      <c r="M405" s="45">
        <f t="shared" si="167"/>
        <v>18.727530479160759</v>
      </c>
      <c r="N405" s="31">
        <v>6100</v>
      </c>
      <c r="O405" s="31">
        <v>0</v>
      </c>
      <c r="P405" s="31">
        <v>0</v>
      </c>
      <c r="Q405" s="31">
        <v>6100</v>
      </c>
      <c r="R405" s="45">
        <f t="shared" si="168"/>
        <v>0.86475758434930539</v>
      </c>
      <c r="S405" s="31">
        <v>77903</v>
      </c>
      <c r="T405" s="31">
        <v>216107</v>
      </c>
      <c r="U405" s="31">
        <v>0</v>
      </c>
      <c r="V405" s="31">
        <v>216107</v>
      </c>
      <c r="W405" s="45">
        <f t="shared" si="169"/>
        <v>30.636092996881203</v>
      </c>
      <c r="X405" s="4">
        <f t="shared" si="170"/>
        <v>0.61128977774898541</v>
      </c>
      <c r="Y405" s="4">
        <f t="shared" si="171"/>
        <v>2.8226758041155538E-2</v>
      </c>
      <c r="Z405" s="4">
        <f t="shared" si="172"/>
        <v>0.36048346420985899</v>
      </c>
      <c r="AA405" s="4">
        <f t="shared" si="173"/>
        <v>0</v>
      </c>
      <c r="AB405" s="31">
        <v>0</v>
      </c>
      <c r="AC405" s="31">
        <v>6100</v>
      </c>
      <c r="AD405" s="31">
        <v>216107</v>
      </c>
      <c r="AE405" s="31">
        <v>216107</v>
      </c>
      <c r="AF405" s="31">
        <v>216107</v>
      </c>
      <c r="AG405" s="31">
        <v>0</v>
      </c>
      <c r="AH405" s="31">
        <v>0</v>
      </c>
      <c r="AI405" s="31">
        <v>216107</v>
      </c>
      <c r="AJ405" s="45">
        <f t="shared" si="174"/>
        <v>30.636092996881203</v>
      </c>
      <c r="AK405" s="31">
        <v>720</v>
      </c>
      <c r="AL405" s="31">
        <v>0</v>
      </c>
      <c r="AM405" s="31">
        <v>0</v>
      </c>
      <c r="AN405" s="31">
        <v>0</v>
      </c>
      <c r="AO405" s="31">
        <v>0</v>
      </c>
      <c r="AP405" s="31">
        <v>13940</v>
      </c>
      <c r="AQ405" s="31">
        <v>13940</v>
      </c>
      <c r="AR405" s="31">
        <v>230767</v>
      </c>
      <c r="AS405" s="46">
        <f t="shared" si="175"/>
        <v>32.714346470087897</v>
      </c>
      <c r="AT405" s="31">
        <v>0</v>
      </c>
      <c r="AU405" s="31">
        <v>0</v>
      </c>
      <c r="AV405" s="31">
        <v>0</v>
      </c>
      <c r="AW405" s="31">
        <v>0</v>
      </c>
      <c r="AX405" s="31">
        <v>0</v>
      </c>
      <c r="AY405" s="31">
        <v>0</v>
      </c>
      <c r="AZ405" s="31">
        <v>0</v>
      </c>
      <c r="BA405" s="31">
        <v>0</v>
      </c>
      <c r="BB405" s="31">
        <v>0</v>
      </c>
      <c r="BC405" s="33" t="s">
        <v>25</v>
      </c>
      <c r="BD405" s="47">
        <v>27530</v>
      </c>
      <c r="BE405" s="47">
        <v>29282</v>
      </c>
      <c r="BF405" s="45">
        <f t="shared" si="176"/>
        <v>4.1511199319535015</v>
      </c>
      <c r="BG405" s="30">
        <v>513</v>
      </c>
      <c r="BH405" s="30">
        <v>565</v>
      </c>
      <c r="BI405" s="30">
        <v>732</v>
      </c>
      <c r="BJ405" s="30">
        <v>1640</v>
      </c>
      <c r="BK405" s="30">
        <v>1708</v>
      </c>
      <c r="BL405" s="30">
        <v>0</v>
      </c>
      <c r="BM405" s="30">
        <v>2128</v>
      </c>
      <c r="BN405" s="30">
        <v>0</v>
      </c>
      <c r="BO405" s="30">
        <v>51</v>
      </c>
      <c r="BP405" s="30">
        <v>0</v>
      </c>
      <c r="BQ405" s="30">
        <v>51</v>
      </c>
      <c r="BR405" s="47">
        <v>29683</v>
      </c>
      <c r="BS405" s="47">
        <v>34415</v>
      </c>
      <c r="BT405" s="1">
        <f t="shared" si="177"/>
        <v>4.8787921746526797</v>
      </c>
      <c r="BU405" s="30">
        <v>46</v>
      </c>
      <c r="BV405" s="30">
        <v>0</v>
      </c>
      <c r="BW405" s="47">
        <v>1764</v>
      </c>
      <c r="BX405" s="52">
        <f t="shared" si="178"/>
        <v>0.25007088176920894</v>
      </c>
      <c r="BY405" s="47">
        <v>2506</v>
      </c>
      <c r="BZ405" s="47">
        <v>3627</v>
      </c>
      <c r="CA405" s="47">
        <v>18776</v>
      </c>
      <c r="CB405" s="47">
        <v>21360</v>
      </c>
      <c r="CC405" s="47">
        <v>46269</v>
      </c>
      <c r="CD405" s="55">
        <f t="shared" si="179"/>
        <v>6.5592571590586903</v>
      </c>
      <c r="CE405" s="3">
        <f t="shared" si="180"/>
        <v>9253.7999999999993</v>
      </c>
      <c r="CF405" s="55">
        <f t="shared" si="181"/>
        <v>14.721285396118358</v>
      </c>
      <c r="CG405" s="55">
        <f t="shared" si="182"/>
        <v>0.46387287583337511</v>
      </c>
      <c r="CH405" s="55">
        <f t="shared" si="183"/>
        <v>0.61839314252506172</v>
      </c>
      <c r="CI405" s="30">
        <v>79</v>
      </c>
      <c r="CJ405" s="30">
        <v>0</v>
      </c>
      <c r="CK405" s="30">
        <v>8</v>
      </c>
      <c r="CL405" s="30">
        <v>87</v>
      </c>
      <c r="CM405" s="30">
        <v>1706</v>
      </c>
      <c r="CN405" s="30">
        <v>0</v>
      </c>
      <c r="CO405" s="30">
        <v>75</v>
      </c>
      <c r="CP405" s="30">
        <v>1781</v>
      </c>
      <c r="CQ405" s="1">
        <f t="shared" si="191"/>
        <v>0.25248086192231356</v>
      </c>
      <c r="CR405" s="47">
        <v>99745</v>
      </c>
      <c r="CS405" s="55">
        <f t="shared" si="184"/>
        <v>14.140204139495323</v>
      </c>
      <c r="CT405" s="59">
        <v>21005</v>
      </c>
      <c r="CU405" s="29" t="s">
        <v>25</v>
      </c>
      <c r="CV405" s="29" t="s">
        <v>25</v>
      </c>
      <c r="CW405" s="29" t="s">
        <v>25</v>
      </c>
      <c r="CX405" s="35">
        <v>0</v>
      </c>
      <c r="CY405" s="49">
        <v>0</v>
      </c>
      <c r="CZ405" s="35">
        <v>1</v>
      </c>
      <c r="DA405" s="35">
        <v>4</v>
      </c>
      <c r="DB405" s="35">
        <v>5</v>
      </c>
      <c r="DC405" s="49">
        <f t="shared" si="185"/>
        <v>1410.8</v>
      </c>
      <c r="DD405" s="30">
        <v>409</v>
      </c>
      <c r="DE405" s="31">
        <v>40705</v>
      </c>
      <c r="DF405" s="35">
        <v>40</v>
      </c>
      <c r="DG405" s="29" t="s">
        <v>25</v>
      </c>
      <c r="DH405" s="29" t="s">
        <v>25</v>
      </c>
      <c r="DI405" s="29" t="s">
        <v>25</v>
      </c>
      <c r="DJ405" s="47">
        <v>5</v>
      </c>
      <c r="DK405" s="47">
        <v>41</v>
      </c>
      <c r="DL405" s="47">
        <v>38</v>
      </c>
      <c r="DM405" s="47">
        <v>10662</v>
      </c>
      <c r="DN405" s="47">
        <v>75</v>
      </c>
      <c r="DO405" s="47">
        <v>1168</v>
      </c>
      <c r="DP405" s="29" t="s">
        <v>2028</v>
      </c>
      <c r="DQ405" s="47">
        <v>0</v>
      </c>
      <c r="DR405" s="47">
        <v>2266</v>
      </c>
      <c r="DS405" s="30">
        <v>52</v>
      </c>
      <c r="DT405" s="30">
        <v>47</v>
      </c>
      <c r="DU405" s="30">
        <v>47</v>
      </c>
      <c r="DV405" s="30">
        <v>43</v>
      </c>
      <c r="DW405">
        <f>VLOOKUP(EC405,branch!$I$4:$K$77,3,0)</f>
        <v>877</v>
      </c>
      <c r="DX405" s="2">
        <f t="shared" si="186"/>
        <v>3143</v>
      </c>
      <c r="DY405" s="33" t="s">
        <v>2180</v>
      </c>
      <c r="DZ405" s="33" t="s">
        <v>1072</v>
      </c>
      <c r="EA405" s="33" t="s">
        <v>2030</v>
      </c>
      <c r="EB405" s="33" t="s">
        <v>2027</v>
      </c>
      <c r="EC405" s="36">
        <v>315</v>
      </c>
      <c r="ED405" s="29" t="s">
        <v>1070</v>
      </c>
      <c r="EE405" s="29" t="s">
        <v>214</v>
      </c>
      <c r="EF405" s="37">
        <v>41548</v>
      </c>
      <c r="EG405" s="37">
        <v>41912</v>
      </c>
      <c r="EH405" s="29" t="s">
        <v>1070</v>
      </c>
      <c r="EI405" s="55">
        <f t="shared" si="187"/>
        <v>0.3552594272753048</v>
      </c>
      <c r="EJ405" s="54">
        <f t="shared" si="188"/>
        <v>0.51417635384179194</v>
      </c>
      <c r="EK405" s="55">
        <f t="shared" si="189"/>
        <v>2.6617521973348457</v>
      </c>
      <c r="EL405" s="54">
        <f t="shared" si="190"/>
        <v>3.0280691806067481</v>
      </c>
    </row>
    <row r="406" spans="1:142" ht="28.8" x14ac:dyDescent="0.3">
      <c r="A406" s="29" t="s">
        <v>6</v>
      </c>
      <c r="B406" s="29"/>
      <c r="C406" s="30">
        <v>21177</v>
      </c>
      <c r="D406" s="30">
        <v>0</v>
      </c>
      <c r="E406" s="30">
        <v>0</v>
      </c>
      <c r="F406" s="30">
        <v>9092</v>
      </c>
      <c r="H406" s="2">
        <f t="shared" si="166"/>
        <v>9092</v>
      </c>
      <c r="I406" s="1">
        <f t="shared" si="165"/>
        <v>0.4293337111016669</v>
      </c>
      <c r="J406" s="31">
        <v>197163</v>
      </c>
      <c r="K406" s="31">
        <v>75743</v>
      </c>
      <c r="L406" s="31">
        <v>272906</v>
      </c>
      <c r="M406" s="45">
        <f t="shared" si="167"/>
        <v>12.886905605137649</v>
      </c>
      <c r="N406" s="31">
        <v>27315</v>
      </c>
      <c r="O406" s="31">
        <v>17485</v>
      </c>
      <c r="P406" s="31">
        <v>10040</v>
      </c>
      <c r="Q406" s="31">
        <v>54840</v>
      </c>
      <c r="R406" s="45">
        <f t="shared" si="168"/>
        <v>2.5896019266185011</v>
      </c>
      <c r="S406" s="31">
        <v>116384</v>
      </c>
      <c r="T406" s="31">
        <v>444130</v>
      </c>
      <c r="U406" s="31">
        <v>0</v>
      </c>
      <c r="V406" s="31">
        <v>444130</v>
      </c>
      <c r="W406" s="45">
        <f t="shared" si="169"/>
        <v>20.972281248524343</v>
      </c>
      <c r="X406" s="4">
        <f t="shared" si="170"/>
        <v>0.61447323981717061</v>
      </c>
      <c r="Y406" s="4">
        <f t="shared" si="171"/>
        <v>0.1234773602323644</v>
      </c>
      <c r="Z406" s="4">
        <f t="shared" si="172"/>
        <v>0.26204939995046495</v>
      </c>
      <c r="AA406" s="4">
        <f t="shared" si="173"/>
        <v>0</v>
      </c>
      <c r="AB406" s="31">
        <v>0</v>
      </c>
      <c r="AC406" s="31">
        <v>54840</v>
      </c>
      <c r="AD406" s="31">
        <v>444130</v>
      </c>
      <c r="AE406" s="31">
        <v>444130</v>
      </c>
      <c r="AF406" s="31">
        <v>444130</v>
      </c>
      <c r="AG406" s="31">
        <v>1000</v>
      </c>
      <c r="AH406" s="31">
        <v>0</v>
      </c>
      <c r="AI406" s="31">
        <v>445130</v>
      </c>
      <c r="AJ406" s="45">
        <f t="shared" si="174"/>
        <v>21.019502290220522</v>
      </c>
      <c r="AK406" s="31">
        <v>0</v>
      </c>
      <c r="AL406" s="31">
        <v>0</v>
      </c>
      <c r="AM406" s="31">
        <v>0</v>
      </c>
      <c r="AN406" s="31">
        <v>0</v>
      </c>
      <c r="AO406" s="31">
        <v>0</v>
      </c>
      <c r="AP406" s="31">
        <v>15000</v>
      </c>
      <c r="AQ406" s="31">
        <v>15000</v>
      </c>
      <c r="AR406" s="31">
        <v>460130</v>
      </c>
      <c r="AS406" s="46">
        <f t="shared" si="175"/>
        <v>21.72781791566322</v>
      </c>
      <c r="AT406" s="31">
        <v>0</v>
      </c>
      <c r="AU406" s="31">
        <v>0</v>
      </c>
      <c r="AV406" s="31">
        <v>0</v>
      </c>
      <c r="AW406" s="31">
        <v>0</v>
      </c>
      <c r="AX406" s="31">
        <v>0</v>
      </c>
      <c r="AY406" s="31">
        <v>0</v>
      </c>
      <c r="AZ406" s="31">
        <v>0</v>
      </c>
      <c r="BA406" s="31">
        <v>0</v>
      </c>
      <c r="BB406" s="31">
        <v>0</v>
      </c>
      <c r="BC406" s="33" t="s">
        <v>25</v>
      </c>
      <c r="BD406" s="47">
        <v>33322</v>
      </c>
      <c r="BE406" s="47">
        <v>35104</v>
      </c>
      <c r="BF406" s="45">
        <f t="shared" si="176"/>
        <v>1.6576474477026963</v>
      </c>
      <c r="BG406" s="30">
        <v>1197</v>
      </c>
      <c r="BH406" s="30">
        <v>1437</v>
      </c>
      <c r="BI406" s="30">
        <v>306</v>
      </c>
      <c r="BJ406" s="30">
        <v>3553</v>
      </c>
      <c r="BK406" s="30">
        <v>3702</v>
      </c>
      <c r="BL406" s="30">
        <v>0</v>
      </c>
      <c r="BM406" s="30">
        <v>3145</v>
      </c>
      <c r="BN406" s="30">
        <v>3</v>
      </c>
      <c r="BO406" s="30">
        <v>51</v>
      </c>
      <c r="BP406" s="30">
        <v>0</v>
      </c>
      <c r="BQ406" s="30">
        <v>54</v>
      </c>
      <c r="BR406" s="47">
        <v>38072</v>
      </c>
      <c r="BS406" s="47">
        <v>43697</v>
      </c>
      <c r="BT406" s="1">
        <f t="shared" si="177"/>
        <v>2.0634178589979695</v>
      </c>
      <c r="BU406" s="30">
        <v>114</v>
      </c>
      <c r="BV406" s="30">
        <v>1</v>
      </c>
      <c r="BW406" s="47">
        <v>3014</v>
      </c>
      <c r="BX406" s="52">
        <f t="shared" si="178"/>
        <v>0.14232421967228598</v>
      </c>
      <c r="BY406" s="47">
        <v>39580</v>
      </c>
      <c r="BZ406" s="47">
        <v>121</v>
      </c>
      <c r="CA406" s="47">
        <v>240561</v>
      </c>
      <c r="CB406" s="47">
        <v>4215</v>
      </c>
      <c r="CC406" s="47">
        <v>284477</v>
      </c>
      <c r="CD406" s="55">
        <f t="shared" si="179"/>
        <v>13.433300278604147</v>
      </c>
      <c r="CE406" s="3">
        <f t="shared" si="180"/>
        <v>47412.833333333336</v>
      </c>
      <c r="CF406" s="55">
        <f t="shared" si="181"/>
        <v>97.691277472527474</v>
      </c>
      <c r="CG406" s="55">
        <f t="shared" si="182"/>
        <v>3.317090519000478</v>
      </c>
      <c r="CH406" s="55">
        <f t="shared" si="183"/>
        <v>6.4109893127674669</v>
      </c>
      <c r="CI406" s="30">
        <v>531</v>
      </c>
      <c r="CJ406" s="30">
        <v>250</v>
      </c>
      <c r="CK406" s="30">
        <v>843</v>
      </c>
      <c r="CL406" s="30">
        <v>1624</v>
      </c>
      <c r="CM406" s="30">
        <v>15910</v>
      </c>
      <c r="CN406" s="30">
        <v>2437</v>
      </c>
      <c r="CO406" s="30">
        <v>8751</v>
      </c>
      <c r="CP406" s="30">
        <v>27098</v>
      </c>
      <c r="CQ406" s="1">
        <f t="shared" si="191"/>
        <v>1.2795957878830806</v>
      </c>
      <c r="CR406" s="47">
        <v>85761</v>
      </c>
      <c r="CS406" s="55">
        <f t="shared" si="184"/>
        <v>4.0497237569060776</v>
      </c>
      <c r="CT406" s="59">
        <v>21443</v>
      </c>
      <c r="CU406" s="29" t="s">
        <v>25</v>
      </c>
      <c r="CV406" s="29" t="s">
        <v>25</v>
      </c>
      <c r="CW406" s="29" t="s">
        <v>25</v>
      </c>
      <c r="CX406" s="35">
        <v>1</v>
      </c>
      <c r="CY406" s="49">
        <f>C406/CX406</f>
        <v>21177</v>
      </c>
      <c r="CZ406" s="35">
        <v>3</v>
      </c>
      <c r="DA406" s="35">
        <v>2</v>
      </c>
      <c r="DB406" s="35">
        <v>6</v>
      </c>
      <c r="DC406" s="49">
        <f t="shared" si="185"/>
        <v>3529.5</v>
      </c>
      <c r="DD406" s="30">
        <v>2491</v>
      </c>
      <c r="DE406" s="31">
        <v>72983</v>
      </c>
      <c r="DF406" s="35">
        <v>40</v>
      </c>
      <c r="DG406" s="29" t="s">
        <v>25</v>
      </c>
      <c r="DH406" s="29" t="s">
        <v>25</v>
      </c>
      <c r="DI406" s="29" t="s">
        <v>25</v>
      </c>
      <c r="DJ406" s="47">
        <v>607</v>
      </c>
      <c r="DK406" s="47">
        <v>341</v>
      </c>
      <c r="DL406" s="47">
        <v>33</v>
      </c>
      <c r="DM406" s="47">
        <v>19332</v>
      </c>
      <c r="DN406" s="47">
        <v>1821</v>
      </c>
      <c r="DO406" s="47">
        <v>0</v>
      </c>
      <c r="DP406" s="29" t="s">
        <v>2028</v>
      </c>
      <c r="DQ406" s="47">
        <v>0</v>
      </c>
      <c r="DR406" s="47">
        <v>2912</v>
      </c>
      <c r="DS406" s="30">
        <v>52</v>
      </c>
      <c r="DT406" s="30">
        <v>56</v>
      </c>
      <c r="DU406" s="30">
        <v>56</v>
      </c>
      <c r="DV406" s="30">
        <v>56</v>
      </c>
      <c r="DX406" s="2">
        <f t="shared" si="186"/>
        <v>2912</v>
      </c>
      <c r="DY406" s="33" t="s">
        <v>2180</v>
      </c>
      <c r="DZ406" s="33" t="s">
        <v>1081</v>
      </c>
      <c r="EA406" s="33" t="s">
        <v>2030</v>
      </c>
      <c r="EB406" s="33" t="s">
        <v>2027</v>
      </c>
      <c r="EC406" s="36">
        <v>318</v>
      </c>
      <c r="ED406" s="29" t="s">
        <v>1080</v>
      </c>
      <c r="EE406" s="29" t="s">
        <v>81</v>
      </c>
      <c r="EF406" s="37">
        <v>41548</v>
      </c>
      <c r="EG406" s="37">
        <v>41912</v>
      </c>
      <c r="EH406" s="29" t="s">
        <v>1080</v>
      </c>
      <c r="EI406" s="55">
        <f t="shared" si="187"/>
        <v>1.8690088303347971</v>
      </c>
      <c r="EJ406" s="54">
        <f t="shared" si="188"/>
        <v>5.7137460452377576E-3</v>
      </c>
      <c r="EK406" s="55">
        <f t="shared" si="189"/>
        <v>11.359541011474713</v>
      </c>
      <c r="EL406" s="54">
        <f t="shared" si="190"/>
        <v>0.19903669074939792</v>
      </c>
    </row>
    <row r="407" spans="1:142" ht="28.8" x14ac:dyDescent="0.3">
      <c r="A407" s="29" t="s">
        <v>1075</v>
      </c>
      <c r="B407" s="29"/>
      <c r="C407" s="30">
        <v>21806</v>
      </c>
      <c r="D407" s="30">
        <v>3</v>
      </c>
      <c r="E407" s="30">
        <v>0</v>
      </c>
      <c r="F407" s="30">
        <v>13200</v>
      </c>
      <c r="G407">
        <v>13213</v>
      </c>
      <c r="H407" s="2">
        <f t="shared" si="166"/>
        <v>26413</v>
      </c>
      <c r="I407" s="1">
        <f t="shared" si="165"/>
        <v>1.2112721269375402</v>
      </c>
      <c r="J407" s="31">
        <v>287645</v>
      </c>
      <c r="K407" s="31">
        <v>97771</v>
      </c>
      <c r="L407" s="31">
        <v>385416</v>
      </c>
      <c r="M407" s="45">
        <f t="shared" si="167"/>
        <v>17.674768412363569</v>
      </c>
      <c r="N407" s="31">
        <v>44486</v>
      </c>
      <c r="O407" s="31">
        <v>6780</v>
      </c>
      <c r="P407" s="31">
        <v>7339</v>
      </c>
      <c r="Q407" s="31">
        <v>58605</v>
      </c>
      <c r="R407" s="45">
        <f t="shared" si="168"/>
        <v>2.6875630560396222</v>
      </c>
      <c r="S407" s="31">
        <v>93469</v>
      </c>
      <c r="T407" s="31">
        <v>537490</v>
      </c>
      <c r="U407" s="31">
        <v>0</v>
      </c>
      <c r="V407" s="31">
        <v>537490</v>
      </c>
      <c r="W407" s="45">
        <f t="shared" si="169"/>
        <v>24.648720535632396</v>
      </c>
      <c r="X407" s="4">
        <f t="shared" si="170"/>
        <v>0.71706636402537727</v>
      </c>
      <c r="Y407" s="4">
        <f t="shared" si="171"/>
        <v>0.10903458668998493</v>
      </c>
      <c r="Z407" s="4">
        <f t="shared" si="172"/>
        <v>0.17389904928463784</v>
      </c>
      <c r="AA407" s="4">
        <f t="shared" si="173"/>
        <v>0</v>
      </c>
      <c r="AB407" s="31">
        <v>3062</v>
      </c>
      <c r="AC407" s="31">
        <v>58605</v>
      </c>
      <c r="AD407" s="31">
        <v>537489</v>
      </c>
      <c r="AE407" s="31">
        <v>531839</v>
      </c>
      <c r="AF407" s="31">
        <v>0</v>
      </c>
      <c r="AG407" s="31">
        <v>531839</v>
      </c>
      <c r="AH407" s="31">
        <v>0</v>
      </c>
      <c r="AI407" s="31">
        <v>531839</v>
      </c>
      <c r="AJ407" s="45">
        <f t="shared" si="174"/>
        <v>24.38957167751995</v>
      </c>
      <c r="AK407" s="31">
        <v>0</v>
      </c>
      <c r="AL407" s="31">
        <v>0</v>
      </c>
      <c r="AM407" s="31">
        <v>0</v>
      </c>
      <c r="AN407" s="31">
        <v>0</v>
      </c>
      <c r="AO407" s="31">
        <v>0</v>
      </c>
      <c r="AP407" s="31">
        <v>20739</v>
      </c>
      <c r="AQ407" s="31">
        <v>20739</v>
      </c>
      <c r="AR407" s="31">
        <v>552578</v>
      </c>
      <c r="AS407" s="46">
        <f t="shared" si="175"/>
        <v>25.340640190773183</v>
      </c>
      <c r="AT407" s="31">
        <v>0</v>
      </c>
      <c r="AU407" s="31">
        <v>3062</v>
      </c>
      <c r="AV407" s="31">
        <v>0</v>
      </c>
      <c r="AW407" s="31">
        <v>0</v>
      </c>
      <c r="AX407" s="31">
        <v>0</v>
      </c>
      <c r="AY407" s="31">
        <v>0</v>
      </c>
      <c r="AZ407" s="31">
        <v>0</v>
      </c>
      <c r="BA407" s="31">
        <v>0</v>
      </c>
      <c r="BB407" s="31">
        <v>3062</v>
      </c>
      <c r="BC407" s="33" t="s">
        <v>25</v>
      </c>
      <c r="BD407" s="47">
        <v>73428</v>
      </c>
      <c r="BE407" s="47">
        <v>105418</v>
      </c>
      <c r="BF407" s="45">
        <f t="shared" si="176"/>
        <v>4.8343575162799226</v>
      </c>
      <c r="BG407" s="30">
        <v>1626</v>
      </c>
      <c r="BH407" s="30">
        <v>1725</v>
      </c>
      <c r="BI407" s="30">
        <v>775</v>
      </c>
      <c r="BJ407" s="30">
        <v>4507</v>
      </c>
      <c r="BK407" s="30">
        <v>6580</v>
      </c>
      <c r="BL407" s="30">
        <v>0</v>
      </c>
      <c r="BM407" s="30">
        <v>9832</v>
      </c>
      <c r="BN407" s="30">
        <v>3</v>
      </c>
      <c r="BO407" s="30">
        <v>51</v>
      </c>
      <c r="BP407" s="30">
        <v>1</v>
      </c>
      <c r="BQ407" s="30">
        <v>55</v>
      </c>
      <c r="BR407" s="47">
        <v>79561</v>
      </c>
      <c r="BS407" s="47">
        <v>124333</v>
      </c>
      <c r="BT407" s="1">
        <f t="shared" si="177"/>
        <v>5.7017793267907919</v>
      </c>
      <c r="BU407" s="30">
        <v>130</v>
      </c>
      <c r="BV407" s="30">
        <v>110</v>
      </c>
      <c r="BW407" s="47">
        <v>3046</v>
      </c>
      <c r="BX407" s="52">
        <f t="shared" si="178"/>
        <v>0.13968632486471613</v>
      </c>
      <c r="BY407" s="47">
        <v>19135</v>
      </c>
      <c r="BZ407" s="47">
        <v>115</v>
      </c>
      <c r="CA407" s="47">
        <v>69459</v>
      </c>
      <c r="CB407" s="47">
        <v>1907</v>
      </c>
      <c r="CC407" s="47">
        <v>90616</v>
      </c>
      <c r="CD407" s="55">
        <f t="shared" si="179"/>
        <v>4.1555535173805378</v>
      </c>
      <c r="CE407" s="3">
        <f t="shared" si="180"/>
        <v>9743.6559139784931</v>
      </c>
      <c r="CF407" s="55">
        <f t="shared" si="181"/>
        <v>13.735940579051084</v>
      </c>
      <c r="CG407" s="55">
        <f t="shared" si="182"/>
        <v>1.1045074474049876</v>
      </c>
      <c r="CH407" s="55">
        <f t="shared" si="183"/>
        <v>0.71255418915332214</v>
      </c>
      <c r="CI407" s="30">
        <v>107</v>
      </c>
      <c r="CJ407" s="30">
        <v>12</v>
      </c>
      <c r="CK407" s="30">
        <v>4</v>
      </c>
      <c r="CL407" s="30">
        <v>123</v>
      </c>
      <c r="CM407" s="30">
        <v>3640</v>
      </c>
      <c r="CN407" s="30">
        <v>86</v>
      </c>
      <c r="CO407" s="30">
        <v>36</v>
      </c>
      <c r="CP407" s="30">
        <v>3762</v>
      </c>
      <c r="CQ407" s="1">
        <f t="shared" si="191"/>
        <v>0.17252132440612675</v>
      </c>
      <c r="CR407" s="47">
        <v>82042</v>
      </c>
      <c r="CS407" s="55">
        <f t="shared" si="184"/>
        <v>3.7623589837659361</v>
      </c>
      <c r="CT407" s="59">
        <v>8708</v>
      </c>
      <c r="CU407" s="29" t="s">
        <v>25</v>
      </c>
      <c r="CV407" s="29" t="s">
        <v>25</v>
      </c>
      <c r="CW407" s="29" t="s">
        <v>25</v>
      </c>
      <c r="CX407" s="35">
        <v>0</v>
      </c>
      <c r="CY407" s="49">
        <v>0</v>
      </c>
      <c r="CZ407" s="35">
        <v>7.9</v>
      </c>
      <c r="DA407" s="35">
        <v>1.4</v>
      </c>
      <c r="DB407" s="35">
        <v>9.3000000000000007</v>
      </c>
      <c r="DC407" s="49">
        <f t="shared" si="185"/>
        <v>2344.7311827956987</v>
      </c>
      <c r="DD407" s="30">
        <v>1543</v>
      </c>
      <c r="DE407" s="31">
        <v>41476</v>
      </c>
      <c r="DF407" s="35">
        <v>40</v>
      </c>
      <c r="DG407" s="29" t="s">
        <v>25</v>
      </c>
      <c r="DH407" s="29" t="s">
        <v>25</v>
      </c>
      <c r="DI407" s="29" t="s">
        <v>25</v>
      </c>
      <c r="DJ407" s="47">
        <v>45</v>
      </c>
      <c r="DK407" s="47">
        <v>5</v>
      </c>
      <c r="DL407" s="47">
        <v>62</v>
      </c>
      <c r="DM407" s="47">
        <v>20169</v>
      </c>
      <c r="DN407" s="47">
        <v>413</v>
      </c>
      <c r="DO407" s="47">
        <v>3778</v>
      </c>
      <c r="DP407" s="29" t="s">
        <v>25</v>
      </c>
      <c r="DQ407" s="47">
        <v>7216</v>
      </c>
      <c r="DR407" s="47">
        <v>1996</v>
      </c>
      <c r="DS407" s="30">
        <v>50</v>
      </c>
      <c r="DT407" s="30">
        <v>51</v>
      </c>
      <c r="DU407" s="30">
        <v>40</v>
      </c>
      <c r="DV407" s="30">
        <v>40</v>
      </c>
      <c r="DW407">
        <f>VLOOKUP(EC407,branch!$I$4:$K$77,3,0)</f>
        <v>4601</v>
      </c>
      <c r="DX407" s="2">
        <f t="shared" si="186"/>
        <v>6597</v>
      </c>
      <c r="DY407" s="33" t="s">
        <v>2180</v>
      </c>
      <c r="DZ407" s="33" t="s">
        <v>1076</v>
      </c>
      <c r="EA407" s="33" t="s">
        <v>2031</v>
      </c>
      <c r="EB407" s="33" t="s">
        <v>2027</v>
      </c>
      <c r="EC407" s="36">
        <v>316</v>
      </c>
      <c r="ED407" s="29" t="s">
        <v>1073</v>
      </c>
      <c r="EE407" s="29" t="s">
        <v>1074</v>
      </c>
      <c r="EF407" s="37">
        <v>41640</v>
      </c>
      <c r="EG407" s="37">
        <v>42004</v>
      </c>
      <c r="EH407" s="29" t="s">
        <v>1073</v>
      </c>
      <c r="EI407" s="55">
        <f t="shared" si="187"/>
        <v>0.87751077685040813</v>
      </c>
      <c r="EJ407" s="54">
        <f t="shared" si="188"/>
        <v>5.2737778593047787E-3</v>
      </c>
      <c r="EK407" s="55">
        <f t="shared" si="189"/>
        <v>3.1853159680821794</v>
      </c>
      <c r="EL407" s="54">
        <f t="shared" si="190"/>
        <v>8.7452994588645333E-2</v>
      </c>
    </row>
    <row r="408" spans="1:142" ht="43.2" x14ac:dyDescent="0.3">
      <c r="A408" s="29" t="s">
        <v>1078</v>
      </c>
      <c r="B408" s="29"/>
      <c r="C408" s="30">
        <v>12784</v>
      </c>
      <c r="D408" s="30">
        <v>0</v>
      </c>
      <c r="E408" s="30">
        <v>0</v>
      </c>
      <c r="F408" s="30">
        <v>18000</v>
      </c>
      <c r="H408" s="2">
        <f t="shared" si="166"/>
        <v>18000</v>
      </c>
      <c r="I408" s="1">
        <f t="shared" si="165"/>
        <v>1.4080100125156445</v>
      </c>
      <c r="J408" s="31">
        <v>305127</v>
      </c>
      <c r="K408" s="31">
        <v>92451</v>
      </c>
      <c r="L408" s="31">
        <v>397578</v>
      </c>
      <c r="M408" s="45">
        <f t="shared" si="167"/>
        <v>31.099655819774718</v>
      </c>
      <c r="N408" s="31">
        <v>37577</v>
      </c>
      <c r="O408" s="31">
        <v>3479</v>
      </c>
      <c r="P408" s="31">
        <v>5316</v>
      </c>
      <c r="Q408" s="31">
        <v>46372</v>
      </c>
      <c r="R408" s="45">
        <f t="shared" si="168"/>
        <v>3.6273466833541925</v>
      </c>
      <c r="S408" s="31">
        <v>77969</v>
      </c>
      <c r="T408" s="31">
        <v>521919</v>
      </c>
      <c r="U408" s="31">
        <v>0</v>
      </c>
      <c r="V408" s="31">
        <v>521919</v>
      </c>
      <c r="W408" s="45">
        <f t="shared" si="169"/>
        <v>40.82595431789737</v>
      </c>
      <c r="X408" s="4">
        <f t="shared" si="170"/>
        <v>0.76176188259097677</v>
      </c>
      <c r="Y408" s="4">
        <f t="shared" si="171"/>
        <v>8.8849035961518927E-2</v>
      </c>
      <c r="Z408" s="4">
        <f t="shared" si="172"/>
        <v>0.14938908144750432</v>
      </c>
      <c r="AA408" s="4">
        <f t="shared" si="173"/>
        <v>0</v>
      </c>
      <c r="AB408" s="31">
        <v>0</v>
      </c>
      <c r="AC408" s="31">
        <v>46372</v>
      </c>
      <c r="AD408" s="31">
        <v>521919</v>
      </c>
      <c r="AE408" s="31">
        <v>507607</v>
      </c>
      <c r="AF408" s="31">
        <v>521380</v>
      </c>
      <c r="AG408" s="31">
        <v>0</v>
      </c>
      <c r="AH408" s="31">
        <v>0</v>
      </c>
      <c r="AI408" s="31">
        <v>521380</v>
      </c>
      <c r="AJ408" s="45">
        <f t="shared" si="174"/>
        <v>40.783792240300379</v>
      </c>
      <c r="AK408" s="31">
        <v>0</v>
      </c>
      <c r="AL408" s="31">
        <v>0</v>
      </c>
      <c r="AM408" s="31">
        <v>0</v>
      </c>
      <c r="AN408" s="31">
        <v>0</v>
      </c>
      <c r="AO408" s="31">
        <v>6700</v>
      </c>
      <c r="AP408" s="31">
        <v>500</v>
      </c>
      <c r="AQ408" s="31">
        <v>7200</v>
      </c>
      <c r="AR408" s="31">
        <v>528580</v>
      </c>
      <c r="AS408" s="46">
        <f t="shared" si="175"/>
        <v>41.346996245306634</v>
      </c>
      <c r="AT408" s="31">
        <v>0</v>
      </c>
      <c r="AU408" s="31">
        <v>0</v>
      </c>
      <c r="AV408" s="31">
        <v>0</v>
      </c>
      <c r="AW408" s="31">
        <v>0</v>
      </c>
      <c r="AX408" s="31">
        <v>0</v>
      </c>
      <c r="AY408" s="31">
        <v>0</v>
      </c>
      <c r="AZ408" s="31">
        <v>15000</v>
      </c>
      <c r="BA408" s="31">
        <v>0</v>
      </c>
      <c r="BB408" s="31">
        <v>15000</v>
      </c>
      <c r="BC408" s="33" t="s">
        <v>25</v>
      </c>
      <c r="BD408" s="47">
        <v>38308</v>
      </c>
      <c r="BE408" s="47">
        <v>39434</v>
      </c>
      <c r="BF408" s="45">
        <f t="shared" si="176"/>
        <v>3.0846370463078849</v>
      </c>
      <c r="BG408" s="30">
        <v>1177</v>
      </c>
      <c r="BH408" s="30">
        <v>1189</v>
      </c>
      <c r="BI408" s="30">
        <v>11978</v>
      </c>
      <c r="BJ408" s="30">
        <v>2876</v>
      </c>
      <c r="BK408" s="30">
        <v>2990</v>
      </c>
      <c r="BL408" s="30">
        <v>322</v>
      </c>
      <c r="BM408" s="30">
        <v>30828</v>
      </c>
      <c r="BN408" s="30">
        <v>0</v>
      </c>
      <c r="BO408" s="30">
        <v>51</v>
      </c>
      <c r="BP408" s="30">
        <v>2</v>
      </c>
      <c r="BQ408" s="30">
        <v>53</v>
      </c>
      <c r="BR408" s="47">
        <v>42361</v>
      </c>
      <c r="BS408" s="47">
        <v>86741</v>
      </c>
      <c r="BT408" s="1">
        <f t="shared" si="177"/>
        <v>6.7851220275344177</v>
      </c>
      <c r="BU408" s="30">
        <v>55</v>
      </c>
      <c r="BV408" s="30">
        <v>0</v>
      </c>
      <c r="BW408" s="47">
        <v>4494</v>
      </c>
      <c r="BX408" s="52">
        <f t="shared" si="178"/>
        <v>0.35153316645807259</v>
      </c>
      <c r="BY408" s="47">
        <v>29745</v>
      </c>
      <c r="BZ408" s="47">
        <v>0</v>
      </c>
      <c r="CA408" s="47">
        <v>29174</v>
      </c>
      <c r="CB408" s="47">
        <v>4165</v>
      </c>
      <c r="CC408" s="47">
        <v>63084</v>
      </c>
      <c r="CD408" s="55">
        <f t="shared" si="179"/>
        <v>4.9346057571964952</v>
      </c>
      <c r="CE408" s="3">
        <f t="shared" si="180"/>
        <v>8948.0851063829796</v>
      </c>
      <c r="CF408" s="55">
        <f t="shared" si="181"/>
        <v>20.389140271493211</v>
      </c>
      <c r="CG408" s="55">
        <f t="shared" si="182"/>
        <v>0.64295323902319701</v>
      </c>
      <c r="CH408" s="55">
        <f t="shared" si="183"/>
        <v>0.67925202614680491</v>
      </c>
      <c r="CI408" s="30">
        <v>25</v>
      </c>
      <c r="CJ408" s="30">
        <v>3</v>
      </c>
      <c r="CK408" s="30">
        <v>215</v>
      </c>
      <c r="CL408" s="30">
        <v>243</v>
      </c>
      <c r="CM408" s="30">
        <v>3005</v>
      </c>
      <c r="CN408" s="30">
        <v>53</v>
      </c>
      <c r="CO408" s="30">
        <v>496</v>
      </c>
      <c r="CP408" s="30">
        <v>3554</v>
      </c>
      <c r="CQ408" s="1">
        <f t="shared" si="191"/>
        <v>0.27800375469336669</v>
      </c>
      <c r="CR408" s="47">
        <v>98116</v>
      </c>
      <c r="CS408" s="55">
        <f t="shared" si="184"/>
        <v>7.6749061326658321</v>
      </c>
      <c r="CT408" s="59">
        <v>4715</v>
      </c>
      <c r="CU408" s="29" t="s">
        <v>25</v>
      </c>
      <c r="CV408" s="29" t="s">
        <v>25</v>
      </c>
      <c r="CW408" s="29" t="s">
        <v>25</v>
      </c>
      <c r="CX408" s="35">
        <v>1</v>
      </c>
      <c r="CY408" s="49">
        <f>C408/CX408</f>
        <v>12784</v>
      </c>
      <c r="CZ408" s="35">
        <v>0</v>
      </c>
      <c r="DA408" s="35">
        <v>6.05</v>
      </c>
      <c r="DB408" s="35">
        <v>7.05</v>
      </c>
      <c r="DC408" s="49">
        <f t="shared" si="185"/>
        <v>1813.3333333333335</v>
      </c>
      <c r="DD408" s="30">
        <v>195</v>
      </c>
      <c r="DE408" s="31">
        <v>75741</v>
      </c>
      <c r="DF408" s="35">
        <v>40</v>
      </c>
      <c r="DG408" s="29" t="s">
        <v>25</v>
      </c>
      <c r="DH408" s="29" t="s">
        <v>25</v>
      </c>
      <c r="DI408" s="29" t="s">
        <v>25</v>
      </c>
      <c r="DJ408" s="47">
        <v>585</v>
      </c>
      <c r="DK408" s="47">
        <v>206</v>
      </c>
      <c r="DL408" s="47">
        <v>13</v>
      </c>
      <c r="DM408" s="47">
        <v>9789</v>
      </c>
      <c r="DN408" s="47">
        <v>4021</v>
      </c>
      <c r="DO408" s="47">
        <v>20202</v>
      </c>
      <c r="DP408" s="29" t="s">
        <v>25</v>
      </c>
      <c r="DQ408" s="47">
        <v>68338</v>
      </c>
      <c r="DR408" s="47">
        <v>3094</v>
      </c>
      <c r="DS408" s="30">
        <v>52</v>
      </c>
      <c r="DT408" s="30">
        <v>62</v>
      </c>
      <c r="DU408" s="30">
        <v>62</v>
      </c>
      <c r="DV408" s="30">
        <v>62</v>
      </c>
      <c r="DX408" s="2">
        <f t="shared" si="186"/>
        <v>3094</v>
      </c>
      <c r="DY408" s="33" t="s">
        <v>2185</v>
      </c>
      <c r="DZ408" s="33" t="s">
        <v>1079</v>
      </c>
      <c r="EA408" s="33" t="s">
        <v>2030</v>
      </c>
      <c r="EB408" s="33" t="s">
        <v>2027</v>
      </c>
      <c r="EC408" s="36">
        <v>317</v>
      </c>
      <c r="ED408" s="29" t="s">
        <v>1077</v>
      </c>
      <c r="EE408" s="29" t="s">
        <v>144</v>
      </c>
      <c r="EF408" s="37">
        <v>41548</v>
      </c>
      <c r="EG408" s="37">
        <v>41912</v>
      </c>
      <c r="EH408" s="29" t="s">
        <v>1077</v>
      </c>
      <c r="EI408" s="55">
        <f t="shared" si="187"/>
        <v>2.3267365456821025</v>
      </c>
      <c r="EJ408" s="54">
        <f t="shared" si="188"/>
        <v>0</v>
      </c>
      <c r="EK408" s="55">
        <f t="shared" si="189"/>
        <v>2.2820713391739673</v>
      </c>
      <c r="EL408" s="54">
        <f t="shared" si="190"/>
        <v>0.32579787234042551</v>
      </c>
    </row>
    <row r="409" spans="1:142" ht="28.8" x14ac:dyDescent="0.3">
      <c r="A409" s="29" t="s">
        <v>1082</v>
      </c>
      <c r="B409" s="29"/>
      <c r="C409" s="30">
        <v>3323</v>
      </c>
      <c r="D409" s="30">
        <v>0</v>
      </c>
      <c r="E409" s="30">
        <v>0</v>
      </c>
      <c r="F409" s="30">
        <v>3373</v>
      </c>
      <c r="H409" s="2">
        <f t="shared" si="166"/>
        <v>3373</v>
      </c>
      <c r="I409" s="1">
        <f t="shared" si="165"/>
        <v>1.0150466445982547</v>
      </c>
      <c r="J409" s="31">
        <v>51600</v>
      </c>
      <c r="K409" s="31">
        <v>5609</v>
      </c>
      <c r="L409" s="31">
        <v>57209</v>
      </c>
      <c r="M409" s="45">
        <f t="shared" si="167"/>
        <v>17.216069816430934</v>
      </c>
      <c r="N409" s="31">
        <v>15405</v>
      </c>
      <c r="O409" s="31">
        <v>0</v>
      </c>
      <c r="P409" s="31">
        <v>5390</v>
      </c>
      <c r="Q409" s="31">
        <v>20795</v>
      </c>
      <c r="R409" s="45">
        <f t="shared" si="168"/>
        <v>6.2578994884140835</v>
      </c>
      <c r="S409" s="31">
        <v>9886</v>
      </c>
      <c r="T409" s="31">
        <v>87890</v>
      </c>
      <c r="U409" s="31">
        <v>0</v>
      </c>
      <c r="V409" s="31">
        <v>87890</v>
      </c>
      <c r="W409" s="45">
        <f t="shared" si="169"/>
        <v>26.448991874811917</v>
      </c>
      <c r="X409" s="4">
        <f t="shared" si="170"/>
        <v>0.65091591762430312</v>
      </c>
      <c r="Y409" s="4">
        <f t="shared" si="171"/>
        <v>0.23660257139606325</v>
      </c>
      <c r="Z409" s="4">
        <f t="shared" si="172"/>
        <v>0.11248151097963363</v>
      </c>
      <c r="AA409" s="4">
        <f t="shared" si="173"/>
        <v>0</v>
      </c>
      <c r="AB409" s="31">
        <v>0</v>
      </c>
      <c r="AC409" s="31">
        <v>20795</v>
      </c>
      <c r="AD409" s="31">
        <v>87891</v>
      </c>
      <c r="AE409" s="31">
        <v>87891</v>
      </c>
      <c r="AF409" s="31">
        <v>88391</v>
      </c>
      <c r="AG409" s="31">
        <v>0</v>
      </c>
      <c r="AH409" s="31">
        <v>0</v>
      </c>
      <c r="AI409" s="31">
        <v>88391</v>
      </c>
      <c r="AJ409" s="45">
        <f t="shared" si="174"/>
        <v>26.599759253686429</v>
      </c>
      <c r="AK409" s="31">
        <v>0</v>
      </c>
      <c r="AL409" s="31">
        <v>0</v>
      </c>
      <c r="AM409" s="31">
        <v>0</v>
      </c>
      <c r="AN409" s="31">
        <v>0</v>
      </c>
      <c r="AO409" s="31">
        <v>0</v>
      </c>
      <c r="AP409" s="31">
        <v>0</v>
      </c>
      <c r="AQ409" s="31">
        <v>0</v>
      </c>
      <c r="AR409" s="31">
        <v>88391</v>
      </c>
      <c r="AS409" s="46">
        <f t="shared" si="175"/>
        <v>26.599759253686429</v>
      </c>
      <c r="AT409" s="31">
        <v>0</v>
      </c>
      <c r="AU409" s="31">
        <v>0</v>
      </c>
      <c r="AV409" s="31">
        <v>0</v>
      </c>
      <c r="AW409" s="31">
        <v>0</v>
      </c>
      <c r="AX409" s="31">
        <v>0</v>
      </c>
      <c r="AY409" s="31">
        <v>0</v>
      </c>
      <c r="AZ409" s="31">
        <v>0</v>
      </c>
      <c r="BA409" s="31">
        <v>0</v>
      </c>
      <c r="BB409" s="31">
        <v>0</v>
      </c>
      <c r="BC409" s="33" t="s">
        <v>25</v>
      </c>
      <c r="BD409" s="47">
        <v>13592</v>
      </c>
      <c r="BE409" s="47">
        <v>13697</v>
      </c>
      <c r="BF409" s="45">
        <f t="shared" si="176"/>
        <v>4.121877821245862</v>
      </c>
      <c r="BG409" s="30">
        <v>761</v>
      </c>
      <c r="BH409" s="30">
        <v>766</v>
      </c>
      <c r="BI409" s="30">
        <v>297</v>
      </c>
      <c r="BJ409" s="30">
        <v>143</v>
      </c>
      <c r="BK409" s="30">
        <v>146</v>
      </c>
      <c r="BL409" s="30">
        <v>0</v>
      </c>
      <c r="BM409" s="30">
        <v>6640</v>
      </c>
      <c r="BN409" s="30">
        <v>0</v>
      </c>
      <c r="BO409" s="30">
        <v>51</v>
      </c>
      <c r="BP409" s="30">
        <v>0</v>
      </c>
      <c r="BQ409" s="30">
        <v>51</v>
      </c>
      <c r="BR409" s="47">
        <v>14496</v>
      </c>
      <c r="BS409" s="47">
        <v>21546</v>
      </c>
      <c r="BT409" s="1">
        <f t="shared" si="177"/>
        <v>6.4839000902798674</v>
      </c>
      <c r="BU409" s="30">
        <v>10</v>
      </c>
      <c r="BV409" s="30">
        <v>3</v>
      </c>
      <c r="BW409" s="47">
        <v>3006</v>
      </c>
      <c r="BX409" s="52">
        <f t="shared" si="178"/>
        <v>0.90460427324706594</v>
      </c>
      <c r="BY409" s="47">
        <v>2400</v>
      </c>
      <c r="BZ409" s="47">
        <v>86</v>
      </c>
      <c r="CA409" s="47">
        <v>7788</v>
      </c>
      <c r="CB409" s="47">
        <v>804</v>
      </c>
      <c r="CC409" s="47">
        <v>11078</v>
      </c>
      <c r="CD409" s="55">
        <f t="shared" si="179"/>
        <v>3.3337345771892868</v>
      </c>
      <c r="CE409" s="3">
        <f t="shared" si="180"/>
        <v>7385.333333333333</v>
      </c>
      <c r="CF409" s="55">
        <f t="shared" si="181"/>
        <v>7.475033738191633</v>
      </c>
      <c r="CG409" s="55">
        <f t="shared" si="182"/>
        <v>0.54909541511771998</v>
      </c>
      <c r="CH409" s="55">
        <f t="shared" si="183"/>
        <v>0.4728487886382623</v>
      </c>
      <c r="CI409" s="30">
        <v>5</v>
      </c>
      <c r="CJ409" s="30">
        <v>2</v>
      </c>
      <c r="CK409" s="30">
        <v>15</v>
      </c>
      <c r="CL409" s="30">
        <v>22</v>
      </c>
      <c r="CM409" s="30">
        <v>310</v>
      </c>
      <c r="CN409" s="30">
        <v>50</v>
      </c>
      <c r="CO409" s="30">
        <v>275</v>
      </c>
      <c r="CP409" s="30">
        <v>635</v>
      </c>
      <c r="CQ409" s="1">
        <f t="shared" si="191"/>
        <v>0.19109238639783327</v>
      </c>
      <c r="CR409" s="47">
        <v>20175</v>
      </c>
      <c r="CS409" s="55">
        <f t="shared" si="184"/>
        <v>6.0713210953957271</v>
      </c>
      <c r="CT409" s="59">
        <v>1661</v>
      </c>
      <c r="CU409" s="29" t="s">
        <v>25</v>
      </c>
      <c r="CV409" s="29" t="s">
        <v>25</v>
      </c>
      <c r="CW409" s="29" t="s">
        <v>25</v>
      </c>
      <c r="CX409" s="35">
        <v>0</v>
      </c>
      <c r="CY409" s="49">
        <v>0</v>
      </c>
      <c r="CZ409" s="35">
        <v>1</v>
      </c>
      <c r="DA409" s="35">
        <v>0.5</v>
      </c>
      <c r="DB409" s="35">
        <v>1.5</v>
      </c>
      <c r="DC409" s="49">
        <f t="shared" si="185"/>
        <v>2215.3333333333335</v>
      </c>
      <c r="DD409" s="30">
        <v>40</v>
      </c>
      <c r="DE409" s="31">
        <v>41000</v>
      </c>
      <c r="DF409" s="35">
        <v>40</v>
      </c>
      <c r="DG409" s="29" t="s">
        <v>25</v>
      </c>
      <c r="DH409" s="29" t="s">
        <v>25</v>
      </c>
      <c r="DI409" s="29" t="s">
        <v>25</v>
      </c>
      <c r="DJ409" s="47">
        <v>1</v>
      </c>
      <c r="DK409" s="47">
        <v>0</v>
      </c>
      <c r="DL409" s="47">
        <v>10</v>
      </c>
      <c r="DM409" s="47">
        <v>2444</v>
      </c>
      <c r="DN409" s="47">
        <v>2000</v>
      </c>
      <c r="DO409" s="47">
        <v>1000</v>
      </c>
      <c r="DP409" s="29" t="s">
        <v>2028</v>
      </c>
      <c r="DQ409" s="47">
        <v>0</v>
      </c>
      <c r="DR409" s="47">
        <v>1482</v>
      </c>
      <c r="DS409" s="30">
        <v>50</v>
      </c>
      <c r="DT409" s="30">
        <v>30</v>
      </c>
      <c r="DU409" s="30">
        <v>30</v>
      </c>
      <c r="DV409" s="30">
        <v>30</v>
      </c>
      <c r="DX409" s="2">
        <f t="shared" si="186"/>
        <v>1482</v>
      </c>
      <c r="DY409" s="33" t="s">
        <v>2178</v>
      </c>
      <c r="DZ409" s="33" t="s">
        <v>1084</v>
      </c>
      <c r="EA409" s="33" t="s">
        <v>2030</v>
      </c>
      <c r="EB409" s="33" t="s">
        <v>2027</v>
      </c>
      <c r="EC409" s="36">
        <v>319</v>
      </c>
      <c r="ED409" s="29" t="s">
        <v>1083</v>
      </c>
      <c r="EE409" s="29" t="s">
        <v>47</v>
      </c>
      <c r="EF409" s="37">
        <v>41548</v>
      </c>
      <c r="EG409" s="37">
        <v>41912</v>
      </c>
      <c r="EH409" s="29" t="s">
        <v>1083</v>
      </c>
      <c r="EI409" s="55">
        <f t="shared" si="187"/>
        <v>0.7222389407162203</v>
      </c>
      <c r="EJ409" s="54">
        <f t="shared" si="188"/>
        <v>2.5880228708997893E-2</v>
      </c>
      <c r="EK409" s="55">
        <f t="shared" si="189"/>
        <v>2.3436653626241348</v>
      </c>
      <c r="EL409" s="54">
        <f t="shared" si="190"/>
        <v>0.24195004513993379</v>
      </c>
    </row>
    <row r="410" spans="1:142" ht="28.8" x14ac:dyDescent="0.3">
      <c r="A410" s="29" t="s">
        <v>97</v>
      </c>
      <c r="B410" s="29"/>
      <c r="C410" s="30">
        <v>7577</v>
      </c>
      <c r="D410" s="30">
        <v>0</v>
      </c>
      <c r="E410" s="30">
        <v>0</v>
      </c>
      <c r="F410" s="30">
        <v>2200</v>
      </c>
      <c r="H410" s="2">
        <f t="shared" si="166"/>
        <v>2200</v>
      </c>
      <c r="I410" s="1">
        <f t="shared" si="165"/>
        <v>0.29035238220931769</v>
      </c>
      <c r="J410" s="31">
        <v>31602</v>
      </c>
      <c r="K410" s="31">
        <v>4236</v>
      </c>
      <c r="L410" s="31">
        <v>35838</v>
      </c>
      <c r="M410" s="45">
        <f t="shared" si="167"/>
        <v>4.7298403061897849</v>
      </c>
      <c r="N410" s="31">
        <v>8454</v>
      </c>
      <c r="O410" s="31">
        <v>0</v>
      </c>
      <c r="P410" s="31">
        <v>901</v>
      </c>
      <c r="Q410" s="31">
        <v>9355</v>
      </c>
      <c r="R410" s="45">
        <f t="shared" si="168"/>
        <v>1.2346575161673485</v>
      </c>
      <c r="S410" s="31">
        <v>14805</v>
      </c>
      <c r="T410" s="31">
        <v>59998</v>
      </c>
      <c r="U410" s="31">
        <v>0</v>
      </c>
      <c r="V410" s="31">
        <v>59998</v>
      </c>
      <c r="W410" s="45">
        <f t="shared" si="169"/>
        <v>7.9184373762702913</v>
      </c>
      <c r="X410" s="4">
        <f t="shared" si="170"/>
        <v>0.59731991066368884</v>
      </c>
      <c r="Y410" s="4">
        <f t="shared" si="171"/>
        <v>0.1559218640621354</v>
      </c>
      <c r="Z410" s="4">
        <f t="shared" si="172"/>
        <v>0.24675822527417582</v>
      </c>
      <c r="AA410" s="4">
        <f t="shared" si="173"/>
        <v>0</v>
      </c>
      <c r="AB410" s="31">
        <v>0</v>
      </c>
      <c r="AC410" s="31">
        <v>9255</v>
      </c>
      <c r="AD410" s="31">
        <v>59898</v>
      </c>
      <c r="AE410" s="31">
        <v>59898</v>
      </c>
      <c r="AF410" s="31">
        <v>53898</v>
      </c>
      <c r="AG410" s="31">
        <v>6000</v>
      </c>
      <c r="AH410" s="31">
        <v>0</v>
      </c>
      <c r="AI410" s="31">
        <v>59898</v>
      </c>
      <c r="AJ410" s="45">
        <f t="shared" si="174"/>
        <v>7.9052395407153231</v>
      </c>
      <c r="AK410" s="31">
        <v>0</v>
      </c>
      <c r="AL410" s="31">
        <v>0</v>
      </c>
      <c r="AM410" s="31">
        <v>0</v>
      </c>
      <c r="AN410" s="31">
        <v>0</v>
      </c>
      <c r="AO410" s="31">
        <v>0</v>
      </c>
      <c r="AP410" s="31">
        <v>4559</v>
      </c>
      <c r="AQ410" s="31">
        <v>4559</v>
      </c>
      <c r="AR410" s="31">
        <v>64457</v>
      </c>
      <c r="AS410" s="46">
        <f t="shared" si="175"/>
        <v>8.5069288636663583</v>
      </c>
      <c r="AT410" s="31">
        <v>0</v>
      </c>
      <c r="AU410" s="31">
        <v>0</v>
      </c>
      <c r="AV410" s="31">
        <v>0</v>
      </c>
      <c r="AW410" s="31">
        <v>0</v>
      </c>
      <c r="AX410" s="31">
        <v>0</v>
      </c>
      <c r="AY410" s="31">
        <v>0</v>
      </c>
      <c r="AZ410" s="31">
        <v>0</v>
      </c>
      <c r="BA410" s="31">
        <v>0</v>
      </c>
      <c r="BB410" s="31">
        <v>0</v>
      </c>
      <c r="BC410" s="33" t="s">
        <v>25</v>
      </c>
      <c r="BD410" s="47">
        <v>12778</v>
      </c>
      <c r="BE410" s="47">
        <v>13025</v>
      </c>
      <c r="BF410" s="45">
        <f t="shared" si="176"/>
        <v>1.7190180810347102</v>
      </c>
      <c r="BG410" s="30">
        <v>274</v>
      </c>
      <c r="BH410" s="30">
        <v>274</v>
      </c>
      <c r="BI410" s="30">
        <v>0</v>
      </c>
      <c r="BJ410" s="30">
        <v>256</v>
      </c>
      <c r="BK410" s="30">
        <v>256</v>
      </c>
      <c r="BL410" s="30">
        <v>0</v>
      </c>
      <c r="BM410" s="30">
        <v>0</v>
      </c>
      <c r="BN410" s="30">
        <v>0</v>
      </c>
      <c r="BO410" s="30">
        <v>51</v>
      </c>
      <c r="BP410" s="30">
        <v>0</v>
      </c>
      <c r="BQ410" s="30">
        <v>51</v>
      </c>
      <c r="BR410" s="47">
        <v>13308</v>
      </c>
      <c r="BS410" s="47">
        <v>13555</v>
      </c>
      <c r="BT410" s="1">
        <f t="shared" si="177"/>
        <v>1.7889666094760459</v>
      </c>
      <c r="BU410" s="30">
        <v>21</v>
      </c>
      <c r="BV410" s="30">
        <v>0</v>
      </c>
      <c r="BW410" s="47">
        <v>512</v>
      </c>
      <c r="BX410" s="52">
        <f t="shared" si="178"/>
        <v>6.7572918041441207E-2</v>
      </c>
      <c r="BY410" s="47">
        <v>3688</v>
      </c>
      <c r="BZ410" s="47">
        <v>0</v>
      </c>
      <c r="CA410" s="47">
        <v>8405</v>
      </c>
      <c r="CB410" s="47">
        <v>0</v>
      </c>
      <c r="CC410" s="47">
        <v>12093</v>
      </c>
      <c r="CD410" s="55">
        <f t="shared" si="179"/>
        <v>1.5960142536623994</v>
      </c>
      <c r="CE410" s="3">
        <f t="shared" si="180"/>
        <v>6046.5</v>
      </c>
      <c r="CF410" s="55">
        <f t="shared" si="181"/>
        <v>5.8818093385214008</v>
      </c>
      <c r="CG410" s="55">
        <f t="shared" si="182"/>
        <v>1.2965583788999679</v>
      </c>
      <c r="CH410" s="55">
        <f t="shared" si="183"/>
        <v>0.89214312061969758</v>
      </c>
      <c r="CI410" s="30">
        <v>18</v>
      </c>
      <c r="CJ410" s="30">
        <v>5</v>
      </c>
      <c r="CK410" s="30">
        <v>7</v>
      </c>
      <c r="CL410" s="30">
        <v>30</v>
      </c>
      <c r="CM410" s="30">
        <v>536</v>
      </c>
      <c r="CN410" s="30">
        <v>19</v>
      </c>
      <c r="CO410" s="30">
        <v>112</v>
      </c>
      <c r="CP410" s="30">
        <v>667</v>
      </c>
      <c r="CQ410" s="1">
        <f t="shared" si="191"/>
        <v>8.8029563151643134E-2</v>
      </c>
      <c r="CR410" s="47">
        <v>9327</v>
      </c>
      <c r="CS410" s="55">
        <f t="shared" si="184"/>
        <v>1.2309621222119573</v>
      </c>
      <c r="CT410" s="59">
        <v>5221</v>
      </c>
      <c r="CU410" s="29" t="s">
        <v>25</v>
      </c>
      <c r="CV410" s="29" t="s">
        <v>25</v>
      </c>
      <c r="CW410" s="29" t="s">
        <v>25</v>
      </c>
      <c r="CX410" s="35">
        <v>0</v>
      </c>
      <c r="CY410" s="49">
        <v>0</v>
      </c>
      <c r="CZ410" s="35">
        <v>1</v>
      </c>
      <c r="DA410" s="35">
        <v>1</v>
      </c>
      <c r="DB410" s="35">
        <v>2</v>
      </c>
      <c r="DC410" s="49">
        <f t="shared" si="185"/>
        <v>3788.5</v>
      </c>
      <c r="DD410" s="30">
        <v>160</v>
      </c>
      <c r="DE410" s="31">
        <v>20526</v>
      </c>
      <c r="DF410" s="35">
        <v>40</v>
      </c>
      <c r="DG410" s="29" t="s">
        <v>25</v>
      </c>
      <c r="DH410" s="29" t="s">
        <v>25</v>
      </c>
      <c r="DI410" s="29" t="s">
        <v>25</v>
      </c>
      <c r="DJ410" s="47">
        <v>3</v>
      </c>
      <c r="DK410" s="47">
        <v>0</v>
      </c>
      <c r="DL410" s="47">
        <v>12</v>
      </c>
      <c r="DM410" s="47">
        <v>4983</v>
      </c>
      <c r="DN410" s="47">
        <v>431</v>
      </c>
      <c r="DO410" s="47">
        <v>260</v>
      </c>
      <c r="DP410" s="29" t="s">
        <v>2028</v>
      </c>
      <c r="DQ410" s="47">
        <v>0</v>
      </c>
      <c r="DR410" s="47">
        <v>2056</v>
      </c>
      <c r="DS410" s="30">
        <v>51</v>
      </c>
      <c r="DT410" s="30">
        <v>40</v>
      </c>
      <c r="DU410" s="30">
        <v>40</v>
      </c>
      <c r="DV410" s="30">
        <v>40</v>
      </c>
      <c r="DX410" s="2">
        <f t="shared" si="186"/>
        <v>2056</v>
      </c>
      <c r="DY410" s="33" t="s">
        <v>2187</v>
      </c>
      <c r="DZ410" s="33" t="s">
        <v>1086</v>
      </c>
      <c r="EA410" s="33" t="s">
        <v>2030</v>
      </c>
      <c r="EB410" s="33" t="s">
        <v>2027</v>
      </c>
      <c r="EC410" s="36">
        <v>320</v>
      </c>
      <c r="ED410" s="29" t="s">
        <v>1085</v>
      </c>
      <c r="EE410" s="29" t="s">
        <v>730</v>
      </c>
      <c r="EF410" s="37">
        <v>41548</v>
      </c>
      <c r="EG410" s="37">
        <v>41912</v>
      </c>
      <c r="EH410" s="29" t="s">
        <v>1085</v>
      </c>
      <c r="EI410" s="55">
        <f t="shared" si="187"/>
        <v>0.48673617526725615</v>
      </c>
      <c r="EJ410" s="54">
        <f t="shared" si="188"/>
        <v>0</v>
      </c>
      <c r="EK410" s="55">
        <f t="shared" si="189"/>
        <v>1.1092780783951433</v>
      </c>
      <c r="EL410" s="54">
        <f t="shared" si="190"/>
        <v>0</v>
      </c>
    </row>
    <row r="411" spans="1:142" ht="28.8" x14ac:dyDescent="0.3">
      <c r="A411" s="29" t="s">
        <v>1587</v>
      </c>
      <c r="B411" s="29"/>
      <c r="C411" s="30">
        <v>3333</v>
      </c>
      <c r="D411" s="30">
        <v>0</v>
      </c>
      <c r="E411" s="30">
        <v>0</v>
      </c>
      <c r="F411" s="30">
        <v>3600</v>
      </c>
      <c r="H411" s="2">
        <f t="shared" si="166"/>
        <v>3600</v>
      </c>
      <c r="I411" s="1">
        <f t="shared" si="165"/>
        <v>1.0801080108010801</v>
      </c>
      <c r="J411" s="31">
        <v>10808</v>
      </c>
      <c r="K411" s="31">
        <v>1461</v>
      </c>
      <c r="L411" s="31">
        <v>12269</v>
      </c>
      <c r="M411" s="45">
        <f t="shared" si="167"/>
        <v>3.681068106810681</v>
      </c>
      <c r="N411" s="31">
        <v>3421</v>
      </c>
      <c r="O411" s="31">
        <v>1500</v>
      </c>
      <c r="P411" s="31">
        <v>0</v>
      </c>
      <c r="Q411" s="31">
        <v>4921</v>
      </c>
      <c r="R411" s="45">
        <f t="shared" si="168"/>
        <v>1.4764476447644765</v>
      </c>
      <c r="S411" s="31">
        <v>10568</v>
      </c>
      <c r="T411" s="31">
        <v>27758</v>
      </c>
      <c r="U411" s="31">
        <v>0</v>
      </c>
      <c r="V411" s="31">
        <v>27758</v>
      </c>
      <c r="W411" s="45">
        <f t="shared" si="169"/>
        <v>8.3282328232823275</v>
      </c>
      <c r="X411" s="4">
        <f t="shared" si="170"/>
        <v>0.44199870307659056</v>
      </c>
      <c r="Y411" s="4">
        <f t="shared" si="171"/>
        <v>0.17728222494416024</v>
      </c>
      <c r="Z411" s="4">
        <f t="shared" si="172"/>
        <v>0.3807190719792492</v>
      </c>
      <c r="AA411" s="4">
        <f t="shared" si="173"/>
        <v>0</v>
      </c>
      <c r="AB411" s="31">
        <v>81203</v>
      </c>
      <c r="AC411" s="31">
        <v>4921</v>
      </c>
      <c r="AD411" s="31">
        <v>22725</v>
      </c>
      <c r="AE411" s="31">
        <v>13943</v>
      </c>
      <c r="AF411" s="31">
        <v>11663</v>
      </c>
      <c r="AG411" s="31">
        <v>2280</v>
      </c>
      <c r="AH411" s="31">
        <v>0</v>
      </c>
      <c r="AI411" s="31">
        <v>13943</v>
      </c>
      <c r="AJ411" s="45">
        <f t="shared" si="174"/>
        <v>4.183318331833183</v>
      </c>
      <c r="AK411" s="31">
        <v>0</v>
      </c>
      <c r="AL411" s="31">
        <v>0</v>
      </c>
      <c r="AM411" s="31">
        <v>0</v>
      </c>
      <c r="AN411" s="31">
        <v>0</v>
      </c>
      <c r="AO411" s="31">
        <v>0</v>
      </c>
      <c r="AP411" s="31">
        <v>10776</v>
      </c>
      <c r="AQ411" s="31">
        <v>10776</v>
      </c>
      <c r="AR411" s="31">
        <v>24719</v>
      </c>
      <c r="AS411" s="46">
        <f t="shared" si="175"/>
        <v>7.4164416441644168</v>
      </c>
      <c r="AT411" s="31">
        <v>0</v>
      </c>
      <c r="AU411" s="31">
        <v>0</v>
      </c>
      <c r="AV411" s="31">
        <v>0</v>
      </c>
      <c r="AW411" s="31">
        <v>0</v>
      </c>
      <c r="AX411" s="31">
        <v>0</v>
      </c>
      <c r="AY411" s="31">
        <v>0</v>
      </c>
      <c r="AZ411" s="31">
        <v>43249</v>
      </c>
      <c r="BA411" s="31">
        <v>0</v>
      </c>
      <c r="BB411" s="31">
        <v>43249</v>
      </c>
      <c r="BC411" s="33" t="s">
        <v>25</v>
      </c>
      <c r="BD411" s="47">
        <v>7470</v>
      </c>
      <c r="BE411" s="47">
        <v>7534</v>
      </c>
      <c r="BF411" s="45">
        <f t="shared" si="176"/>
        <v>2.2604260426042604</v>
      </c>
      <c r="BG411" s="30">
        <v>401</v>
      </c>
      <c r="BH411" s="30">
        <v>402</v>
      </c>
      <c r="BI411" s="30">
        <v>1478</v>
      </c>
      <c r="BJ411" s="30">
        <v>311</v>
      </c>
      <c r="BK411" s="30">
        <v>311</v>
      </c>
      <c r="BL411" s="30">
        <v>24</v>
      </c>
      <c r="BM411" s="30">
        <v>11153</v>
      </c>
      <c r="BN411" s="30">
        <v>1</v>
      </c>
      <c r="BO411" s="30">
        <v>51</v>
      </c>
      <c r="BP411" s="30">
        <v>0</v>
      </c>
      <c r="BQ411" s="30">
        <v>52</v>
      </c>
      <c r="BR411" s="47">
        <v>8182</v>
      </c>
      <c r="BS411" s="47">
        <v>20903</v>
      </c>
      <c r="BT411" s="1">
        <f t="shared" si="177"/>
        <v>6.2715271527152714</v>
      </c>
      <c r="BU411" s="30">
        <v>12</v>
      </c>
      <c r="BV411" s="30">
        <v>0</v>
      </c>
      <c r="BW411" s="47">
        <v>200</v>
      </c>
      <c r="BX411" s="52">
        <f t="shared" si="178"/>
        <v>6.0006000600060005E-2</v>
      </c>
      <c r="BY411" s="47">
        <v>1516</v>
      </c>
      <c r="BZ411" s="47">
        <v>133</v>
      </c>
      <c r="CA411" s="47">
        <v>4065</v>
      </c>
      <c r="CB411" s="47">
        <v>1002</v>
      </c>
      <c r="CC411" s="47">
        <v>6716</v>
      </c>
      <c r="CD411" s="55">
        <f t="shared" si="179"/>
        <v>2.015001500150015</v>
      </c>
      <c r="CE411" s="3">
        <f t="shared" si="180"/>
        <v>13432</v>
      </c>
      <c r="CF411" s="55">
        <f t="shared" si="181"/>
        <v>5.8706293706293708</v>
      </c>
      <c r="CG411" s="55">
        <f t="shared" si="182"/>
        <v>0.71736808374279004</v>
      </c>
      <c r="CH411" s="55">
        <f t="shared" si="183"/>
        <v>0.26699516815768071</v>
      </c>
      <c r="CI411" s="30">
        <v>39</v>
      </c>
      <c r="CJ411" s="30">
        <v>21</v>
      </c>
      <c r="CK411" s="30">
        <v>35</v>
      </c>
      <c r="CL411" s="30">
        <v>95</v>
      </c>
      <c r="CM411" s="30">
        <v>398</v>
      </c>
      <c r="CN411" s="30">
        <v>206</v>
      </c>
      <c r="CO411" s="30">
        <v>417</v>
      </c>
      <c r="CP411" s="30">
        <v>1021</v>
      </c>
      <c r="CQ411" s="1">
        <f t="shared" si="191"/>
        <v>0.30633063306330632</v>
      </c>
      <c r="CR411" s="47">
        <v>9362</v>
      </c>
      <c r="CS411" s="55">
        <f t="shared" si="184"/>
        <v>2.808880888088809</v>
      </c>
      <c r="CT411" s="59">
        <v>3815</v>
      </c>
      <c r="CU411" s="29" t="s">
        <v>25</v>
      </c>
      <c r="CV411" s="29" t="s">
        <v>25</v>
      </c>
      <c r="CW411" s="29" t="s">
        <v>25</v>
      </c>
      <c r="CX411" s="35">
        <v>0</v>
      </c>
      <c r="CY411" s="49">
        <v>0</v>
      </c>
      <c r="CZ411" s="35">
        <v>0.5</v>
      </c>
      <c r="DA411" s="35">
        <v>0</v>
      </c>
      <c r="DB411" s="35">
        <v>0.5</v>
      </c>
      <c r="DC411" s="49">
        <f t="shared" si="185"/>
        <v>6666</v>
      </c>
      <c r="DD411" s="30">
        <v>4235</v>
      </c>
      <c r="DE411" s="31">
        <v>15608</v>
      </c>
      <c r="DF411" s="35">
        <v>20</v>
      </c>
      <c r="DG411" s="29" t="s">
        <v>25</v>
      </c>
      <c r="DH411" s="29" t="s">
        <v>26</v>
      </c>
      <c r="DI411" s="29" t="s">
        <v>26</v>
      </c>
      <c r="DJ411" s="47">
        <v>0</v>
      </c>
      <c r="DK411" s="47">
        <v>0</v>
      </c>
      <c r="DL411" s="47">
        <v>11</v>
      </c>
      <c r="DM411" s="47">
        <v>2568</v>
      </c>
      <c r="DN411" s="47">
        <v>200</v>
      </c>
      <c r="DO411" s="47">
        <v>471</v>
      </c>
      <c r="DP411" s="29" t="s">
        <v>2028</v>
      </c>
      <c r="DQ411" s="47">
        <v>0</v>
      </c>
      <c r="DR411" s="47">
        <v>1144</v>
      </c>
      <c r="DS411" s="30">
        <v>50</v>
      </c>
      <c r="DT411" s="30">
        <v>26</v>
      </c>
      <c r="DU411" s="30">
        <v>26</v>
      </c>
      <c r="DV411" s="30">
        <v>26</v>
      </c>
      <c r="DX411" s="2">
        <f t="shared" si="186"/>
        <v>1144</v>
      </c>
      <c r="DY411" s="33" t="s">
        <v>2182</v>
      </c>
      <c r="DZ411" s="33" t="s">
        <v>1589</v>
      </c>
      <c r="EA411" s="33" t="s">
        <v>2030</v>
      </c>
      <c r="EB411" s="33" t="s">
        <v>2027</v>
      </c>
      <c r="EC411" s="36">
        <v>534</v>
      </c>
      <c r="ED411" s="29" t="s">
        <v>1588</v>
      </c>
      <c r="EE411" s="29" t="s">
        <v>421</v>
      </c>
      <c r="EF411" s="37">
        <v>41548</v>
      </c>
      <c r="EG411" s="37">
        <v>41912</v>
      </c>
      <c r="EH411" s="29" t="s">
        <v>1588</v>
      </c>
      <c r="EI411" s="55">
        <f t="shared" si="187"/>
        <v>0.45484548454845486</v>
      </c>
      <c r="EJ411" s="54">
        <f t="shared" si="188"/>
        <v>3.9903990399039906E-2</v>
      </c>
      <c r="EK411" s="55">
        <f t="shared" si="189"/>
        <v>1.2196219621962197</v>
      </c>
      <c r="EL411" s="54">
        <f t="shared" si="190"/>
        <v>0.30063006300630063</v>
      </c>
    </row>
    <row r="412" spans="1:142" ht="28.8" x14ac:dyDescent="0.3">
      <c r="A412" s="29" t="s">
        <v>1769</v>
      </c>
      <c r="B412" s="29"/>
      <c r="C412" s="30">
        <v>1363</v>
      </c>
      <c r="D412" s="30">
        <v>0</v>
      </c>
      <c r="E412" s="30">
        <v>0</v>
      </c>
      <c r="F412" s="30">
        <v>1200</v>
      </c>
      <c r="H412" s="2">
        <f t="shared" si="166"/>
        <v>1200</v>
      </c>
      <c r="I412" s="1">
        <f t="shared" si="165"/>
        <v>0.88041085840058697</v>
      </c>
      <c r="J412" s="31">
        <v>29924</v>
      </c>
      <c r="K412" s="31">
        <v>5273</v>
      </c>
      <c r="L412" s="31">
        <v>35197</v>
      </c>
      <c r="M412" s="45">
        <f t="shared" si="167"/>
        <v>25.823184152604547</v>
      </c>
      <c r="N412" s="31">
        <v>2134</v>
      </c>
      <c r="O412" s="31">
        <v>0</v>
      </c>
      <c r="P412" s="31">
        <v>0</v>
      </c>
      <c r="Q412" s="31">
        <v>2134</v>
      </c>
      <c r="R412" s="45">
        <f t="shared" si="168"/>
        <v>1.5656639765223772</v>
      </c>
      <c r="S412" s="31">
        <v>3297</v>
      </c>
      <c r="T412" s="31">
        <v>40628</v>
      </c>
      <c r="U412" s="31">
        <v>0</v>
      </c>
      <c r="V412" s="31">
        <v>40628</v>
      </c>
      <c r="W412" s="45">
        <f t="shared" si="169"/>
        <v>29.807776962582537</v>
      </c>
      <c r="X412" s="4">
        <f t="shared" si="170"/>
        <v>0.86632371763315941</v>
      </c>
      <c r="Y412" s="4">
        <f t="shared" si="171"/>
        <v>5.2525351974008073E-2</v>
      </c>
      <c r="Z412" s="4">
        <f t="shared" si="172"/>
        <v>8.1150930392832527E-2</v>
      </c>
      <c r="AA412" s="4">
        <f t="shared" si="173"/>
        <v>0</v>
      </c>
      <c r="AB412" s="31">
        <v>0</v>
      </c>
      <c r="AC412" s="31">
        <v>2134</v>
      </c>
      <c r="AD412" s="31">
        <v>40628</v>
      </c>
      <c r="AE412" s="31">
        <v>40628</v>
      </c>
      <c r="AF412" s="31">
        <v>0</v>
      </c>
      <c r="AG412" s="31">
        <v>0</v>
      </c>
      <c r="AH412" s="31">
        <v>40628</v>
      </c>
      <c r="AI412" s="31">
        <v>40628</v>
      </c>
      <c r="AJ412" s="45">
        <f t="shared" si="174"/>
        <v>29.807776962582537</v>
      </c>
      <c r="AK412" s="31">
        <v>0</v>
      </c>
      <c r="AL412" s="31">
        <v>0</v>
      </c>
      <c r="AM412" s="31">
        <v>0</v>
      </c>
      <c r="AN412" s="31">
        <v>0</v>
      </c>
      <c r="AO412" s="31">
        <v>673</v>
      </c>
      <c r="AP412" s="31">
        <v>1170</v>
      </c>
      <c r="AQ412" s="31">
        <v>1843</v>
      </c>
      <c r="AR412" s="31">
        <v>42471</v>
      </c>
      <c r="AS412" s="46">
        <f t="shared" si="175"/>
        <v>31.159941305942773</v>
      </c>
      <c r="AT412" s="31">
        <v>0</v>
      </c>
      <c r="AU412" s="31">
        <v>0</v>
      </c>
      <c r="AV412" s="31">
        <v>0</v>
      </c>
      <c r="AW412" s="31">
        <v>0</v>
      </c>
      <c r="AX412" s="31">
        <v>0</v>
      </c>
      <c r="AY412" s="31">
        <v>0</v>
      </c>
      <c r="AZ412" s="31">
        <v>0</v>
      </c>
      <c r="BA412" s="31">
        <v>0</v>
      </c>
      <c r="BB412" s="31">
        <v>0</v>
      </c>
      <c r="BC412" s="33" t="s">
        <v>25</v>
      </c>
      <c r="BD412" s="47">
        <v>8363</v>
      </c>
      <c r="BE412" s="47">
        <v>8889</v>
      </c>
      <c r="BF412" s="45">
        <f t="shared" si="176"/>
        <v>6.5216434336023479</v>
      </c>
      <c r="BG412" s="30">
        <v>186</v>
      </c>
      <c r="BH412" s="30">
        <v>210</v>
      </c>
      <c r="BI412" s="30">
        <v>0</v>
      </c>
      <c r="BJ412" s="30">
        <v>40</v>
      </c>
      <c r="BK412" s="30">
        <v>60</v>
      </c>
      <c r="BL412" s="30">
        <v>0</v>
      </c>
      <c r="BM412" s="30">
        <v>0</v>
      </c>
      <c r="BN412" s="30">
        <v>0</v>
      </c>
      <c r="BO412" s="30">
        <v>51</v>
      </c>
      <c r="BP412" s="30">
        <v>0</v>
      </c>
      <c r="BQ412" s="30">
        <v>51</v>
      </c>
      <c r="BR412" s="47">
        <v>8589</v>
      </c>
      <c r="BS412" s="47">
        <v>9159</v>
      </c>
      <c r="BT412" s="1">
        <f t="shared" si="177"/>
        <v>6.7197358767424795</v>
      </c>
      <c r="BU412" s="30">
        <v>11</v>
      </c>
      <c r="BV412" s="30">
        <v>0</v>
      </c>
      <c r="BW412" s="47">
        <v>8750</v>
      </c>
      <c r="BX412" s="52">
        <f t="shared" si="178"/>
        <v>6.4196625091709461</v>
      </c>
      <c r="BY412" s="47">
        <v>6975</v>
      </c>
      <c r="BZ412" s="47">
        <v>0</v>
      </c>
      <c r="CA412" s="47">
        <v>7428</v>
      </c>
      <c r="CB412" s="47">
        <v>0</v>
      </c>
      <c r="CC412" s="47">
        <v>14403</v>
      </c>
      <c r="CD412" s="55">
        <f t="shared" si="179"/>
        <v>10.567131327953044</v>
      </c>
      <c r="CE412" s="3">
        <f t="shared" si="180"/>
        <v>9602</v>
      </c>
      <c r="CF412" s="55">
        <f t="shared" si="181"/>
        <v>8.4723529411764709</v>
      </c>
      <c r="CG412" s="55">
        <f t="shared" si="182"/>
        <v>1.2975675675675675</v>
      </c>
      <c r="CH412" s="55">
        <f t="shared" si="183"/>
        <v>1.5725515886013757</v>
      </c>
      <c r="CI412" s="30">
        <v>259</v>
      </c>
      <c r="CJ412" s="30">
        <v>65</v>
      </c>
      <c r="CK412" s="30">
        <v>1</v>
      </c>
      <c r="CL412" s="30">
        <v>325</v>
      </c>
      <c r="CM412" s="30">
        <v>5180</v>
      </c>
      <c r="CN412" s="30">
        <v>700</v>
      </c>
      <c r="CO412" s="30">
        <v>10</v>
      </c>
      <c r="CP412" s="30">
        <v>5890</v>
      </c>
      <c r="CQ412" s="1">
        <f t="shared" si="191"/>
        <v>4.321349963316214</v>
      </c>
      <c r="CR412" s="47">
        <v>11100</v>
      </c>
      <c r="CS412" s="55">
        <f t="shared" si="184"/>
        <v>8.14380044020543</v>
      </c>
      <c r="CT412" s="59">
        <v>596</v>
      </c>
      <c r="CU412" s="29" t="s">
        <v>25</v>
      </c>
      <c r="CV412" s="29" t="s">
        <v>25</v>
      </c>
      <c r="CW412" s="29" t="s">
        <v>25</v>
      </c>
      <c r="CX412" s="35">
        <v>0</v>
      </c>
      <c r="CY412" s="49">
        <v>0</v>
      </c>
      <c r="CZ412" s="35">
        <v>1</v>
      </c>
      <c r="DA412" s="35">
        <v>0.5</v>
      </c>
      <c r="DB412" s="35">
        <v>1.5</v>
      </c>
      <c r="DC412" s="49">
        <f t="shared" si="185"/>
        <v>908.66666666666663</v>
      </c>
      <c r="DD412" s="30">
        <v>360</v>
      </c>
      <c r="DE412" s="31">
        <v>29449</v>
      </c>
      <c r="DF412" s="35">
        <v>40</v>
      </c>
      <c r="DG412" s="29" t="s">
        <v>25</v>
      </c>
      <c r="DH412" s="29" t="s">
        <v>26</v>
      </c>
      <c r="DI412" s="29" t="s">
        <v>26</v>
      </c>
      <c r="DJ412" s="47">
        <v>0</v>
      </c>
      <c r="DK412" s="47">
        <v>0</v>
      </c>
      <c r="DL412" s="47">
        <v>10</v>
      </c>
      <c r="DM412" s="47">
        <v>2500</v>
      </c>
      <c r="DN412" s="47">
        <v>2</v>
      </c>
      <c r="DO412" s="47">
        <v>0</v>
      </c>
      <c r="DP412" s="29" t="s">
        <v>2028</v>
      </c>
      <c r="DQ412" s="47">
        <v>0</v>
      </c>
      <c r="DR412" s="47">
        <v>1700</v>
      </c>
      <c r="DS412" s="30">
        <v>50</v>
      </c>
      <c r="DT412" s="30">
        <v>42</v>
      </c>
      <c r="DU412" s="30">
        <v>42</v>
      </c>
      <c r="DV412" s="30">
        <v>20</v>
      </c>
      <c r="DX412" s="2">
        <f t="shared" si="186"/>
        <v>1700</v>
      </c>
      <c r="DY412" s="33" t="s">
        <v>2186</v>
      </c>
      <c r="DZ412" s="33" t="s">
        <v>1770</v>
      </c>
      <c r="EA412" s="33" t="s">
        <v>2032</v>
      </c>
      <c r="EB412" s="33" t="s">
        <v>2027</v>
      </c>
      <c r="EC412" s="36">
        <v>617</v>
      </c>
      <c r="ED412" s="29" t="s">
        <v>1768</v>
      </c>
      <c r="EE412" s="29" t="s">
        <v>241</v>
      </c>
      <c r="EF412" s="37">
        <v>41518</v>
      </c>
      <c r="EG412" s="37">
        <v>41882</v>
      </c>
      <c r="EH412" s="29" t="s">
        <v>1768</v>
      </c>
      <c r="EI412" s="55">
        <f t="shared" si="187"/>
        <v>5.1173881144534112</v>
      </c>
      <c r="EJ412" s="54">
        <f t="shared" si="188"/>
        <v>0</v>
      </c>
      <c r="EK412" s="55">
        <f t="shared" si="189"/>
        <v>5.4497432134996329</v>
      </c>
      <c r="EL412" s="54">
        <f t="shared" si="190"/>
        <v>0</v>
      </c>
    </row>
    <row r="413" spans="1:142" ht="28.8" x14ac:dyDescent="0.3">
      <c r="A413" s="29" t="s">
        <v>866</v>
      </c>
      <c r="B413" s="29"/>
      <c r="C413" s="30">
        <v>5382</v>
      </c>
      <c r="D413" s="30">
        <v>0</v>
      </c>
      <c r="E413" s="30">
        <v>0</v>
      </c>
      <c r="F413" s="30">
        <v>3347</v>
      </c>
      <c r="H413" s="2">
        <f t="shared" si="166"/>
        <v>3347</v>
      </c>
      <c r="I413" s="1">
        <f t="shared" si="165"/>
        <v>0.62188777406168716</v>
      </c>
      <c r="J413" s="31">
        <v>58750</v>
      </c>
      <c r="K413" s="31">
        <v>22444</v>
      </c>
      <c r="L413" s="31">
        <v>81194</v>
      </c>
      <c r="M413" s="45">
        <f t="shared" si="167"/>
        <v>15.086213303604607</v>
      </c>
      <c r="N413" s="31">
        <v>13833</v>
      </c>
      <c r="O413" s="31">
        <v>0</v>
      </c>
      <c r="P413" s="31">
        <v>2717</v>
      </c>
      <c r="Q413" s="31">
        <v>16550</v>
      </c>
      <c r="R413" s="45">
        <f t="shared" si="168"/>
        <v>3.0750650315867709</v>
      </c>
      <c r="S413" s="31">
        <v>21899</v>
      </c>
      <c r="T413" s="31">
        <v>119643</v>
      </c>
      <c r="U413" s="31">
        <v>0</v>
      </c>
      <c r="V413" s="31">
        <v>119643</v>
      </c>
      <c r="W413" s="45">
        <f t="shared" si="169"/>
        <v>22.230211817168339</v>
      </c>
      <c r="X413" s="4">
        <f t="shared" si="170"/>
        <v>0.67863560759927455</v>
      </c>
      <c r="Y413" s="4">
        <f t="shared" si="171"/>
        <v>0.13832819304096353</v>
      </c>
      <c r="Z413" s="4">
        <f t="shared" si="172"/>
        <v>0.18303619935976195</v>
      </c>
      <c r="AA413" s="4">
        <f t="shared" si="173"/>
        <v>0</v>
      </c>
      <c r="AB413" s="31">
        <v>752</v>
      </c>
      <c r="AC413" s="31">
        <v>9500</v>
      </c>
      <c r="AD413" s="31">
        <v>97643</v>
      </c>
      <c r="AE413" s="31">
        <v>97643</v>
      </c>
      <c r="AF413" s="31">
        <v>98643</v>
      </c>
      <c r="AG413" s="31">
        <v>5000</v>
      </c>
      <c r="AH413" s="31">
        <v>0</v>
      </c>
      <c r="AI413" s="31">
        <v>103643</v>
      </c>
      <c r="AJ413" s="45">
        <f t="shared" si="174"/>
        <v>19.257339279078408</v>
      </c>
      <c r="AK413" s="31">
        <v>0</v>
      </c>
      <c r="AL413" s="31">
        <v>0</v>
      </c>
      <c r="AM413" s="31">
        <v>0</v>
      </c>
      <c r="AN413" s="31">
        <v>0</v>
      </c>
      <c r="AO413" s="31">
        <v>22000</v>
      </c>
      <c r="AP413" s="31">
        <v>750</v>
      </c>
      <c r="AQ413" s="31">
        <v>22750</v>
      </c>
      <c r="AR413" s="31">
        <v>126393</v>
      </c>
      <c r="AS413" s="46">
        <f t="shared" si="175"/>
        <v>23.484392419175027</v>
      </c>
      <c r="AT413" s="31">
        <v>648</v>
      </c>
      <c r="AU413" s="31">
        <v>0</v>
      </c>
      <c r="AV413" s="31">
        <v>0</v>
      </c>
      <c r="AW413" s="31">
        <v>0</v>
      </c>
      <c r="AX413" s="31">
        <v>0</v>
      </c>
      <c r="AY413" s="31">
        <v>0</v>
      </c>
      <c r="AZ413" s="31">
        <v>0</v>
      </c>
      <c r="BA413" s="31">
        <v>0</v>
      </c>
      <c r="BB413" s="31">
        <v>648</v>
      </c>
      <c r="BC413" s="33" t="s">
        <v>25</v>
      </c>
      <c r="BD413" s="47">
        <v>15966</v>
      </c>
      <c r="BE413" s="47">
        <v>15969</v>
      </c>
      <c r="BF413" s="45">
        <f t="shared" si="176"/>
        <v>2.9671125975473802</v>
      </c>
      <c r="BG413" s="30">
        <v>0</v>
      </c>
      <c r="BH413" s="30">
        <v>0</v>
      </c>
      <c r="BI413" s="30">
        <v>0</v>
      </c>
      <c r="BJ413" s="30">
        <v>994</v>
      </c>
      <c r="BK413" s="30">
        <v>994</v>
      </c>
      <c r="BL413" s="30">
        <v>0</v>
      </c>
      <c r="BM413" s="30">
        <v>0</v>
      </c>
      <c r="BN413" s="30">
        <v>1</v>
      </c>
      <c r="BO413" s="30">
        <v>51</v>
      </c>
      <c r="BP413" s="30">
        <v>0</v>
      </c>
      <c r="BQ413" s="30">
        <v>52</v>
      </c>
      <c r="BR413" s="47">
        <v>16960</v>
      </c>
      <c r="BS413" s="47">
        <v>16964</v>
      </c>
      <c r="BT413" s="1">
        <f t="shared" si="177"/>
        <v>3.1519881085098476</v>
      </c>
      <c r="BU413" s="30">
        <v>24</v>
      </c>
      <c r="BV413" s="30">
        <v>0</v>
      </c>
      <c r="BW413" s="47">
        <v>509</v>
      </c>
      <c r="BX413" s="52">
        <f t="shared" si="178"/>
        <v>9.4574507617985873E-2</v>
      </c>
      <c r="BY413" s="47">
        <v>6177</v>
      </c>
      <c r="BZ413" s="47">
        <v>0</v>
      </c>
      <c r="CA413" s="47">
        <v>9787</v>
      </c>
      <c r="CB413" s="47">
        <v>0</v>
      </c>
      <c r="CC413" s="47">
        <v>15964</v>
      </c>
      <c r="CD413" s="55">
        <f t="shared" si="179"/>
        <v>2.9661835748792269</v>
      </c>
      <c r="CE413" s="3">
        <f t="shared" si="180"/>
        <v>7601.9047619047615</v>
      </c>
      <c r="CF413" s="55">
        <f t="shared" si="181"/>
        <v>7.5372993389990555</v>
      </c>
      <c r="CG413" s="55">
        <f t="shared" si="182"/>
        <v>1.1936593390160013</v>
      </c>
      <c r="CH413" s="55">
        <f t="shared" si="183"/>
        <v>0.94105163876444231</v>
      </c>
      <c r="CI413" s="30">
        <v>84</v>
      </c>
      <c r="CJ413" s="30">
        <v>14</v>
      </c>
      <c r="CK413" s="30">
        <v>2</v>
      </c>
      <c r="CL413" s="30">
        <v>100</v>
      </c>
      <c r="CM413" s="30">
        <v>1634</v>
      </c>
      <c r="CN413" s="30">
        <v>610</v>
      </c>
      <c r="CO413" s="30">
        <v>24</v>
      </c>
      <c r="CP413" s="30">
        <v>2268</v>
      </c>
      <c r="CQ413" s="1">
        <f t="shared" si="191"/>
        <v>0.42140468227424749</v>
      </c>
      <c r="CR413" s="47">
        <v>13374</v>
      </c>
      <c r="CS413" s="55">
        <f t="shared" si="184"/>
        <v>2.4849498327759196</v>
      </c>
      <c r="CT413" s="59">
        <v>3670</v>
      </c>
      <c r="CU413" s="29" t="s">
        <v>25</v>
      </c>
      <c r="CV413" s="29" t="s">
        <v>25</v>
      </c>
      <c r="CW413" s="29" t="s">
        <v>25</v>
      </c>
      <c r="CX413" s="35">
        <v>0</v>
      </c>
      <c r="CY413" s="49">
        <v>0</v>
      </c>
      <c r="CZ413" s="35">
        <v>1</v>
      </c>
      <c r="DA413" s="35">
        <v>1.1000000000000001</v>
      </c>
      <c r="DB413" s="35">
        <v>2.1</v>
      </c>
      <c r="DC413" s="49">
        <f t="shared" si="185"/>
        <v>2562.8571428571427</v>
      </c>
      <c r="DD413" s="30">
        <v>40</v>
      </c>
      <c r="DE413" s="31">
        <v>23181</v>
      </c>
      <c r="DF413" s="35">
        <v>40</v>
      </c>
      <c r="DG413" s="29" t="s">
        <v>25</v>
      </c>
      <c r="DH413" s="29" t="s">
        <v>25</v>
      </c>
      <c r="DI413" s="29" t="s">
        <v>25</v>
      </c>
      <c r="DJ413" s="47">
        <v>79</v>
      </c>
      <c r="DK413" s="47">
        <v>28</v>
      </c>
      <c r="DL413" s="47">
        <v>16</v>
      </c>
      <c r="DM413" s="47">
        <v>5641</v>
      </c>
      <c r="DN413" s="47">
        <v>20</v>
      </c>
      <c r="DO413" s="47">
        <v>128</v>
      </c>
      <c r="DP413" s="29" t="s">
        <v>25</v>
      </c>
      <c r="DQ413" s="47">
        <v>4011</v>
      </c>
      <c r="DR413" s="47">
        <v>2118</v>
      </c>
      <c r="DS413" s="30">
        <v>50</v>
      </c>
      <c r="DT413" s="30">
        <v>44</v>
      </c>
      <c r="DU413" s="30">
        <v>44</v>
      </c>
      <c r="DV413" s="30">
        <v>44</v>
      </c>
      <c r="DX413" s="2">
        <f t="shared" si="186"/>
        <v>2118</v>
      </c>
      <c r="DY413" s="33" t="s">
        <v>2183</v>
      </c>
      <c r="DZ413" s="33" t="s">
        <v>1387</v>
      </c>
      <c r="EA413" s="33" t="s">
        <v>2030</v>
      </c>
      <c r="EB413" s="33" t="s">
        <v>2027</v>
      </c>
      <c r="EC413" s="36">
        <v>431</v>
      </c>
      <c r="ED413" s="29" t="s">
        <v>1386</v>
      </c>
      <c r="EE413" s="29" t="s">
        <v>866</v>
      </c>
      <c r="EF413" s="37">
        <v>41548</v>
      </c>
      <c r="EG413" s="37">
        <v>41912</v>
      </c>
      <c r="EH413" s="29" t="s">
        <v>1386</v>
      </c>
      <c r="EI413" s="55">
        <f t="shared" si="187"/>
        <v>1.1477146042363433</v>
      </c>
      <c r="EJ413" s="54">
        <f t="shared" si="188"/>
        <v>0</v>
      </c>
      <c r="EK413" s="55">
        <f t="shared" si="189"/>
        <v>1.8184689706428836</v>
      </c>
      <c r="EL413" s="54">
        <f t="shared" si="190"/>
        <v>0</v>
      </c>
    </row>
    <row r="414" spans="1:142" ht="28.8" x14ac:dyDescent="0.3">
      <c r="A414" s="29" t="s">
        <v>1720</v>
      </c>
      <c r="B414" s="29"/>
      <c r="C414" s="30">
        <v>8742</v>
      </c>
      <c r="D414" s="30">
        <v>0</v>
      </c>
      <c r="E414" s="30">
        <v>0</v>
      </c>
      <c r="F414" s="30">
        <v>4000</v>
      </c>
      <c r="H414" s="2">
        <f t="shared" si="166"/>
        <v>4000</v>
      </c>
      <c r="I414" s="1">
        <f t="shared" si="165"/>
        <v>0.45756119881034091</v>
      </c>
      <c r="J414" s="31">
        <v>50005</v>
      </c>
      <c r="K414" s="31">
        <v>10612</v>
      </c>
      <c r="L414" s="31">
        <v>60617</v>
      </c>
      <c r="M414" s="45">
        <f t="shared" si="167"/>
        <v>6.9339967970716083</v>
      </c>
      <c r="N414" s="31">
        <v>1679</v>
      </c>
      <c r="O414" s="31">
        <v>0</v>
      </c>
      <c r="P414" s="31">
        <v>1175</v>
      </c>
      <c r="Q414" s="31">
        <v>2854</v>
      </c>
      <c r="R414" s="45">
        <f t="shared" si="168"/>
        <v>0.3264699153511782</v>
      </c>
      <c r="S414" s="31">
        <v>32261</v>
      </c>
      <c r="T414" s="31">
        <v>95732</v>
      </c>
      <c r="U414" s="31">
        <v>10870</v>
      </c>
      <c r="V414" s="31">
        <v>106602</v>
      </c>
      <c r="W414" s="45">
        <f t="shared" si="169"/>
        <v>12.19423472889499</v>
      </c>
      <c r="X414" s="4">
        <f t="shared" si="170"/>
        <v>0.56862910639575237</v>
      </c>
      <c r="Y414" s="4">
        <f t="shared" si="171"/>
        <v>2.6772480816495001E-2</v>
      </c>
      <c r="Z414" s="4">
        <f t="shared" si="172"/>
        <v>0.3026303446464419</v>
      </c>
      <c r="AA414" s="4">
        <f t="shared" si="173"/>
        <v>0.10196806814131067</v>
      </c>
      <c r="AB414" s="31">
        <v>0</v>
      </c>
      <c r="AC414" s="31">
        <v>2854</v>
      </c>
      <c r="AD414" s="31">
        <v>98937</v>
      </c>
      <c r="AE414" s="31">
        <v>98937</v>
      </c>
      <c r="AF414" s="31">
        <v>63751</v>
      </c>
      <c r="AG414" s="31">
        <v>16621</v>
      </c>
      <c r="AH414" s="31">
        <v>0</v>
      </c>
      <c r="AI414" s="31">
        <v>80372</v>
      </c>
      <c r="AJ414" s="45">
        <f t="shared" si="174"/>
        <v>9.1937771676961795</v>
      </c>
      <c r="AK414" s="31">
        <v>0</v>
      </c>
      <c r="AL414" s="31">
        <v>0</v>
      </c>
      <c r="AM414" s="31">
        <v>0</v>
      </c>
      <c r="AN414" s="31">
        <v>0</v>
      </c>
      <c r="AO414" s="31">
        <v>7660</v>
      </c>
      <c r="AP414" s="31">
        <v>7700</v>
      </c>
      <c r="AQ414" s="31">
        <v>15360</v>
      </c>
      <c r="AR414" s="31">
        <v>95732</v>
      </c>
      <c r="AS414" s="46">
        <f t="shared" si="175"/>
        <v>10.950812171127888</v>
      </c>
      <c r="AT414" s="31">
        <v>0</v>
      </c>
      <c r="AU414" s="31">
        <v>0</v>
      </c>
      <c r="AV414" s="31">
        <v>0</v>
      </c>
      <c r="AW414" s="31">
        <v>0</v>
      </c>
      <c r="AX414" s="31">
        <v>0</v>
      </c>
      <c r="AY414" s="31">
        <v>0</v>
      </c>
      <c r="AZ414" s="31">
        <v>0</v>
      </c>
      <c r="BA414" s="31">
        <v>0</v>
      </c>
      <c r="BB414" s="31">
        <v>0</v>
      </c>
      <c r="BC414" s="33" t="s">
        <v>25</v>
      </c>
      <c r="BD414" s="47">
        <v>12193</v>
      </c>
      <c r="BE414" s="47">
        <v>12244</v>
      </c>
      <c r="BF414" s="45">
        <f t="shared" si="176"/>
        <v>1.4005948295584534</v>
      </c>
      <c r="BG414" s="30">
        <v>83</v>
      </c>
      <c r="BH414" s="30">
        <v>84</v>
      </c>
      <c r="BI414" s="30">
        <v>0</v>
      </c>
      <c r="BJ414" s="30">
        <v>1353</v>
      </c>
      <c r="BK414" s="30">
        <v>1355</v>
      </c>
      <c r="BL414" s="30">
        <v>0</v>
      </c>
      <c r="BM414" s="30">
        <v>0</v>
      </c>
      <c r="BN414" s="30">
        <v>0</v>
      </c>
      <c r="BO414" s="30">
        <v>51</v>
      </c>
      <c r="BP414" s="30">
        <v>0</v>
      </c>
      <c r="BQ414" s="30">
        <v>51</v>
      </c>
      <c r="BR414" s="47">
        <v>13629</v>
      </c>
      <c r="BS414" s="47">
        <v>13683</v>
      </c>
      <c r="BT414" s="1">
        <f t="shared" si="177"/>
        <v>1.5652024708304735</v>
      </c>
      <c r="BU414" s="30">
        <v>25</v>
      </c>
      <c r="BV414" s="30">
        <v>0</v>
      </c>
      <c r="BW414" s="47">
        <v>1300</v>
      </c>
      <c r="BX414" s="52">
        <f t="shared" si="178"/>
        <v>0.14870738961336077</v>
      </c>
      <c r="BY414" s="47">
        <v>3595</v>
      </c>
      <c r="BZ414" s="47">
        <v>0</v>
      </c>
      <c r="CA414" s="47">
        <v>9647</v>
      </c>
      <c r="CB414" s="47">
        <v>0</v>
      </c>
      <c r="CC414" s="47">
        <v>13242</v>
      </c>
      <c r="CD414" s="55">
        <f t="shared" si="179"/>
        <v>1.5147563486616336</v>
      </c>
      <c r="CE414" s="3">
        <f t="shared" si="180"/>
        <v>12038.181818181818</v>
      </c>
      <c r="CF414" s="55">
        <f t="shared" si="181"/>
        <v>6.8117283950617287</v>
      </c>
      <c r="CG414" s="55">
        <f t="shared" si="182"/>
        <v>2.1082630154434008</v>
      </c>
      <c r="CH414" s="55">
        <f t="shared" si="183"/>
        <v>0.96777022582766936</v>
      </c>
      <c r="CI414" s="30">
        <v>67</v>
      </c>
      <c r="CJ414" s="30">
        <v>0</v>
      </c>
      <c r="CK414" s="30">
        <v>13</v>
      </c>
      <c r="CL414" s="30">
        <v>80</v>
      </c>
      <c r="CM414" s="30">
        <v>584</v>
      </c>
      <c r="CN414" s="30">
        <v>0</v>
      </c>
      <c r="CO414" s="30">
        <v>125</v>
      </c>
      <c r="CP414" s="30">
        <v>709</v>
      </c>
      <c r="CQ414" s="1">
        <f t="shared" si="191"/>
        <v>8.1102722489132917E-2</v>
      </c>
      <c r="CR414" s="47">
        <v>6281</v>
      </c>
      <c r="CS414" s="55">
        <f t="shared" si="184"/>
        <v>0.71848547243193772</v>
      </c>
      <c r="CT414" s="59">
        <v>3797</v>
      </c>
      <c r="CU414" s="29" t="s">
        <v>25</v>
      </c>
      <c r="CV414" s="29" t="s">
        <v>25</v>
      </c>
      <c r="CW414" s="29" t="s">
        <v>25</v>
      </c>
      <c r="CX414" s="35">
        <v>0</v>
      </c>
      <c r="CY414" s="49">
        <v>0</v>
      </c>
      <c r="CZ414" s="35">
        <v>1</v>
      </c>
      <c r="DA414" s="35">
        <v>0.1</v>
      </c>
      <c r="DB414" s="35">
        <v>1.1000000000000001</v>
      </c>
      <c r="DC414" s="49">
        <f t="shared" si="185"/>
        <v>7947.272727272727</v>
      </c>
      <c r="DD414" s="30">
        <v>1070</v>
      </c>
      <c r="DE414" s="31">
        <v>43585</v>
      </c>
      <c r="DF414" s="35">
        <v>40</v>
      </c>
      <c r="DG414" s="29" t="s">
        <v>25</v>
      </c>
      <c r="DH414" s="29" t="s">
        <v>25</v>
      </c>
      <c r="DI414" s="29" t="s">
        <v>25</v>
      </c>
      <c r="DJ414" s="47">
        <v>2</v>
      </c>
      <c r="DK414" s="47">
        <v>0</v>
      </c>
      <c r="DL414" s="47">
        <v>13</v>
      </c>
      <c r="DM414" s="47">
        <v>4653</v>
      </c>
      <c r="DN414" s="47">
        <v>260</v>
      </c>
      <c r="DO414" s="47">
        <v>756</v>
      </c>
      <c r="DP414" s="29" t="s">
        <v>2028</v>
      </c>
      <c r="DQ414" s="47">
        <v>0</v>
      </c>
      <c r="DR414" s="47">
        <v>1944</v>
      </c>
      <c r="DS414" s="30">
        <v>52</v>
      </c>
      <c r="DT414" s="30">
        <v>40</v>
      </c>
      <c r="DU414" s="30">
        <v>40</v>
      </c>
      <c r="DV414" s="30">
        <v>40</v>
      </c>
      <c r="DX414" s="2">
        <f t="shared" si="186"/>
        <v>1944</v>
      </c>
      <c r="DY414" s="33" t="s">
        <v>2182</v>
      </c>
      <c r="DZ414" s="33" t="s">
        <v>1722</v>
      </c>
      <c r="EA414" s="33" t="s">
        <v>2030</v>
      </c>
      <c r="EB414" s="33" t="s">
        <v>2027</v>
      </c>
      <c r="EC414" s="36">
        <v>592</v>
      </c>
      <c r="ED414" s="29" t="s">
        <v>1721</v>
      </c>
      <c r="EE414" s="29" t="s">
        <v>51</v>
      </c>
      <c r="EF414" s="37">
        <v>41548</v>
      </c>
      <c r="EG414" s="37">
        <v>41912</v>
      </c>
      <c r="EH414" s="29" t="s">
        <v>1721</v>
      </c>
      <c r="EI414" s="55">
        <f t="shared" si="187"/>
        <v>0.41123312743079388</v>
      </c>
      <c r="EJ414" s="54">
        <f t="shared" si="188"/>
        <v>0</v>
      </c>
      <c r="EK414" s="55">
        <f t="shared" si="189"/>
        <v>1.1035232212308397</v>
      </c>
      <c r="EL414" s="54">
        <f t="shared" si="190"/>
        <v>0</v>
      </c>
    </row>
    <row r="415" spans="1:142" ht="43.2" x14ac:dyDescent="0.3">
      <c r="A415" s="29" t="s">
        <v>1723</v>
      </c>
      <c r="B415" s="29"/>
      <c r="C415" s="30">
        <v>19708</v>
      </c>
      <c r="D415" s="30">
        <v>0</v>
      </c>
      <c r="E415" s="30">
        <v>0</v>
      </c>
      <c r="F415" s="30">
        <v>3645</v>
      </c>
      <c r="H415" s="2">
        <f t="shared" si="166"/>
        <v>3645</v>
      </c>
      <c r="I415" s="1">
        <f t="shared" si="165"/>
        <v>0.18495027400040592</v>
      </c>
      <c r="J415" s="31">
        <v>65265</v>
      </c>
      <c r="K415" s="31">
        <v>6476</v>
      </c>
      <c r="L415" s="31">
        <v>71741</v>
      </c>
      <c r="M415" s="45">
        <f t="shared" si="167"/>
        <v>3.6401968743657398</v>
      </c>
      <c r="N415" s="31">
        <v>11458</v>
      </c>
      <c r="O415" s="31">
        <v>3000</v>
      </c>
      <c r="P415" s="31">
        <v>973</v>
      </c>
      <c r="Q415" s="31">
        <v>15431</v>
      </c>
      <c r="R415" s="45">
        <f t="shared" si="168"/>
        <v>0.78298153034300788</v>
      </c>
      <c r="S415" s="31">
        <v>12369</v>
      </c>
      <c r="T415" s="31">
        <v>99541</v>
      </c>
      <c r="U415" s="31">
        <v>27360</v>
      </c>
      <c r="V415" s="31">
        <v>126901</v>
      </c>
      <c r="W415" s="45">
        <f t="shared" si="169"/>
        <v>6.4390602800893042</v>
      </c>
      <c r="X415" s="4">
        <f t="shared" si="170"/>
        <v>0.56533045444874352</v>
      </c>
      <c r="Y415" s="4">
        <f t="shared" si="171"/>
        <v>0.12159872656637852</v>
      </c>
      <c r="Z415" s="4">
        <f t="shared" si="172"/>
        <v>9.7469681089983537E-2</v>
      </c>
      <c r="AA415" s="4">
        <f t="shared" si="173"/>
        <v>0.21560113789489443</v>
      </c>
      <c r="AB415" s="31">
        <v>0</v>
      </c>
      <c r="AC415" s="31">
        <v>15431</v>
      </c>
      <c r="AD415" s="31">
        <v>126901</v>
      </c>
      <c r="AE415" s="31">
        <v>125786</v>
      </c>
      <c r="AF415" s="31">
        <v>79656</v>
      </c>
      <c r="AG415" s="31">
        <v>18770</v>
      </c>
      <c r="AH415" s="31">
        <v>0</v>
      </c>
      <c r="AI415" s="31">
        <v>98426</v>
      </c>
      <c r="AJ415" s="45">
        <f t="shared" si="174"/>
        <v>4.9942155469859957</v>
      </c>
      <c r="AK415" s="31">
        <v>0</v>
      </c>
      <c r="AL415" s="31">
        <v>0</v>
      </c>
      <c r="AM415" s="31">
        <v>0</v>
      </c>
      <c r="AN415" s="31">
        <v>0</v>
      </c>
      <c r="AO415" s="31">
        <v>0</v>
      </c>
      <c r="AP415" s="31">
        <v>1113</v>
      </c>
      <c r="AQ415" s="31">
        <v>1113</v>
      </c>
      <c r="AR415" s="31">
        <v>99539</v>
      </c>
      <c r="AS415" s="46">
        <f t="shared" si="175"/>
        <v>5.0506900750964077</v>
      </c>
      <c r="AT415" s="31">
        <v>0</v>
      </c>
      <c r="AU415" s="31">
        <v>0</v>
      </c>
      <c r="AV415" s="31">
        <v>0</v>
      </c>
      <c r="AW415" s="31">
        <v>0</v>
      </c>
      <c r="AX415" s="31">
        <v>0</v>
      </c>
      <c r="AY415" s="31">
        <v>0</v>
      </c>
      <c r="AZ415" s="31">
        <v>0</v>
      </c>
      <c r="BA415" s="31">
        <v>0</v>
      </c>
      <c r="BB415" s="31">
        <v>0</v>
      </c>
      <c r="BC415" s="33" t="s">
        <v>25</v>
      </c>
      <c r="BD415" s="47">
        <v>23649</v>
      </c>
      <c r="BE415" s="47">
        <v>26902</v>
      </c>
      <c r="BF415" s="45">
        <f t="shared" si="176"/>
        <v>1.365029429673229</v>
      </c>
      <c r="BG415" s="30">
        <v>121</v>
      </c>
      <c r="BH415" s="30">
        <v>123</v>
      </c>
      <c r="BI415" s="30">
        <v>1313</v>
      </c>
      <c r="BJ415" s="30">
        <v>546</v>
      </c>
      <c r="BK415" s="30">
        <v>551</v>
      </c>
      <c r="BL415" s="30">
        <v>11</v>
      </c>
      <c r="BM415" s="30">
        <v>10253</v>
      </c>
      <c r="BN415" s="30">
        <v>0</v>
      </c>
      <c r="BO415" s="30">
        <v>51</v>
      </c>
      <c r="BP415" s="30">
        <v>2</v>
      </c>
      <c r="BQ415" s="30">
        <v>53</v>
      </c>
      <c r="BR415" s="47">
        <v>24316</v>
      </c>
      <c r="BS415" s="47">
        <v>39153</v>
      </c>
      <c r="BT415" s="1">
        <f t="shared" si="177"/>
        <v>1.9866551654150599</v>
      </c>
      <c r="BU415" s="30">
        <v>4</v>
      </c>
      <c r="BV415" s="30">
        <v>0</v>
      </c>
      <c r="BW415" s="47">
        <v>5598</v>
      </c>
      <c r="BX415" s="52">
        <f t="shared" si="178"/>
        <v>0.28404708747716662</v>
      </c>
      <c r="BY415" s="47">
        <v>13505</v>
      </c>
      <c r="BZ415" s="47">
        <v>303</v>
      </c>
      <c r="CA415" s="47">
        <v>3504</v>
      </c>
      <c r="CB415" s="47">
        <v>2150</v>
      </c>
      <c r="CC415" s="47">
        <v>19462</v>
      </c>
      <c r="CD415" s="55">
        <f t="shared" si="179"/>
        <v>0.98751775928556929</v>
      </c>
      <c r="CE415" s="3">
        <f t="shared" si="180"/>
        <v>11121.142857142857</v>
      </c>
      <c r="CF415" s="55">
        <f t="shared" si="181"/>
        <v>13.185636856368564</v>
      </c>
      <c r="CG415" s="55">
        <f t="shared" si="182"/>
        <v>1.3904408087447311</v>
      </c>
      <c r="CH415" s="55">
        <f t="shared" si="183"/>
        <v>0.43442392664674484</v>
      </c>
      <c r="CI415" s="30">
        <v>47</v>
      </c>
      <c r="CJ415" s="30">
        <v>1</v>
      </c>
      <c r="CK415" s="30">
        <v>4</v>
      </c>
      <c r="CL415" s="30">
        <v>52</v>
      </c>
      <c r="CM415" s="30">
        <v>2105</v>
      </c>
      <c r="CN415" s="30">
        <v>35</v>
      </c>
      <c r="CO415" s="30">
        <v>223</v>
      </c>
      <c r="CP415" s="30">
        <v>2363</v>
      </c>
      <c r="CQ415" s="1">
        <f t="shared" si="191"/>
        <v>0.11990054800081185</v>
      </c>
      <c r="CR415" s="47">
        <v>13997</v>
      </c>
      <c r="CS415" s="55">
        <f t="shared" si="184"/>
        <v>0.71021920032474117</v>
      </c>
      <c r="CT415" s="59">
        <v>3788</v>
      </c>
      <c r="CU415" s="29" t="s">
        <v>25</v>
      </c>
      <c r="CV415" s="29" t="s">
        <v>25</v>
      </c>
      <c r="CW415" s="29" t="s">
        <v>25</v>
      </c>
      <c r="CX415" s="35">
        <v>0.75</v>
      </c>
      <c r="CY415" s="49">
        <f>C415/CX415</f>
        <v>26277.333333333332</v>
      </c>
      <c r="CZ415" s="35">
        <v>0.25</v>
      </c>
      <c r="DA415" s="35">
        <v>0.75</v>
      </c>
      <c r="DB415" s="35">
        <v>1.75</v>
      </c>
      <c r="DC415" s="49">
        <f t="shared" si="185"/>
        <v>11261.714285714286</v>
      </c>
      <c r="DD415" s="30">
        <v>101</v>
      </c>
      <c r="DE415" s="31">
        <v>45000</v>
      </c>
      <c r="DF415" s="35">
        <v>30</v>
      </c>
      <c r="DG415" s="29" t="s">
        <v>25</v>
      </c>
      <c r="DH415" s="29" t="s">
        <v>26</v>
      </c>
      <c r="DI415" s="29" t="s">
        <v>26</v>
      </c>
      <c r="DJ415" s="47">
        <v>0</v>
      </c>
      <c r="DK415" s="47">
        <v>0</v>
      </c>
      <c r="DL415" s="47">
        <v>6</v>
      </c>
      <c r="DM415" s="47">
        <v>1056</v>
      </c>
      <c r="DN415" s="47">
        <v>94</v>
      </c>
      <c r="DO415" s="47">
        <v>520</v>
      </c>
      <c r="DP415" s="29" t="s">
        <v>2028</v>
      </c>
      <c r="DQ415" s="47">
        <v>0</v>
      </c>
      <c r="DR415" s="47">
        <v>1476</v>
      </c>
      <c r="DS415" s="30">
        <v>52</v>
      </c>
      <c r="DT415" s="30">
        <v>30</v>
      </c>
      <c r="DU415" s="30">
        <v>30</v>
      </c>
      <c r="DV415" s="30">
        <v>30</v>
      </c>
      <c r="DX415" s="2">
        <f t="shared" si="186"/>
        <v>1476</v>
      </c>
      <c r="DY415" s="33" t="s">
        <v>2182</v>
      </c>
      <c r="DZ415" s="33" t="s">
        <v>1725</v>
      </c>
      <c r="EA415" s="33" t="s">
        <v>2035</v>
      </c>
      <c r="EB415" s="33" t="s">
        <v>2027</v>
      </c>
      <c r="EC415" s="36">
        <v>593</v>
      </c>
      <c r="ED415" s="29" t="s">
        <v>1724</v>
      </c>
      <c r="EE415" s="29" t="s">
        <v>51</v>
      </c>
      <c r="EF415" s="37">
        <v>41548</v>
      </c>
      <c r="EG415" s="37">
        <v>41912</v>
      </c>
      <c r="EH415" s="29" t="s">
        <v>1724</v>
      </c>
      <c r="EI415" s="55">
        <f t="shared" si="187"/>
        <v>0.68525471889587986</v>
      </c>
      <c r="EJ415" s="54">
        <f t="shared" si="188"/>
        <v>1.537446722143292E-2</v>
      </c>
      <c r="EK415" s="55">
        <f t="shared" si="189"/>
        <v>0.17779581895676883</v>
      </c>
      <c r="EL415" s="54">
        <f t="shared" si="190"/>
        <v>0.10909275421148772</v>
      </c>
    </row>
    <row r="416" spans="1:142" ht="43.2" x14ac:dyDescent="0.3">
      <c r="A416" s="29" t="s">
        <v>1087</v>
      </c>
      <c r="B416" s="29"/>
      <c r="C416" s="30">
        <v>4016</v>
      </c>
      <c r="D416" s="30">
        <v>0</v>
      </c>
      <c r="E416" s="30">
        <v>0</v>
      </c>
      <c r="F416" s="30">
        <v>4500</v>
      </c>
      <c r="H416" s="2">
        <f t="shared" si="166"/>
        <v>4500</v>
      </c>
      <c r="I416" s="1">
        <f t="shared" si="165"/>
        <v>1.1205179282868525</v>
      </c>
      <c r="J416" s="31">
        <v>43446</v>
      </c>
      <c r="K416" s="31">
        <v>3615</v>
      </c>
      <c r="L416" s="31">
        <v>47061</v>
      </c>
      <c r="M416" s="45">
        <f t="shared" si="167"/>
        <v>11.718376494023904</v>
      </c>
      <c r="N416" s="31">
        <v>3360</v>
      </c>
      <c r="O416" s="31">
        <v>0</v>
      </c>
      <c r="P416" s="31">
        <v>577</v>
      </c>
      <c r="Q416" s="31">
        <v>3937</v>
      </c>
      <c r="R416" s="45">
        <f t="shared" si="168"/>
        <v>0.98032868525896411</v>
      </c>
      <c r="S416" s="31">
        <v>28197</v>
      </c>
      <c r="T416" s="31">
        <v>79195</v>
      </c>
      <c r="U416" s="31">
        <v>0</v>
      </c>
      <c r="V416" s="31">
        <v>79195</v>
      </c>
      <c r="W416" s="45">
        <f t="shared" si="169"/>
        <v>19.719870517928285</v>
      </c>
      <c r="X416" s="4">
        <f t="shared" si="170"/>
        <v>0.5942420607361576</v>
      </c>
      <c r="Y416" s="4">
        <f t="shared" si="171"/>
        <v>4.9712734389797335E-2</v>
      </c>
      <c r="Z416" s="4">
        <f t="shared" si="172"/>
        <v>0.35604520487404506</v>
      </c>
      <c r="AA416" s="4">
        <f t="shared" si="173"/>
        <v>0</v>
      </c>
      <c r="AB416" s="31">
        <v>0</v>
      </c>
      <c r="AC416" s="31">
        <v>3937</v>
      </c>
      <c r="AD416" s="31">
        <v>76045</v>
      </c>
      <c r="AE416" s="31">
        <v>18400</v>
      </c>
      <c r="AF416" s="31">
        <v>9600</v>
      </c>
      <c r="AG416" s="31">
        <v>8800</v>
      </c>
      <c r="AH416" s="31">
        <v>0</v>
      </c>
      <c r="AI416" s="31">
        <v>18400</v>
      </c>
      <c r="AJ416" s="45">
        <f t="shared" si="174"/>
        <v>4.5816733067729087</v>
      </c>
      <c r="AK416" s="31">
        <v>0</v>
      </c>
      <c r="AL416" s="31">
        <v>0</v>
      </c>
      <c r="AM416" s="31">
        <v>0</v>
      </c>
      <c r="AN416" s="31">
        <v>0</v>
      </c>
      <c r="AO416" s="31">
        <v>0</v>
      </c>
      <c r="AP416" s="31">
        <v>54468</v>
      </c>
      <c r="AQ416" s="31">
        <v>54468</v>
      </c>
      <c r="AR416" s="31">
        <v>72868</v>
      </c>
      <c r="AS416" s="46">
        <f t="shared" si="175"/>
        <v>18.144422310756973</v>
      </c>
      <c r="AT416" s="31">
        <v>0</v>
      </c>
      <c r="AU416" s="31">
        <v>0</v>
      </c>
      <c r="AV416" s="31">
        <v>0</v>
      </c>
      <c r="AW416" s="31">
        <v>0</v>
      </c>
      <c r="AX416" s="31">
        <v>0</v>
      </c>
      <c r="AY416" s="31">
        <v>0</v>
      </c>
      <c r="AZ416" s="31">
        <v>0</v>
      </c>
      <c r="BA416" s="31">
        <v>0</v>
      </c>
      <c r="BB416" s="31">
        <v>0</v>
      </c>
      <c r="BC416" s="33" t="s">
        <v>25</v>
      </c>
      <c r="BD416" s="47">
        <v>28023</v>
      </c>
      <c r="BE416" s="47">
        <v>28123</v>
      </c>
      <c r="BF416" s="45">
        <f t="shared" si="176"/>
        <v>7.0027390438247012</v>
      </c>
      <c r="BG416" s="30">
        <v>522</v>
      </c>
      <c r="BH416" s="30">
        <v>532</v>
      </c>
      <c r="BI416" s="30">
        <v>0</v>
      </c>
      <c r="BJ416" s="30">
        <v>900</v>
      </c>
      <c r="BK416" s="30">
        <v>910</v>
      </c>
      <c r="BL416" s="30">
        <v>0</v>
      </c>
      <c r="BM416" s="30">
        <v>0</v>
      </c>
      <c r="BN416" s="30">
        <v>0</v>
      </c>
      <c r="BO416" s="30">
        <v>51</v>
      </c>
      <c r="BP416" s="30">
        <v>0</v>
      </c>
      <c r="BQ416" s="30">
        <v>51</v>
      </c>
      <c r="BR416" s="47">
        <v>29445</v>
      </c>
      <c r="BS416" s="47">
        <v>29565</v>
      </c>
      <c r="BT416" s="1">
        <f t="shared" si="177"/>
        <v>7.3618027888446216</v>
      </c>
      <c r="BU416" s="30">
        <v>15</v>
      </c>
      <c r="BV416" s="30">
        <v>0</v>
      </c>
      <c r="BW416" s="47">
        <v>1290</v>
      </c>
      <c r="BX416" s="52">
        <f t="shared" si="178"/>
        <v>0.32121513944223107</v>
      </c>
      <c r="BY416" s="47">
        <v>2173</v>
      </c>
      <c r="BZ416" s="47">
        <v>0</v>
      </c>
      <c r="CA416" s="47">
        <v>5560</v>
      </c>
      <c r="CB416" s="47">
        <v>0</v>
      </c>
      <c r="CC416" s="47">
        <v>7733</v>
      </c>
      <c r="CD416" s="55">
        <f t="shared" si="179"/>
        <v>1.9255478087649402</v>
      </c>
      <c r="CE416" s="3">
        <f t="shared" si="180"/>
        <v>5523.5714285714294</v>
      </c>
      <c r="CF416" s="55">
        <f t="shared" si="181"/>
        <v>4.9570512820512818</v>
      </c>
      <c r="CG416" s="55">
        <f t="shared" si="182"/>
        <v>1.6741718986793679</v>
      </c>
      <c r="CH416" s="55">
        <f t="shared" si="183"/>
        <v>0.26155927617114832</v>
      </c>
      <c r="CI416" s="30">
        <v>6</v>
      </c>
      <c r="CJ416" s="30">
        <v>0</v>
      </c>
      <c r="CK416" s="30">
        <v>0</v>
      </c>
      <c r="CL416" s="30">
        <v>6</v>
      </c>
      <c r="CM416" s="30">
        <v>196</v>
      </c>
      <c r="CN416" s="30">
        <v>0</v>
      </c>
      <c r="CO416" s="30">
        <v>0</v>
      </c>
      <c r="CP416" s="30">
        <v>196</v>
      </c>
      <c r="CQ416" s="1">
        <f t="shared" si="191"/>
        <v>4.8804780876494022E-2</v>
      </c>
      <c r="CR416" s="47">
        <v>4619</v>
      </c>
      <c r="CS416" s="55">
        <f t="shared" si="184"/>
        <v>1.1501494023904382</v>
      </c>
      <c r="CT416" s="59">
        <v>1645</v>
      </c>
      <c r="CU416" s="29" t="s">
        <v>25</v>
      </c>
      <c r="CV416" s="29" t="s">
        <v>25</v>
      </c>
      <c r="CW416" s="29" t="s">
        <v>25</v>
      </c>
      <c r="CX416" s="35">
        <v>0</v>
      </c>
      <c r="CY416" s="49">
        <v>0</v>
      </c>
      <c r="CZ416" s="35">
        <v>0.75</v>
      </c>
      <c r="DA416" s="35">
        <v>0.65</v>
      </c>
      <c r="DB416" s="35">
        <v>1.4</v>
      </c>
      <c r="DC416" s="49">
        <f t="shared" si="185"/>
        <v>2868.5714285714289</v>
      </c>
      <c r="DD416" s="30">
        <v>40</v>
      </c>
      <c r="DE416" s="31">
        <v>26910</v>
      </c>
      <c r="DF416" s="35">
        <v>30</v>
      </c>
      <c r="DG416" s="29" t="s">
        <v>25</v>
      </c>
      <c r="DH416" s="29" t="s">
        <v>26</v>
      </c>
      <c r="DI416" s="29" t="s">
        <v>26</v>
      </c>
      <c r="DJ416" s="47">
        <v>0</v>
      </c>
      <c r="DK416" s="47">
        <v>0</v>
      </c>
      <c r="DL416" s="47">
        <v>12</v>
      </c>
      <c r="DM416" s="47">
        <v>1447</v>
      </c>
      <c r="DN416" s="47">
        <v>185</v>
      </c>
      <c r="DO416" s="47">
        <v>150</v>
      </c>
      <c r="DP416" s="29" t="s">
        <v>2028</v>
      </c>
      <c r="DQ416" s="47">
        <v>0</v>
      </c>
      <c r="DR416" s="47">
        <v>1560</v>
      </c>
      <c r="DS416" s="30">
        <v>52</v>
      </c>
      <c r="DT416" s="30">
        <v>30</v>
      </c>
      <c r="DU416" s="30">
        <v>30</v>
      </c>
      <c r="DV416" s="30">
        <v>30</v>
      </c>
      <c r="DX416" s="2">
        <f t="shared" si="186"/>
        <v>1560</v>
      </c>
      <c r="DY416" s="33" t="s">
        <v>2181</v>
      </c>
      <c r="DZ416" s="33" t="s">
        <v>1090</v>
      </c>
      <c r="EA416" s="33" t="s">
        <v>2032</v>
      </c>
      <c r="EB416" s="33" t="s">
        <v>2027</v>
      </c>
      <c r="EC416" s="36">
        <v>321</v>
      </c>
      <c r="ED416" s="29" t="s">
        <v>1088</v>
      </c>
      <c r="EE416" s="29" t="s">
        <v>1089</v>
      </c>
      <c r="EF416" s="37">
        <v>41640</v>
      </c>
      <c r="EG416" s="37">
        <v>42004</v>
      </c>
      <c r="EH416" s="29" t="s">
        <v>1088</v>
      </c>
      <c r="EI416" s="55">
        <f t="shared" si="187"/>
        <v>0.54108565737051795</v>
      </c>
      <c r="EJ416" s="54">
        <f t="shared" si="188"/>
        <v>0</v>
      </c>
      <c r="EK416" s="55">
        <f t="shared" si="189"/>
        <v>1.3844621513944224</v>
      </c>
      <c r="EL416" s="54">
        <f t="shared" si="190"/>
        <v>0</v>
      </c>
    </row>
    <row r="417" spans="1:142" ht="28.8" x14ac:dyDescent="0.3">
      <c r="A417" s="29" t="s">
        <v>1091</v>
      </c>
      <c r="B417" s="29"/>
      <c r="C417" s="30">
        <v>14242</v>
      </c>
      <c r="D417" s="30">
        <v>0</v>
      </c>
      <c r="E417" s="30">
        <v>0</v>
      </c>
      <c r="F417" s="30">
        <v>2000</v>
      </c>
      <c r="H417" s="2">
        <f t="shared" si="166"/>
        <v>2000</v>
      </c>
      <c r="I417" s="1">
        <f t="shared" si="165"/>
        <v>0.14042971492767869</v>
      </c>
      <c r="J417" s="31">
        <v>18926</v>
      </c>
      <c r="K417" s="31">
        <v>1539</v>
      </c>
      <c r="L417" s="31">
        <v>20465</v>
      </c>
      <c r="M417" s="45">
        <f t="shared" si="167"/>
        <v>1.4369470579974724</v>
      </c>
      <c r="N417" s="31">
        <v>839</v>
      </c>
      <c r="O417" s="31">
        <v>0</v>
      </c>
      <c r="P417" s="31">
        <v>65</v>
      </c>
      <c r="Q417" s="31">
        <v>904</v>
      </c>
      <c r="R417" s="45">
        <f t="shared" si="168"/>
        <v>6.3474231147310767E-2</v>
      </c>
      <c r="S417" s="31">
        <v>11000</v>
      </c>
      <c r="T417" s="31">
        <v>32369</v>
      </c>
      <c r="U417" s="31">
        <v>0</v>
      </c>
      <c r="V417" s="31">
        <v>32369</v>
      </c>
      <c r="W417" s="45">
        <f t="shared" si="169"/>
        <v>2.272784721247016</v>
      </c>
      <c r="X417" s="4">
        <f t="shared" si="170"/>
        <v>0.63224072414964938</v>
      </c>
      <c r="Y417" s="4">
        <f t="shared" si="171"/>
        <v>2.7927955760140875E-2</v>
      </c>
      <c r="Z417" s="4">
        <f t="shared" si="172"/>
        <v>0.33983132009020978</v>
      </c>
      <c r="AA417" s="4">
        <f t="shared" si="173"/>
        <v>0</v>
      </c>
      <c r="AB417" s="31">
        <v>0</v>
      </c>
      <c r="AC417" s="31">
        <v>904</v>
      </c>
      <c r="AD417" s="31">
        <v>28369</v>
      </c>
      <c r="AE417" s="31">
        <v>25189</v>
      </c>
      <c r="AF417" s="31">
        <v>0</v>
      </c>
      <c r="AG417" s="31">
        <v>25189</v>
      </c>
      <c r="AH417" s="31">
        <v>0</v>
      </c>
      <c r="AI417" s="31">
        <v>25189</v>
      </c>
      <c r="AJ417" s="45">
        <f t="shared" si="174"/>
        <v>1.7686420446566493</v>
      </c>
      <c r="AK417" s="31">
        <v>0</v>
      </c>
      <c r="AL417" s="31">
        <v>0</v>
      </c>
      <c r="AM417" s="31">
        <v>0</v>
      </c>
      <c r="AN417" s="31">
        <v>0</v>
      </c>
      <c r="AO417" s="31">
        <v>0</v>
      </c>
      <c r="AP417" s="31">
        <v>3258</v>
      </c>
      <c r="AQ417" s="31">
        <v>3258</v>
      </c>
      <c r="AR417" s="31">
        <v>28447</v>
      </c>
      <c r="AS417" s="46">
        <f t="shared" si="175"/>
        <v>1.9974020502738379</v>
      </c>
      <c r="AT417" s="31">
        <v>0</v>
      </c>
      <c r="AU417" s="31">
        <v>0</v>
      </c>
      <c r="AV417" s="31">
        <v>0</v>
      </c>
      <c r="AW417" s="31">
        <v>0</v>
      </c>
      <c r="AX417" s="31">
        <v>0</v>
      </c>
      <c r="AY417" s="31">
        <v>0</v>
      </c>
      <c r="AZ417" s="31">
        <v>4000</v>
      </c>
      <c r="BA417" s="31">
        <v>0</v>
      </c>
      <c r="BB417" s="31">
        <v>4000</v>
      </c>
      <c r="BC417" s="33" t="s">
        <v>25</v>
      </c>
      <c r="BD417" s="47">
        <v>9375</v>
      </c>
      <c r="BE417" s="47">
        <v>10080</v>
      </c>
      <c r="BF417" s="45">
        <f t="shared" si="176"/>
        <v>0.70776576323550067</v>
      </c>
      <c r="BG417" s="30">
        <v>480</v>
      </c>
      <c r="BH417" s="30">
        <v>588</v>
      </c>
      <c r="BI417" s="30">
        <v>0</v>
      </c>
      <c r="BJ417" s="30">
        <v>575</v>
      </c>
      <c r="BK417" s="30">
        <v>620</v>
      </c>
      <c r="BL417" s="30">
        <v>0</v>
      </c>
      <c r="BM417" s="30">
        <v>0</v>
      </c>
      <c r="BN417" s="30">
        <v>0</v>
      </c>
      <c r="BO417" s="30">
        <v>0</v>
      </c>
      <c r="BP417" s="30">
        <v>0</v>
      </c>
      <c r="BQ417" s="30">
        <v>0</v>
      </c>
      <c r="BR417" s="47">
        <v>10430</v>
      </c>
      <c r="BS417" s="47">
        <v>11288</v>
      </c>
      <c r="BT417" s="1">
        <f t="shared" si="177"/>
        <v>0.79258531105181862</v>
      </c>
      <c r="BU417" s="30">
        <v>65</v>
      </c>
      <c r="BV417" s="30">
        <v>0</v>
      </c>
      <c r="BW417" s="47">
        <v>885</v>
      </c>
      <c r="BX417" s="52">
        <f t="shared" si="178"/>
        <v>6.2140148855497825E-2</v>
      </c>
      <c r="BY417" s="47">
        <v>1265</v>
      </c>
      <c r="BZ417" s="47">
        <v>0</v>
      </c>
      <c r="CA417" s="47">
        <v>2315</v>
      </c>
      <c r="CB417" s="47">
        <v>0</v>
      </c>
      <c r="CC417" s="47">
        <v>3580</v>
      </c>
      <c r="CD417" s="55">
        <f t="shared" si="179"/>
        <v>0.25136918972054489</v>
      </c>
      <c r="CE417" s="3">
        <f t="shared" si="180"/>
        <v>2864</v>
      </c>
      <c r="CF417" s="55">
        <f t="shared" si="181"/>
        <v>2.4254742547425474</v>
      </c>
      <c r="CG417" s="55">
        <f t="shared" si="182"/>
        <v>0.52034883720930236</v>
      </c>
      <c r="CH417" s="55">
        <f t="shared" si="183"/>
        <v>0.31715095676824945</v>
      </c>
      <c r="CI417" s="30">
        <v>4</v>
      </c>
      <c r="CJ417" s="30">
        <v>2</v>
      </c>
      <c r="CK417" s="30">
        <v>20</v>
      </c>
      <c r="CL417" s="30">
        <v>26</v>
      </c>
      <c r="CM417" s="30">
        <v>105</v>
      </c>
      <c r="CN417" s="30">
        <v>10</v>
      </c>
      <c r="CO417" s="30">
        <v>233</v>
      </c>
      <c r="CP417" s="30">
        <v>348</v>
      </c>
      <c r="CQ417" s="1">
        <f t="shared" si="191"/>
        <v>2.4434770397416095E-2</v>
      </c>
      <c r="CR417" s="47">
        <v>6880</v>
      </c>
      <c r="CS417" s="55">
        <f t="shared" si="184"/>
        <v>0.4830782193512147</v>
      </c>
      <c r="CT417" s="59">
        <v>847</v>
      </c>
      <c r="CU417" s="29" t="s">
        <v>25</v>
      </c>
      <c r="CV417" s="29" t="s">
        <v>25</v>
      </c>
      <c r="CW417" s="29" t="s">
        <v>25</v>
      </c>
      <c r="CX417" s="35">
        <v>0</v>
      </c>
      <c r="CY417" s="49">
        <v>0</v>
      </c>
      <c r="CZ417" s="35">
        <v>0.75</v>
      </c>
      <c r="DA417" s="35">
        <v>0.5</v>
      </c>
      <c r="DB417" s="35">
        <v>1.25</v>
      </c>
      <c r="DC417" s="49">
        <f t="shared" si="185"/>
        <v>11393.6</v>
      </c>
      <c r="DD417" s="30">
        <v>65</v>
      </c>
      <c r="DE417" s="31">
        <v>15500</v>
      </c>
      <c r="DF417" s="35">
        <v>30</v>
      </c>
      <c r="DG417" s="29" t="s">
        <v>25</v>
      </c>
      <c r="DH417" s="29" t="s">
        <v>26</v>
      </c>
      <c r="DI417" s="29" t="s">
        <v>26</v>
      </c>
      <c r="DJ417" s="47">
        <v>0</v>
      </c>
      <c r="DK417" s="47">
        <v>0</v>
      </c>
      <c r="DL417" s="47">
        <v>9</v>
      </c>
      <c r="DM417" s="47">
        <v>2814</v>
      </c>
      <c r="DN417" s="47">
        <v>70</v>
      </c>
      <c r="DO417" s="47">
        <v>5</v>
      </c>
      <c r="DP417" s="29" t="s">
        <v>2028</v>
      </c>
      <c r="DQ417" s="47">
        <v>0</v>
      </c>
      <c r="DR417" s="47">
        <v>1476</v>
      </c>
      <c r="DS417" s="30">
        <v>52</v>
      </c>
      <c r="DT417" s="30">
        <v>30</v>
      </c>
      <c r="DU417" s="30">
        <v>30</v>
      </c>
      <c r="DV417" s="30">
        <v>30</v>
      </c>
      <c r="DX417" s="2">
        <f t="shared" si="186"/>
        <v>1476</v>
      </c>
      <c r="DY417" s="33" t="s">
        <v>2187</v>
      </c>
      <c r="DZ417" s="33" t="s">
        <v>1093</v>
      </c>
      <c r="EA417" s="33" t="s">
        <v>2032</v>
      </c>
      <c r="EB417" s="33" t="s">
        <v>2026</v>
      </c>
      <c r="EC417" s="36">
        <v>322</v>
      </c>
      <c r="ED417" s="29" t="s">
        <v>1092</v>
      </c>
      <c r="EE417" s="29" t="s">
        <v>464</v>
      </c>
      <c r="EF417" s="37">
        <v>41548</v>
      </c>
      <c r="EG417" s="37">
        <v>41912</v>
      </c>
      <c r="EH417" s="29" t="s">
        <v>1092</v>
      </c>
      <c r="EI417" s="55">
        <f t="shared" si="187"/>
        <v>8.8821794691756772E-2</v>
      </c>
      <c r="EJ417" s="54">
        <f t="shared" si="188"/>
        <v>0</v>
      </c>
      <c r="EK417" s="55">
        <f t="shared" si="189"/>
        <v>0.16254739502878809</v>
      </c>
      <c r="EL417" s="54">
        <f t="shared" si="190"/>
        <v>0</v>
      </c>
    </row>
    <row r="418" spans="1:142" ht="28.8" x14ac:dyDescent="0.3">
      <c r="A418" s="29" t="s">
        <v>1599</v>
      </c>
      <c r="B418" s="29"/>
      <c r="C418" s="30">
        <v>1537</v>
      </c>
      <c r="D418" s="30">
        <v>0</v>
      </c>
      <c r="E418" s="30">
        <v>0</v>
      </c>
      <c r="F418" s="30">
        <v>1360</v>
      </c>
      <c r="H418" s="2">
        <f t="shared" si="166"/>
        <v>1360</v>
      </c>
      <c r="I418" s="1">
        <f t="shared" si="165"/>
        <v>0.88484059856864017</v>
      </c>
      <c r="J418" s="31">
        <v>11394</v>
      </c>
      <c r="K418" s="31">
        <v>633</v>
      </c>
      <c r="L418" s="31">
        <v>12027</v>
      </c>
      <c r="M418" s="45">
        <f t="shared" si="167"/>
        <v>7.8249837345478204</v>
      </c>
      <c r="N418" s="31">
        <v>1034</v>
      </c>
      <c r="O418" s="31">
        <v>0</v>
      </c>
      <c r="P418" s="31">
        <v>0</v>
      </c>
      <c r="Q418" s="31">
        <v>1034</v>
      </c>
      <c r="R418" s="45">
        <f t="shared" si="168"/>
        <v>0.67273910214703969</v>
      </c>
      <c r="S418" s="31">
        <v>6874</v>
      </c>
      <c r="T418" s="31">
        <v>19935</v>
      </c>
      <c r="U418" s="31">
        <v>2676</v>
      </c>
      <c r="V418" s="31">
        <v>22611</v>
      </c>
      <c r="W418" s="45">
        <f t="shared" si="169"/>
        <v>14.711125569290827</v>
      </c>
      <c r="X418" s="4">
        <f t="shared" si="170"/>
        <v>0.531909247711291</v>
      </c>
      <c r="Y418" s="4">
        <f t="shared" si="171"/>
        <v>4.5729954446950598E-2</v>
      </c>
      <c r="Z418" s="4">
        <f t="shared" si="172"/>
        <v>0.30401132192295788</v>
      </c>
      <c r="AA418" s="4">
        <f t="shared" si="173"/>
        <v>0.11834947591880059</v>
      </c>
      <c r="AB418" s="31">
        <v>0</v>
      </c>
      <c r="AC418" s="31">
        <v>1034</v>
      </c>
      <c r="AD418" s="31">
        <v>22611</v>
      </c>
      <c r="AE418" s="31">
        <v>22611</v>
      </c>
      <c r="AF418" s="31">
        <v>19935</v>
      </c>
      <c r="AG418" s="31">
        <v>2500</v>
      </c>
      <c r="AH418" s="31">
        <v>0</v>
      </c>
      <c r="AI418" s="31">
        <v>22435</v>
      </c>
      <c r="AJ418" s="45">
        <f t="shared" si="174"/>
        <v>14.596616785946649</v>
      </c>
      <c r="AK418" s="31">
        <v>0</v>
      </c>
      <c r="AL418" s="31">
        <v>0</v>
      </c>
      <c r="AM418" s="31">
        <v>0</v>
      </c>
      <c r="AN418" s="31">
        <v>0</v>
      </c>
      <c r="AO418" s="31">
        <v>0</v>
      </c>
      <c r="AP418" s="31">
        <v>398</v>
      </c>
      <c r="AQ418" s="31">
        <v>398</v>
      </c>
      <c r="AR418" s="31">
        <v>22833</v>
      </c>
      <c r="AS418" s="46">
        <f t="shared" si="175"/>
        <v>14.855562784645413</v>
      </c>
      <c r="AT418" s="31">
        <v>0</v>
      </c>
      <c r="AU418" s="31">
        <v>0</v>
      </c>
      <c r="AV418" s="31">
        <v>0</v>
      </c>
      <c r="AW418" s="31">
        <v>0</v>
      </c>
      <c r="AX418" s="31">
        <v>0</v>
      </c>
      <c r="AY418" s="31">
        <v>0</v>
      </c>
      <c r="AZ418" s="31">
        <v>0</v>
      </c>
      <c r="BA418" s="31">
        <v>0</v>
      </c>
      <c r="BB418" s="31">
        <v>0</v>
      </c>
      <c r="BC418" s="33" t="s">
        <v>26</v>
      </c>
      <c r="BD418" s="47">
        <v>11940</v>
      </c>
      <c r="BE418" s="47">
        <v>11945</v>
      </c>
      <c r="BF418" s="45">
        <f t="shared" si="176"/>
        <v>7.7716330513988288</v>
      </c>
      <c r="BG418" s="30">
        <v>260</v>
      </c>
      <c r="BH418" s="30">
        <v>260</v>
      </c>
      <c r="BI418" s="30">
        <v>0</v>
      </c>
      <c r="BJ418" s="30">
        <v>67</v>
      </c>
      <c r="BK418" s="30">
        <v>67</v>
      </c>
      <c r="BL418" s="30">
        <v>0</v>
      </c>
      <c r="BM418" s="30">
        <v>0</v>
      </c>
      <c r="BN418" s="30">
        <v>0</v>
      </c>
      <c r="BO418" s="30">
        <v>51</v>
      </c>
      <c r="BP418" s="30">
        <v>0</v>
      </c>
      <c r="BQ418" s="30">
        <v>51</v>
      </c>
      <c r="BR418" s="47">
        <v>12267</v>
      </c>
      <c r="BS418" s="47">
        <v>12272</v>
      </c>
      <c r="BT418" s="1">
        <f t="shared" si="177"/>
        <v>7.9843851659076126</v>
      </c>
      <c r="BU418" s="30">
        <v>9</v>
      </c>
      <c r="BV418" s="30">
        <v>0</v>
      </c>
      <c r="BW418" s="47">
        <v>15</v>
      </c>
      <c r="BX418" s="52">
        <f t="shared" si="178"/>
        <v>9.7592713077423558E-3</v>
      </c>
      <c r="BY418" s="47">
        <v>43</v>
      </c>
      <c r="BZ418" s="47">
        <v>0</v>
      </c>
      <c r="CA418" s="47">
        <v>1598</v>
      </c>
      <c r="CB418" s="47">
        <v>0</v>
      </c>
      <c r="CC418" s="47">
        <v>1641</v>
      </c>
      <c r="CD418" s="55">
        <f t="shared" si="179"/>
        <v>1.0676642810670136</v>
      </c>
      <c r="CE418" s="3">
        <f t="shared" si="180"/>
        <v>2051.25</v>
      </c>
      <c r="CF418" s="55">
        <f t="shared" si="181"/>
        <v>1.0104679802955665</v>
      </c>
      <c r="CG418" s="55">
        <f t="shared" si="182"/>
        <v>0.53106796116504851</v>
      </c>
      <c r="CH418" s="55">
        <f t="shared" si="183"/>
        <v>0.13371903520208606</v>
      </c>
      <c r="CI418" s="30">
        <v>0</v>
      </c>
      <c r="CJ418" s="30">
        <v>0</v>
      </c>
      <c r="CK418" s="30">
        <v>1</v>
      </c>
      <c r="CL418" s="30">
        <v>1</v>
      </c>
      <c r="CM418" s="30">
        <v>0</v>
      </c>
      <c r="CN418" s="30">
        <v>0</v>
      </c>
      <c r="CO418" s="30">
        <v>35</v>
      </c>
      <c r="CP418" s="30">
        <v>35</v>
      </c>
      <c r="CQ418" s="1">
        <f t="shared" si="191"/>
        <v>2.2771633051398829E-2</v>
      </c>
      <c r="CR418" s="47">
        <v>3090</v>
      </c>
      <c r="CS418" s="55">
        <f t="shared" si="184"/>
        <v>2.0104098893949254</v>
      </c>
      <c r="CT418" s="59">
        <v>329</v>
      </c>
      <c r="CU418" s="29" t="s">
        <v>25</v>
      </c>
      <c r="CV418" s="29" t="s">
        <v>25</v>
      </c>
      <c r="CW418" s="29" t="s">
        <v>25</v>
      </c>
      <c r="CX418" s="35">
        <v>0</v>
      </c>
      <c r="CY418" s="49">
        <v>0</v>
      </c>
      <c r="CZ418" s="35">
        <v>0.8</v>
      </c>
      <c r="DA418" s="35">
        <v>0</v>
      </c>
      <c r="DB418" s="35">
        <v>0.8</v>
      </c>
      <c r="DC418" s="49">
        <f t="shared" si="185"/>
        <v>1921.25</v>
      </c>
      <c r="DD418" s="30">
        <v>16</v>
      </c>
      <c r="DE418" s="31">
        <v>12027</v>
      </c>
      <c r="DF418" s="35">
        <v>32</v>
      </c>
      <c r="DG418" s="29" t="s">
        <v>25</v>
      </c>
      <c r="DH418" s="29" t="s">
        <v>26</v>
      </c>
      <c r="DI418" s="29" t="s">
        <v>26</v>
      </c>
      <c r="DJ418" s="47">
        <v>0</v>
      </c>
      <c r="DK418" s="47">
        <v>0</v>
      </c>
      <c r="DL418" s="47">
        <v>6</v>
      </c>
      <c r="DM418" s="47">
        <v>1234</v>
      </c>
      <c r="DN418" s="47">
        <v>7</v>
      </c>
      <c r="DO418" s="47">
        <v>0</v>
      </c>
      <c r="DP418" s="29" t="s">
        <v>2028</v>
      </c>
      <c r="DQ418" s="47">
        <v>0</v>
      </c>
      <c r="DR418" s="47">
        <v>1624</v>
      </c>
      <c r="DS418" s="30">
        <v>52</v>
      </c>
      <c r="DT418" s="30">
        <v>32</v>
      </c>
      <c r="DU418" s="30">
        <v>32</v>
      </c>
      <c r="DV418" s="30">
        <v>32</v>
      </c>
      <c r="DX418" s="2">
        <f t="shared" si="186"/>
        <v>1624</v>
      </c>
      <c r="DY418" s="33" t="s">
        <v>2184</v>
      </c>
      <c r="DZ418" s="33" t="s">
        <v>1602</v>
      </c>
      <c r="EA418" s="33" t="s">
        <v>2030</v>
      </c>
      <c r="EB418" s="33" t="s">
        <v>2027</v>
      </c>
      <c r="EC418" s="36">
        <v>538</v>
      </c>
      <c r="ED418" s="29" t="s">
        <v>1600</v>
      </c>
      <c r="EE418" s="29" t="s">
        <v>1601</v>
      </c>
      <c r="EF418" s="37">
        <v>41456</v>
      </c>
      <c r="EG418" s="37">
        <v>41820</v>
      </c>
      <c r="EH418" s="29" t="s">
        <v>1600</v>
      </c>
      <c r="EI418" s="55">
        <f t="shared" si="187"/>
        <v>2.797657774886142E-2</v>
      </c>
      <c r="EJ418" s="54">
        <f t="shared" si="188"/>
        <v>0</v>
      </c>
      <c r="EK418" s="55">
        <f t="shared" si="189"/>
        <v>1.0396877033181522</v>
      </c>
      <c r="EL418" s="54">
        <f t="shared" si="190"/>
        <v>0</v>
      </c>
    </row>
    <row r="419" spans="1:142" ht="28.8" x14ac:dyDescent="0.3">
      <c r="A419" s="29" t="s">
        <v>1094</v>
      </c>
      <c r="B419" s="29"/>
      <c r="C419" s="30">
        <v>5056</v>
      </c>
      <c r="D419" s="30">
        <v>0</v>
      </c>
      <c r="E419" s="30">
        <v>0</v>
      </c>
      <c r="F419" s="30">
        <v>7000</v>
      </c>
      <c r="H419" s="2">
        <f t="shared" si="166"/>
        <v>7000</v>
      </c>
      <c r="I419" s="1">
        <f t="shared" si="165"/>
        <v>1.384493670886076</v>
      </c>
      <c r="J419" s="31">
        <v>60483</v>
      </c>
      <c r="K419" s="31">
        <v>15015</v>
      </c>
      <c r="L419" s="31">
        <v>75498</v>
      </c>
      <c r="M419" s="45">
        <f t="shared" si="167"/>
        <v>14.932357594936709</v>
      </c>
      <c r="N419" s="31">
        <v>4800</v>
      </c>
      <c r="O419" s="31">
        <v>1500</v>
      </c>
      <c r="P419" s="31">
        <v>1300</v>
      </c>
      <c r="Q419" s="31">
        <v>7600</v>
      </c>
      <c r="R419" s="45">
        <f t="shared" si="168"/>
        <v>1.5031645569620253</v>
      </c>
      <c r="S419" s="31">
        <v>21611</v>
      </c>
      <c r="T419" s="31">
        <v>104709</v>
      </c>
      <c r="U419" s="31">
        <v>0</v>
      </c>
      <c r="V419" s="31">
        <v>104709</v>
      </c>
      <c r="W419" s="45">
        <f t="shared" si="169"/>
        <v>20.709849683544302</v>
      </c>
      <c r="X419" s="4">
        <f t="shared" si="170"/>
        <v>0.72102684582987131</v>
      </c>
      <c r="Y419" s="4">
        <f t="shared" si="171"/>
        <v>7.2582108510252222E-2</v>
      </c>
      <c r="Z419" s="4">
        <f t="shared" si="172"/>
        <v>0.20639104565987643</v>
      </c>
      <c r="AA419" s="4">
        <f t="shared" si="173"/>
        <v>0</v>
      </c>
      <c r="AB419" s="31">
        <v>0</v>
      </c>
      <c r="AC419" s="31">
        <v>7600</v>
      </c>
      <c r="AD419" s="31">
        <v>104709</v>
      </c>
      <c r="AE419" s="31">
        <v>104709</v>
      </c>
      <c r="AF419" s="31">
        <v>97709</v>
      </c>
      <c r="AG419" s="31">
        <v>7000</v>
      </c>
      <c r="AH419" s="31">
        <v>0</v>
      </c>
      <c r="AI419" s="31">
        <v>104709</v>
      </c>
      <c r="AJ419" s="45">
        <f t="shared" si="174"/>
        <v>20.709849683544302</v>
      </c>
      <c r="AK419" s="31">
        <v>0</v>
      </c>
      <c r="AL419" s="31">
        <v>0</v>
      </c>
      <c r="AM419" s="31">
        <v>0</v>
      </c>
      <c r="AN419" s="31">
        <v>0</v>
      </c>
      <c r="AO419" s="31">
        <v>9375</v>
      </c>
      <c r="AP419" s="31">
        <v>0</v>
      </c>
      <c r="AQ419" s="31">
        <v>9375</v>
      </c>
      <c r="AR419" s="31">
        <v>114084</v>
      </c>
      <c r="AS419" s="46">
        <f t="shared" si="175"/>
        <v>22.564082278481013</v>
      </c>
      <c r="AT419" s="31">
        <v>0</v>
      </c>
      <c r="AU419" s="31">
        <v>0</v>
      </c>
      <c r="AV419" s="31">
        <v>0</v>
      </c>
      <c r="AW419" s="31">
        <v>0</v>
      </c>
      <c r="AX419" s="31">
        <v>0</v>
      </c>
      <c r="AY419" s="31">
        <v>0</v>
      </c>
      <c r="AZ419" s="31">
        <v>0</v>
      </c>
      <c r="BA419" s="31">
        <v>0</v>
      </c>
      <c r="BB419" s="31">
        <v>0</v>
      </c>
      <c r="BC419" s="33" t="s">
        <v>25</v>
      </c>
      <c r="BD419" s="47">
        <v>28890</v>
      </c>
      <c r="BE419" s="47">
        <v>28940</v>
      </c>
      <c r="BF419" s="45">
        <f t="shared" si="176"/>
        <v>5.7238924050632916</v>
      </c>
      <c r="BG419" s="30">
        <v>827</v>
      </c>
      <c r="BH419" s="30">
        <v>840</v>
      </c>
      <c r="BI419" s="30">
        <v>0</v>
      </c>
      <c r="BJ419" s="30">
        <v>1649</v>
      </c>
      <c r="BK419" s="30">
        <v>1655</v>
      </c>
      <c r="BL419" s="30">
        <v>0</v>
      </c>
      <c r="BM419" s="30">
        <v>0</v>
      </c>
      <c r="BN419" s="30">
        <v>0</v>
      </c>
      <c r="BO419" s="30">
        <v>51</v>
      </c>
      <c r="BP419" s="30">
        <v>2</v>
      </c>
      <c r="BQ419" s="30">
        <v>53</v>
      </c>
      <c r="BR419" s="47">
        <v>31366</v>
      </c>
      <c r="BS419" s="47">
        <v>31435</v>
      </c>
      <c r="BT419" s="1">
        <f t="shared" si="177"/>
        <v>6.2173655063291138</v>
      </c>
      <c r="BU419" s="30">
        <v>35</v>
      </c>
      <c r="BV419" s="30">
        <v>4</v>
      </c>
      <c r="BW419" s="47">
        <v>6375</v>
      </c>
      <c r="BX419" s="52">
        <f t="shared" si="178"/>
        <v>1.260878164556962</v>
      </c>
      <c r="BY419" s="47">
        <v>4675</v>
      </c>
      <c r="BZ419" s="47">
        <v>0</v>
      </c>
      <c r="CA419" s="47">
        <v>38175</v>
      </c>
      <c r="CB419" s="47">
        <v>0</v>
      </c>
      <c r="CC419" s="47">
        <v>42850</v>
      </c>
      <c r="CD419" s="55">
        <f t="shared" si="179"/>
        <v>8.4750791139240498</v>
      </c>
      <c r="CE419" s="3">
        <f t="shared" si="180"/>
        <v>18234.042553191488</v>
      </c>
      <c r="CF419" s="55">
        <f t="shared" si="181"/>
        <v>26.256127450980394</v>
      </c>
      <c r="CG419" s="55">
        <f t="shared" si="182"/>
        <v>1.0728592889334001</v>
      </c>
      <c r="CH419" s="55">
        <f t="shared" si="183"/>
        <v>1.3631302688086528</v>
      </c>
      <c r="CI419" s="30">
        <v>26</v>
      </c>
      <c r="CJ419" s="30">
        <v>14</v>
      </c>
      <c r="CK419" s="30">
        <v>25</v>
      </c>
      <c r="CL419" s="30">
        <v>65</v>
      </c>
      <c r="CM419" s="30">
        <v>510</v>
      </c>
      <c r="CN419" s="30">
        <v>308</v>
      </c>
      <c r="CO419" s="30">
        <v>5500</v>
      </c>
      <c r="CP419" s="30">
        <v>6318</v>
      </c>
      <c r="CQ419" s="1">
        <f t="shared" si="191"/>
        <v>1.2496044303797469</v>
      </c>
      <c r="CR419" s="47">
        <v>39940</v>
      </c>
      <c r="CS419" s="55">
        <f t="shared" si="184"/>
        <v>7.899525316455696</v>
      </c>
      <c r="CT419" s="59">
        <v>6548</v>
      </c>
      <c r="CU419" s="29" t="s">
        <v>25</v>
      </c>
      <c r="CV419" s="29" t="s">
        <v>25</v>
      </c>
      <c r="CW419" s="29" t="s">
        <v>25</v>
      </c>
      <c r="CX419" s="35">
        <v>1</v>
      </c>
      <c r="CY419" s="49">
        <f>C419/CX419</f>
        <v>5056</v>
      </c>
      <c r="CZ419" s="35">
        <v>0.9</v>
      </c>
      <c r="DA419" s="35">
        <v>0.45</v>
      </c>
      <c r="DB419" s="35">
        <v>2.35</v>
      </c>
      <c r="DC419" s="49">
        <f t="shared" si="185"/>
        <v>2151.4893617021276</v>
      </c>
      <c r="DD419" s="30">
        <v>624</v>
      </c>
      <c r="DE419" s="31">
        <v>42016</v>
      </c>
      <c r="DF419" s="35">
        <v>40</v>
      </c>
      <c r="DG419" s="29" t="s">
        <v>25</v>
      </c>
      <c r="DH419" s="29" t="s">
        <v>26</v>
      </c>
      <c r="DI419" s="29" t="s">
        <v>26</v>
      </c>
      <c r="DJ419" s="47">
        <v>55</v>
      </c>
      <c r="DK419" s="47">
        <v>28</v>
      </c>
      <c r="DL419" s="47">
        <v>18</v>
      </c>
      <c r="DM419" s="47">
        <v>20650</v>
      </c>
      <c r="DN419" s="47">
        <v>216</v>
      </c>
      <c r="DO419" s="47">
        <v>5188</v>
      </c>
      <c r="DP419" s="29" t="s">
        <v>25</v>
      </c>
      <c r="DQ419" s="47">
        <v>17400</v>
      </c>
      <c r="DR419" s="47">
        <v>1632</v>
      </c>
      <c r="DS419" s="30">
        <v>52</v>
      </c>
      <c r="DT419" s="30">
        <v>32</v>
      </c>
      <c r="DU419" s="30">
        <v>32</v>
      </c>
      <c r="DV419" s="30">
        <v>32</v>
      </c>
      <c r="DX419" s="2">
        <f t="shared" si="186"/>
        <v>1632</v>
      </c>
      <c r="DY419" s="33" t="s">
        <v>2182</v>
      </c>
      <c r="DZ419" s="33" t="s">
        <v>1096</v>
      </c>
      <c r="EA419" s="33" t="s">
        <v>2030</v>
      </c>
      <c r="EB419" s="33" t="s">
        <v>2027</v>
      </c>
      <c r="EC419" s="36">
        <v>323</v>
      </c>
      <c r="ED419" s="29" t="s">
        <v>1095</v>
      </c>
      <c r="EE419" s="29" t="s">
        <v>925</v>
      </c>
      <c r="EF419" s="37">
        <v>41548</v>
      </c>
      <c r="EG419" s="37">
        <v>41912</v>
      </c>
      <c r="EH419" s="29" t="s">
        <v>1095</v>
      </c>
      <c r="EI419" s="55">
        <f t="shared" si="187"/>
        <v>0.92464398734177211</v>
      </c>
      <c r="EJ419" s="54">
        <f t="shared" si="188"/>
        <v>0</v>
      </c>
      <c r="EK419" s="55">
        <f t="shared" si="189"/>
        <v>7.5504351265822782</v>
      </c>
      <c r="EL419" s="54">
        <f t="shared" si="190"/>
        <v>0</v>
      </c>
    </row>
    <row r="420" spans="1:142" ht="28.8" x14ac:dyDescent="0.3">
      <c r="A420" s="29" t="s">
        <v>1533</v>
      </c>
      <c r="B420" s="29"/>
      <c r="C420" s="30">
        <v>2990</v>
      </c>
      <c r="D420" s="30">
        <v>0</v>
      </c>
      <c r="E420" s="30">
        <v>0</v>
      </c>
      <c r="F420" s="30">
        <v>1260</v>
      </c>
      <c r="H420" s="2">
        <f t="shared" si="166"/>
        <v>1260</v>
      </c>
      <c r="I420" s="1">
        <f t="shared" si="165"/>
        <v>0.42140468227424749</v>
      </c>
      <c r="J420" s="31">
        <v>18815</v>
      </c>
      <c r="K420" s="31">
        <v>4431</v>
      </c>
      <c r="L420" s="31">
        <v>23246</v>
      </c>
      <c r="M420" s="45">
        <f t="shared" si="167"/>
        <v>7.7745819397993312</v>
      </c>
      <c r="N420" s="31">
        <v>1557</v>
      </c>
      <c r="O420" s="31">
        <v>0</v>
      </c>
      <c r="P420" s="31">
        <v>72</v>
      </c>
      <c r="Q420" s="31">
        <v>1629</v>
      </c>
      <c r="R420" s="45">
        <f t="shared" si="168"/>
        <v>0.5448160535117057</v>
      </c>
      <c r="S420" s="31">
        <v>6386</v>
      </c>
      <c r="T420" s="31">
        <v>31261</v>
      </c>
      <c r="U420" s="31">
        <v>0</v>
      </c>
      <c r="V420" s="31">
        <v>31261</v>
      </c>
      <c r="W420" s="45">
        <f t="shared" si="169"/>
        <v>10.455183946488294</v>
      </c>
      <c r="X420" s="4">
        <f t="shared" si="170"/>
        <v>0.74361024919228436</v>
      </c>
      <c r="Y420" s="4">
        <f t="shared" si="171"/>
        <v>5.2109657400594991E-2</v>
      </c>
      <c r="Z420" s="4">
        <f t="shared" si="172"/>
        <v>0.20428009340712069</v>
      </c>
      <c r="AA420" s="4">
        <f t="shared" si="173"/>
        <v>0</v>
      </c>
      <c r="AB420" s="31">
        <v>0</v>
      </c>
      <c r="AC420" s="31">
        <v>1629</v>
      </c>
      <c r="AD420" s="31">
        <v>31261</v>
      </c>
      <c r="AE420" s="31">
        <v>26667</v>
      </c>
      <c r="AF420" s="31">
        <v>26367</v>
      </c>
      <c r="AG420" s="31">
        <v>300</v>
      </c>
      <c r="AH420" s="31">
        <v>0</v>
      </c>
      <c r="AI420" s="31">
        <v>26667</v>
      </c>
      <c r="AJ420" s="45">
        <f t="shared" si="174"/>
        <v>8.9187290969899671</v>
      </c>
      <c r="AK420" s="31">
        <v>0</v>
      </c>
      <c r="AL420" s="31">
        <v>0</v>
      </c>
      <c r="AM420" s="31">
        <v>0</v>
      </c>
      <c r="AN420" s="31">
        <v>0</v>
      </c>
      <c r="AO420" s="31">
        <v>0</v>
      </c>
      <c r="AP420" s="31">
        <v>2024</v>
      </c>
      <c r="AQ420" s="31">
        <v>2024</v>
      </c>
      <c r="AR420" s="31">
        <v>28691</v>
      </c>
      <c r="AS420" s="46">
        <f t="shared" si="175"/>
        <v>9.5956521739130434</v>
      </c>
      <c r="AT420" s="31">
        <v>0</v>
      </c>
      <c r="AU420" s="31">
        <v>0</v>
      </c>
      <c r="AV420" s="31">
        <v>0</v>
      </c>
      <c r="AW420" s="31">
        <v>0</v>
      </c>
      <c r="AX420" s="31">
        <v>0</v>
      </c>
      <c r="AY420" s="31">
        <v>0</v>
      </c>
      <c r="AZ420" s="31">
        <v>0</v>
      </c>
      <c r="BA420" s="31">
        <v>0</v>
      </c>
      <c r="BB420" s="31">
        <v>0</v>
      </c>
      <c r="BC420" s="33" t="s">
        <v>25</v>
      </c>
      <c r="BD420" s="47">
        <v>9959</v>
      </c>
      <c r="BE420" s="47">
        <v>10396</v>
      </c>
      <c r="BF420" s="45">
        <f t="shared" si="176"/>
        <v>3.476923076923077</v>
      </c>
      <c r="BG420" s="30">
        <v>167</v>
      </c>
      <c r="BH420" s="30">
        <v>487</v>
      </c>
      <c r="BI420" s="30">
        <v>0</v>
      </c>
      <c r="BJ420" s="30">
        <v>191</v>
      </c>
      <c r="BK420" s="30">
        <v>231</v>
      </c>
      <c r="BL420" s="30">
        <v>0</v>
      </c>
      <c r="BM420" s="30">
        <v>1</v>
      </c>
      <c r="BN420" s="30">
        <v>0</v>
      </c>
      <c r="BO420" s="30">
        <v>51</v>
      </c>
      <c r="BP420" s="30">
        <v>0</v>
      </c>
      <c r="BQ420" s="30">
        <v>51</v>
      </c>
      <c r="BR420" s="47">
        <v>10317</v>
      </c>
      <c r="BS420" s="47">
        <v>11115</v>
      </c>
      <c r="BT420" s="1">
        <f t="shared" si="177"/>
        <v>3.7173913043478262</v>
      </c>
      <c r="BU420" s="30">
        <v>4</v>
      </c>
      <c r="BV420" s="30">
        <v>0</v>
      </c>
      <c r="BW420" s="47">
        <v>397</v>
      </c>
      <c r="BX420" s="52">
        <f t="shared" si="178"/>
        <v>0.13277591973244146</v>
      </c>
      <c r="BY420" s="47">
        <v>553</v>
      </c>
      <c r="BZ420" s="47">
        <v>0</v>
      </c>
      <c r="CA420" s="47">
        <v>3179</v>
      </c>
      <c r="CB420" s="47">
        <v>3</v>
      </c>
      <c r="CC420" s="47">
        <v>3735</v>
      </c>
      <c r="CD420" s="55">
        <f t="shared" si="179"/>
        <v>1.2491638795986622</v>
      </c>
      <c r="CE420" s="3">
        <f t="shared" si="180"/>
        <v>3599.9999999999995</v>
      </c>
      <c r="CF420" s="55">
        <f t="shared" si="181"/>
        <v>1.7785714285714285</v>
      </c>
      <c r="CG420" s="55">
        <f t="shared" si="182"/>
        <v>0.50228617536309839</v>
      </c>
      <c r="CH420" s="55">
        <f t="shared" si="183"/>
        <v>0.33576248313090418</v>
      </c>
      <c r="CI420" s="30">
        <v>5</v>
      </c>
      <c r="CJ420" s="30">
        <v>0</v>
      </c>
      <c r="CK420" s="30">
        <v>0</v>
      </c>
      <c r="CL420" s="30">
        <v>5</v>
      </c>
      <c r="CM420" s="30">
        <v>77</v>
      </c>
      <c r="CN420" s="30">
        <v>0</v>
      </c>
      <c r="CO420" s="30">
        <v>0</v>
      </c>
      <c r="CP420" s="30">
        <v>77</v>
      </c>
      <c r="CQ420" s="1">
        <f t="shared" si="191"/>
        <v>2.5752508361204015E-2</v>
      </c>
      <c r="CR420" s="47">
        <v>7436</v>
      </c>
      <c r="CS420" s="55">
        <f t="shared" si="184"/>
        <v>2.4869565217391303</v>
      </c>
      <c r="CT420" s="59">
        <v>1254</v>
      </c>
      <c r="CU420" s="29" t="s">
        <v>25</v>
      </c>
      <c r="CV420" s="29" t="s">
        <v>25</v>
      </c>
      <c r="CW420" s="29" t="s">
        <v>25</v>
      </c>
      <c r="CX420" s="35">
        <v>0</v>
      </c>
      <c r="CY420" s="49">
        <v>0</v>
      </c>
      <c r="CZ420" s="35">
        <v>1.0375000000000001</v>
      </c>
      <c r="DA420" s="35">
        <v>0</v>
      </c>
      <c r="DB420" s="35">
        <v>1.0375000000000001</v>
      </c>
      <c r="DC420" s="49">
        <f t="shared" si="185"/>
        <v>2881.9277108433735</v>
      </c>
      <c r="DD420" s="30">
        <v>500</v>
      </c>
      <c r="DE420" s="31">
        <v>18815</v>
      </c>
      <c r="DF420" s="35">
        <v>42</v>
      </c>
      <c r="DG420" s="29" t="s">
        <v>25</v>
      </c>
      <c r="DH420" s="29" t="s">
        <v>26</v>
      </c>
      <c r="DI420" s="29" t="s">
        <v>26</v>
      </c>
      <c r="DJ420" s="47">
        <v>0</v>
      </c>
      <c r="DK420" s="47">
        <v>0</v>
      </c>
      <c r="DL420" s="47">
        <v>9</v>
      </c>
      <c r="DM420" s="47">
        <v>4656</v>
      </c>
      <c r="DN420" s="47">
        <v>24</v>
      </c>
      <c r="DO420" s="47">
        <v>0</v>
      </c>
      <c r="DP420" s="29" t="s">
        <v>2028</v>
      </c>
      <c r="DQ420" s="47">
        <v>0</v>
      </c>
      <c r="DR420" s="47">
        <v>2100</v>
      </c>
      <c r="DS420" s="30">
        <v>50</v>
      </c>
      <c r="DT420" s="30">
        <v>42</v>
      </c>
      <c r="DU420" s="30">
        <v>42</v>
      </c>
      <c r="DV420" s="30">
        <v>42</v>
      </c>
      <c r="DX420" s="2">
        <f t="shared" si="186"/>
        <v>2100</v>
      </c>
      <c r="DY420" s="33" t="s">
        <v>2179</v>
      </c>
      <c r="DZ420" s="33" t="s">
        <v>1536</v>
      </c>
      <c r="EA420" s="33" t="s">
        <v>2030</v>
      </c>
      <c r="EB420" s="33" t="s">
        <v>2027</v>
      </c>
      <c r="EC420" s="36">
        <v>494</v>
      </c>
      <c r="ED420" s="29" t="s">
        <v>1534</v>
      </c>
      <c r="EE420" s="29" t="s">
        <v>295</v>
      </c>
      <c r="EF420" s="37">
        <v>41395</v>
      </c>
      <c r="EG420" s="37">
        <v>41759</v>
      </c>
      <c r="EH420" s="29" t="s">
        <v>1534</v>
      </c>
      <c r="EI420" s="55">
        <f t="shared" si="187"/>
        <v>0.18494983277591973</v>
      </c>
      <c r="EJ420" s="54">
        <f t="shared" si="188"/>
        <v>0</v>
      </c>
      <c r="EK420" s="55">
        <f t="shared" si="189"/>
        <v>1.063210702341137</v>
      </c>
      <c r="EL420" s="54">
        <f t="shared" si="190"/>
        <v>1.0033444816053511E-3</v>
      </c>
    </row>
    <row r="421" spans="1:142" ht="28.8" x14ac:dyDescent="0.3">
      <c r="A421" s="29" t="s">
        <v>1097</v>
      </c>
      <c r="B421" s="29"/>
      <c r="C421" s="30">
        <v>1852</v>
      </c>
      <c r="D421" s="30">
        <v>1</v>
      </c>
      <c r="E421" s="30">
        <v>0</v>
      </c>
      <c r="F421" s="30">
        <v>1736</v>
      </c>
      <c r="G421">
        <v>888</v>
      </c>
      <c r="H421" s="2">
        <f t="shared" si="166"/>
        <v>2624</v>
      </c>
      <c r="I421" s="1">
        <f t="shared" si="165"/>
        <v>1.4168466522678185</v>
      </c>
      <c r="J421" s="31">
        <v>71160</v>
      </c>
      <c r="K421" s="31">
        <v>5950</v>
      </c>
      <c r="L421" s="31">
        <v>77110</v>
      </c>
      <c r="M421" s="45">
        <f t="shared" si="167"/>
        <v>41.636069114470843</v>
      </c>
      <c r="N421" s="31">
        <v>14984</v>
      </c>
      <c r="O421" s="31">
        <v>0</v>
      </c>
      <c r="P421" s="31">
        <v>0</v>
      </c>
      <c r="Q421" s="31">
        <v>14984</v>
      </c>
      <c r="R421" s="45">
        <f t="shared" si="168"/>
        <v>8.0907127429805623</v>
      </c>
      <c r="S421" s="31">
        <v>7791</v>
      </c>
      <c r="T421" s="31">
        <v>99885</v>
      </c>
      <c r="U421" s="31">
        <v>0</v>
      </c>
      <c r="V421" s="31">
        <v>99885</v>
      </c>
      <c r="W421" s="45">
        <f t="shared" si="169"/>
        <v>53.933585313174945</v>
      </c>
      <c r="X421" s="4">
        <f t="shared" si="170"/>
        <v>0.77198778595384687</v>
      </c>
      <c r="Y421" s="4">
        <f t="shared" si="171"/>
        <v>0.15001251439155028</v>
      </c>
      <c r="Z421" s="4">
        <f t="shared" si="172"/>
        <v>7.7999699654602794E-2</v>
      </c>
      <c r="AA421" s="4">
        <f t="shared" si="173"/>
        <v>0</v>
      </c>
      <c r="AB421" s="31">
        <v>0</v>
      </c>
      <c r="AC421" s="31">
        <v>14984</v>
      </c>
      <c r="AD421" s="31">
        <v>99885</v>
      </c>
      <c r="AE421" s="31">
        <v>98940</v>
      </c>
      <c r="AF421" s="31">
        <v>0</v>
      </c>
      <c r="AG421" s="31">
        <v>98940</v>
      </c>
      <c r="AH421" s="31">
        <v>0</v>
      </c>
      <c r="AI421" s="31">
        <v>98940</v>
      </c>
      <c r="AJ421" s="45">
        <f t="shared" si="174"/>
        <v>53.423326133909285</v>
      </c>
      <c r="AK421" s="31">
        <v>0</v>
      </c>
      <c r="AL421" s="31">
        <v>0</v>
      </c>
      <c r="AM421" s="31">
        <v>0</v>
      </c>
      <c r="AN421" s="31">
        <v>0</v>
      </c>
      <c r="AO421" s="31">
        <v>0</v>
      </c>
      <c r="AP421" s="31">
        <v>945</v>
      </c>
      <c r="AQ421" s="31">
        <v>945</v>
      </c>
      <c r="AR421" s="31">
        <v>99885</v>
      </c>
      <c r="AS421" s="46">
        <f t="shared" si="175"/>
        <v>53.933585313174945</v>
      </c>
      <c r="AT421" s="31">
        <v>0</v>
      </c>
      <c r="AU421" s="31">
        <v>0</v>
      </c>
      <c r="AV421" s="31">
        <v>0</v>
      </c>
      <c r="AW421" s="31">
        <v>0</v>
      </c>
      <c r="AX421" s="31">
        <v>0</v>
      </c>
      <c r="AY421" s="31">
        <v>0</v>
      </c>
      <c r="AZ421" s="31">
        <v>0</v>
      </c>
      <c r="BA421" s="31">
        <v>0</v>
      </c>
      <c r="BB421" s="31">
        <v>0</v>
      </c>
      <c r="BC421" s="33" t="s">
        <v>25</v>
      </c>
      <c r="BD421" s="47">
        <v>20582</v>
      </c>
      <c r="BE421" s="47">
        <v>20708</v>
      </c>
      <c r="BF421" s="45">
        <f t="shared" si="176"/>
        <v>11.181425485961123</v>
      </c>
      <c r="BG421" s="30">
        <v>495</v>
      </c>
      <c r="BH421" s="30">
        <v>510</v>
      </c>
      <c r="BI421" s="30">
        <v>0</v>
      </c>
      <c r="BJ421" s="30">
        <v>253</v>
      </c>
      <c r="BK421" s="30">
        <v>261</v>
      </c>
      <c r="BL421" s="30">
        <v>0</v>
      </c>
      <c r="BM421" s="30">
        <v>0</v>
      </c>
      <c r="BN421" s="30">
        <v>0</v>
      </c>
      <c r="BO421" s="30">
        <v>51</v>
      </c>
      <c r="BP421" s="30">
        <v>0</v>
      </c>
      <c r="BQ421" s="30">
        <v>51</v>
      </c>
      <c r="BR421" s="47">
        <v>21330</v>
      </c>
      <c r="BS421" s="47">
        <v>21479</v>
      </c>
      <c r="BT421" s="1">
        <f t="shared" si="177"/>
        <v>11.597732181425487</v>
      </c>
      <c r="BU421" s="30">
        <v>29</v>
      </c>
      <c r="BV421" s="30">
        <v>0</v>
      </c>
      <c r="BW421" s="47">
        <v>3141</v>
      </c>
      <c r="BX421" s="52">
        <f t="shared" si="178"/>
        <v>1.6960043196544277</v>
      </c>
      <c r="BY421" s="47">
        <v>6273</v>
      </c>
      <c r="BZ421" s="47">
        <v>0</v>
      </c>
      <c r="CA421" s="47">
        <v>11649</v>
      </c>
      <c r="CB421" s="47">
        <v>0</v>
      </c>
      <c r="CC421" s="47">
        <v>17922</v>
      </c>
      <c r="CD421" s="55">
        <f t="shared" si="179"/>
        <v>9.6771058315334777</v>
      </c>
      <c r="CE421" s="3">
        <f t="shared" si="180"/>
        <v>8742.4390243902453</v>
      </c>
      <c r="CF421" s="55">
        <f t="shared" si="181"/>
        <v>6.6525612472160356</v>
      </c>
      <c r="CG421" s="55">
        <f t="shared" si="182"/>
        <v>0.55634196312162409</v>
      </c>
      <c r="CH421" s="55">
        <f t="shared" si="183"/>
        <v>0.83439638716886266</v>
      </c>
      <c r="CI421" s="30">
        <v>31</v>
      </c>
      <c r="CJ421" s="30">
        <v>0</v>
      </c>
      <c r="CK421" s="30">
        <v>0</v>
      </c>
      <c r="CL421" s="30">
        <v>31</v>
      </c>
      <c r="CM421" s="30">
        <v>402</v>
      </c>
      <c r="CN421" s="30">
        <v>0</v>
      </c>
      <c r="CO421" s="30">
        <v>0</v>
      </c>
      <c r="CP421" s="30">
        <v>402</v>
      </c>
      <c r="CQ421" s="1">
        <f t="shared" si="191"/>
        <v>0.21706263498920086</v>
      </c>
      <c r="CR421" s="47">
        <v>32214</v>
      </c>
      <c r="CS421" s="55">
        <f t="shared" si="184"/>
        <v>17.394168466522679</v>
      </c>
      <c r="CT421" s="59">
        <v>1247</v>
      </c>
      <c r="CU421" s="29" t="s">
        <v>25</v>
      </c>
      <c r="CV421" s="29" t="s">
        <v>25</v>
      </c>
      <c r="CW421" s="29" t="s">
        <v>25</v>
      </c>
      <c r="CX421" s="35">
        <v>0</v>
      </c>
      <c r="CY421" s="49">
        <v>0</v>
      </c>
      <c r="CZ421" s="35">
        <v>1.35</v>
      </c>
      <c r="DA421" s="35">
        <v>0.7</v>
      </c>
      <c r="DB421" s="35">
        <v>2.0499999999999998</v>
      </c>
      <c r="DC421" s="49">
        <f t="shared" si="185"/>
        <v>903.41463414634154</v>
      </c>
      <c r="DD421" s="30">
        <v>251</v>
      </c>
      <c r="DE421" s="31">
        <v>47672</v>
      </c>
      <c r="DF421" s="35">
        <v>40</v>
      </c>
      <c r="DG421" s="29" t="s">
        <v>25</v>
      </c>
      <c r="DH421" s="29" t="s">
        <v>25</v>
      </c>
      <c r="DI421" s="29" t="s">
        <v>25</v>
      </c>
      <c r="DJ421" s="47">
        <v>21</v>
      </c>
      <c r="DK421" s="47">
        <v>26</v>
      </c>
      <c r="DL421" s="47">
        <v>8</v>
      </c>
      <c r="DM421" s="47">
        <v>9176</v>
      </c>
      <c r="DN421" s="47">
        <v>38</v>
      </c>
      <c r="DO421" s="47">
        <v>372</v>
      </c>
      <c r="DP421" s="29" t="s">
        <v>2028</v>
      </c>
      <c r="DQ421" s="47">
        <v>0</v>
      </c>
      <c r="DR421" s="47">
        <v>1980</v>
      </c>
      <c r="DS421" s="30">
        <v>52</v>
      </c>
      <c r="DT421" s="30">
        <v>54</v>
      </c>
      <c r="DU421" s="30">
        <v>40</v>
      </c>
      <c r="DV421" s="30">
        <v>40</v>
      </c>
      <c r="DW421">
        <f>VLOOKUP(EC421,branch!$I$4:$K$77,3,0)</f>
        <v>714</v>
      </c>
      <c r="DX421" s="2">
        <f t="shared" si="186"/>
        <v>2694</v>
      </c>
      <c r="DY421" s="33" t="s">
        <v>2178</v>
      </c>
      <c r="DZ421" s="33" t="s">
        <v>1099</v>
      </c>
      <c r="EA421" s="33" t="s">
        <v>2031</v>
      </c>
      <c r="EB421" s="33" t="s">
        <v>2027</v>
      </c>
      <c r="EC421" s="36">
        <v>324</v>
      </c>
      <c r="ED421" s="29" t="s">
        <v>1098</v>
      </c>
      <c r="EE421" s="29" t="s">
        <v>890</v>
      </c>
      <c r="EF421" s="37">
        <v>41640</v>
      </c>
      <c r="EG421" s="37">
        <v>42004</v>
      </c>
      <c r="EH421" s="29" t="s">
        <v>1098</v>
      </c>
      <c r="EI421" s="55">
        <f t="shared" si="187"/>
        <v>3.3871490280777539</v>
      </c>
      <c r="EJ421" s="54">
        <f t="shared" si="188"/>
        <v>0</v>
      </c>
      <c r="EK421" s="55">
        <f t="shared" si="189"/>
        <v>6.2899568034557234</v>
      </c>
      <c r="EL421" s="54">
        <f t="shared" si="190"/>
        <v>0</v>
      </c>
    </row>
    <row r="422" spans="1:142" ht="28.8" x14ac:dyDescent="0.3">
      <c r="A422" s="29" t="s">
        <v>1100</v>
      </c>
      <c r="B422" s="29"/>
      <c r="C422" s="30">
        <v>21921</v>
      </c>
      <c r="D422" s="30">
        <v>0</v>
      </c>
      <c r="E422" s="30">
        <v>0</v>
      </c>
      <c r="F422" s="30">
        <v>6855</v>
      </c>
      <c r="H422" s="2">
        <f t="shared" si="166"/>
        <v>6855</v>
      </c>
      <c r="I422" s="1">
        <f t="shared" si="165"/>
        <v>0.31271383604762554</v>
      </c>
      <c r="J422" s="31">
        <v>89005</v>
      </c>
      <c r="K422" s="31">
        <v>29602</v>
      </c>
      <c r="L422" s="31">
        <v>118607</v>
      </c>
      <c r="M422" s="45">
        <f t="shared" si="167"/>
        <v>5.4106564481547377</v>
      </c>
      <c r="N422" s="31">
        <v>29200</v>
      </c>
      <c r="O422" s="31">
        <v>3350</v>
      </c>
      <c r="P422" s="31">
        <v>4200</v>
      </c>
      <c r="Q422" s="31">
        <v>36750</v>
      </c>
      <c r="R422" s="45">
        <f t="shared" si="168"/>
        <v>1.6764746133844259</v>
      </c>
      <c r="S422" s="31">
        <v>10173</v>
      </c>
      <c r="T422" s="31">
        <v>165530</v>
      </c>
      <c r="U422" s="31">
        <v>4193</v>
      </c>
      <c r="V422" s="31">
        <v>169723</v>
      </c>
      <c r="W422" s="45">
        <f t="shared" si="169"/>
        <v>7.7424843757127872</v>
      </c>
      <c r="X422" s="4">
        <f t="shared" si="170"/>
        <v>0.69882691208616388</v>
      </c>
      <c r="Y422" s="4">
        <f t="shared" si="171"/>
        <v>0.2165292859541724</v>
      </c>
      <c r="Z422" s="4">
        <f t="shared" si="172"/>
        <v>5.9938841524130496E-2</v>
      </c>
      <c r="AA422" s="4">
        <f t="shared" si="173"/>
        <v>2.4704960435533191E-2</v>
      </c>
      <c r="AB422" s="31">
        <v>0</v>
      </c>
      <c r="AC422" s="31">
        <v>32000</v>
      </c>
      <c r="AD422" s="31">
        <v>164973</v>
      </c>
      <c r="AE422" s="31">
        <v>151530</v>
      </c>
      <c r="AF422" s="31">
        <v>0</v>
      </c>
      <c r="AG422" s="31">
        <v>140000</v>
      </c>
      <c r="AH422" s="31">
        <v>0</v>
      </c>
      <c r="AI422" s="31">
        <v>140000</v>
      </c>
      <c r="AJ422" s="45">
        <f t="shared" si="174"/>
        <v>6.3865699557501943</v>
      </c>
      <c r="AK422" s="31">
        <v>0</v>
      </c>
      <c r="AL422" s="31">
        <v>0</v>
      </c>
      <c r="AM422" s="31">
        <v>0</v>
      </c>
      <c r="AN422" s="31">
        <v>0</v>
      </c>
      <c r="AO422" s="31">
        <v>0</v>
      </c>
      <c r="AP422" s="31">
        <v>0</v>
      </c>
      <c r="AQ422" s="31">
        <v>0</v>
      </c>
      <c r="AR422" s="31">
        <v>140000</v>
      </c>
      <c r="AS422" s="46">
        <f t="shared" si="175"/>
        <v>6.3865699557501943</v>
      </c>
      <c r="AT422" s="31">
        <v>0</v>
      </c>
      <c r="AU422" s="31">
        <v>0</v>
      </c>
      <c r="AV422" s="31">
        <v>0</v>
      </c>
      <c r="AW422" s="31">
        <v>0</v>
      </c>
      <c r="AX422" s="31">
        <v>0</v>
      </c>
      <c r="AY422" s="31">
        <v>0</v>
      </c>
      <c r="AZ422" s="31">
        <v>0</v>
      </c>
      <c r="BA422" s="31">
        <v>0</v>
      </c>
      <c r="BB422" s="31">
        <v>0</v>
      </c>
      <c r="BC422" s="33" t="s">
        <v>25</v>
      </c>
      <c r="BD422" s="47">
        <v>61000</v>
      </c>
      <c r="BE422" s="47">
        <v>62100</v>
      </c>
      <c r="BF422" s="45">
        <f t="shared" si="176"/>
        <v>2.8328999589434787</v>
      </c>
      <c r="BG422" s="30">
        <v>250</v>
      </c>
      <c r="BH422" s="30">
        <v>255</v>
      </c>
      <c r="BI422" s="30">
        <v>0</v>
      </c>
      <c r="BJ422" s="30">
        <v>325</v>
      </c>
      <c r="BK422" s="30">
        <v>326</v>
      </c>
      <c r="BL422" s="30">
        <v>0</v>
      </c>
      <c r="BM422" s="30">
        <v>0</v>
      </c>
      <c r="BN422" s="30">
        <v>0</v>
      </c>
      <c r="BO422" s="30">
        <v>51</v>
      </c>
      <c r="BP422" s="30">
        <v>0</v>
      </c>
      <c r="BQ422" s="30">
        <v>51</v>
      </c>
      <c r="BR422" s="47">
        <v>61575</v>
      </c>
      <c r="BS422" s="47">
        <v>62681</v>
      </c>
      <c r="BT422" s="1">
        <f t="shared" si="177"/>
        <v>2.8594042242598423</v>
      </c>
      <c r="BU422" s="30">
        <v>40</v>
      </c>
      <c r="BV422" s="30">
        <v>0</v>
      </c>
      <c r="BW422" s="47">
        <v>225</v>
      </c>
      <c r="BX422" s="52">
        <f t="shared" si="178"/>
        <v>1.0264130286027098E-2</v>
      </c>
      <c r="BY422" s="47">
        <v>3100</v>
      </c>
      <c r="BZ422" s="47">
        <v>0</v>
      </c>
      <c r="CA422" s="47">
        <v>60100</v>
      </c>
      <c r="CB422" s="47">
        <v>0</v>
      </c>
      <c r="CC422" s="47">
        <v>63200</v>
      </c>
      <c r="CD422" s="55">
        <f t="shared" si="179"/>
        <v>2.8830801514529445</v>
      </c>
      <c r="CE422" s="3">
        <f t="shared" si="180"/>
        <v>15800</v>
      </c>
      <c r="CF422" s="55">
        <f t="shared" si="181"/>
        <v>28.727272727272727</v>
      </c>
      <c r="CG422" s="55">
        <f t="shared" si="182"/>
        <v>2.1944444444444446</v>
      </c>
      <c r="CH422" s="55">
        <f t="shared" si="183"/>
        <v>1.008280021059013</v>
      </c>
      <c r="CI422" s="30">
        <v>25</v>
      </c>
      <c r="CJ422" s="30">
        <v>4</v>
      </c>
      <c r="CK422" s="30">
        <v>4</v>
      </c>
      <c r="CL422" s="30">
        <v>33</v>
      </c>
      <c r="CM422" s="30">
        <v>350</v>
      </c>
      <c r="CN422" s="30">
        <v>40</v>
      </c>
      <c r="CO422" s="30">
        <v>20</v>
      </c>
      <c r="CP422" s="30">
        <v>410</v>
      </c>
      <c r="CQ422" s="1">
        <f t="shared" si="191"/>
        <v>1.8703526298982712E-2</v>
      </c>
      <c r="CR422" s="47">
        <v>28800</v>
      </c>
      <c r="CS422" s="55">
        <f t="shared" si="184"/>
        <v>1.3138086766114685</v>
      </c>
      <c r="CT422" s="59">
        <v>6200</v>
      </c>
      <c r="CU422" s="29" t="s">
        <v>25</v>
      </c>
      <c r="CV422" s="29" t="s">
        <v>25</v>
      </c>
      <c r="CW422" s="29" t="s">
        <v>25</v>
      </c>
      <c r="CX422" s="35">
        <v>0</v>
      </c>
      <c r="CY422" s="49">
        <v>0</v>
      </c>
      <c r="CZ422" s="35">
        <v>1</v>
      </c>
      <c r="DA422" s="35">
        <v>3</v>
      </c>
      <c r="DB422" s="35">
        <v>4</v>
      </c>
      <c r="DC422" s="49">
        <f t="shared" si="185"/>
        <v>5480.25</v>
      </c>
      <c r="DD422" s="30">
        <v>250</v>
      </c>
      <c r="DE422" s="31">
        <v>39101</v>
      </c>
      <c r="DF422" s="35">
        <v>40</v>
      </c>
      <c r="DG422" s="29" t="s">
        <v>25</v>
      </c>
      <c r="DH422" s="29" t="s">
        <v>26</v>
      </c>
      <c r="DI422" s="29" t="s">
        <v>26</v>
      </c>
      <c r="DJ422" s="47">
        <v>0</v>
      </c>
      <c r="DK422" s="47">
        <v>0</v>
      </c>
      <c r="DL422" s="47">
        <v>15</v>
      </c>
      <c r="DM422" s="47">
        <v>5400</v>
      </c>
      <c r="DN422" s="47">
        <v>65</v>
      </c>
      <c r="DO422" s="47">
        <v>210</v>
      </c>
      <c r="DP422" s="29" t="s">
        <v>2028</v>
      </c>
      <c r="DQ422" s="47">
        <v>0</v>
      </c>
      <c r="DR422" s="47">
        <v>2200</v>
      </c>
      <c r="DS422" s="30">
        <v>49</v>
      </c>
      <c r="DT422" s="30">
        <v>45</v>
      </c>
      <c r="DU422" s="30">
        <v>45</v>
      </c>
      <c r="DV422" s="30">
        <v>45</v>
      </c>
      <c r="DX422" s="2">
        <f t="shared" si="186"/>
        <v>2200</v>
      </c>
      <c r="DY422" s="33" t="s">
        <v>2180</v>
      </c>
      <c r="DZ422" s="33" t="s">
        <v>1103</v>
      </c>
      <c r="EA422" s="33" t="s">
        <v>2031</v>
      </c>
      <c r="EB422" s="33" t="s">
        <v>2027</v>
      </c>
      <c r="EC422" s="36">
        <v>325</v>
      </c>
      <c r="ED422" s="29" t="s">
        <v>1101</v>
      </c>
      <c r="EE422" s="29" t="s">
        <v>1102</v>
      </c>
      <c r="EF422" s="37">
        <v>41548</v>
      </c>
      <c r="EG422" s="37">
        <v>41912</v>
      </c>
      <c r="EH422" s="29" t="s">
        <v>1101</v>
      </c>
      <c r="EI422" s="55">
        <f t="shared" si="187"/>
        <v>0.14141690616304001</v>
      </c>
      <c r="EJ422" s="54">
        <f t="shared" si="188"/>
        <v>0</v>
      </c>
      <c r="EK422" s="55">
        <f t="shared" si="189"/>
        <v>2.7416632452899048</v>
      </c>
      <c r="EL422" s="54">
        <f t="shared" si="190"/>
        <v>0</v>
      </c>
    </row>
    <row r="423" spans="1:142" ht="28.8" x14ac:dyDescent="0.3">
      <c r="A423" s="29" t="s">
        <v>1775</v>
      </c>
      <c r="B423" s="29"/>
      <c r="C423" s="30">
        <v>11245</v>
      </c>
      <c r="D423" s="30">
        <v>0</v>
      </c>
      <c r="E423" s="30">
        <v>0</v>
      </c>
      <c r="F423" s="30">
        <v>950</v>
      </c>
      <c r="H423" s="2">
        <f t="shared" si="166"/>
        <v>950</v>
      </c>
      <c r="I423" s="1">
        <f t="shared" si="165"/>
        <v>8.4481991996442865E-2</v>
      </c>
      <c r="J423" s="31">
        <v>92520</v>
      </c>
      <c r="K423" s="31">
        <v>29300</v>
      </c>
      <c r="L423" s="31">
        <v>121820</v>
      </c>
      <c r="M423" s="45">
        <f t="shared" si="167"/>
        <v>10.833259226322809</v>
      </c>
      <c r="N423" s="31">
        <v>12797</v>
      </c>
      <c r="O423" s="31">
        <v>1452</v>
      </c>
      <c r="P423" s="31">
        <v>5101</v>
      </c>
      <c r="Q423" s="31">
        <v>19350</v>
      </c>
      <c r="R423" s="45">
        <f t="shared" si="168"/>
        <v>1.7207647843485994</v>
      </c>
      <c r="S423" s="31">
        <v>10050</v>
      </c>
      <c r="T423" s="31">
        <v>151220</v>
      </c>
      <c r="U423" s="31">
        <v>0</v>
      </c>
      <c r="V423" s="31">
        <v>151220</v>
      </c>
      <c r="W423" s="45">
        <f t="shared" si="169"/>
        <v>13.447754557581147</v>
      </c>
      <c r="X423" s="4">
        <f t="shared" si="170"/>
        <v>0.80558127231847643</v>
      </c>
      <c r="Y423" s="4">
        <f t="shared" si="171"/>
        <v>0.12795926464753341</v>
      </c>
      <c r="Z423" s="4">
        <f t="shared" si="172"/>
        <v>6.645946303399021E-2</v>
      </c>
      <c r="AA423" s="4">
        <f t="shared" si="173"/>
        <v>0</v>
      </c>
      <c r="AB423" s="31">
        <v>2013</v>
      </c>
      <c r="AC423" s="31">
        <v>19350</v>
      </c>
      <c r="AD423" s="31">
        <v>151220</v>
      </c>
      <c r="AE423" s="31">
        <v>151220</v>
      </c>
      <c r="AF423" s="31">
        <v>151220</v>
      </c>
      <c r="AG423" s="31">
        <v>0</v>
      </c>
      <c r="AH423" s="31">
        <v>0</v>
      </c>
      <c r="AI423" s="31">
        <v>151220</v>
      </c>
      <c r="AJ423" s="45">
        <f t="shared" si="174"/>
        <v>13.447754557581147</v>
      </c>
      <c r="AK423" s="31">
        <v>0</v>
      </c>
      <c r="AL423" s="31">
        <v>0</v>
      </c>
      <c r="AM423" s="31">
        <v>0</v>
      </c>
      <c r="AN423" s="31">
        <v>0</v>
      </c>
      <c r="AO423" s="31">
        <v>0</v>
      </c>
      <c r="AP423" s="31">
        <v>0</v>
      </c>
      <c r="AQ423" s="31">
        <v>0</v>
      </c>
      <c r="AR423" s="31">
        <v>151220</v>
      </c>
      <c r="AS423" s="46">
        <f t="shared" si="175"/>
        <v>13.447754557581147</v>
      </c>
      <c r="AT423" s="31">
        <v>2013</v>
      </c>
      <c r="AU423" s="31">
        <v>0</v>
      </c>
      <c r="AV423" s="31">
        <v>0</v>
      </c>
      <c r="AW423" s="31">
        <v>0</v>
      </c>
      <c r="AX423" s="31">
        <v>0</v>
      </c>
      <c r="AY423" s="31">
        <v>0</v>
      </c>
      <c r="AZ423" s="31">
        <v>0</v>
      </c>
      <c r="BA423" s="31">
        <v>0</v>
      </c>
      <c r="BB423" s="31">
        <v>2013</v>
      </c>
      <c r="BC423" s="33" t="s">
        <v>25</v>
      </c>
      <c r="BD423" s="47">
        <v>13256</v>
      </c>
      <c r="BE423" s="47">
        <v>13639</v>
      </c>
      <c r="BF423" s="45">
        <f t="shared" si="176"/>
        <v>1.212894619831036</v>
      </c>
      <c r="BG423" s="30">
        <v>137</v>
      </c>
      <c r="BH423" s="30">
        <v>140</v>
      </c>
      <c r="BI423" s="30">
        <v>1440</v>
      </c>
      <c r="BJ423" s="30">
        <v>1791</v>
      </c>
      <c r="BK423" s="30">
        <v>1833</v>
      </c>
      <c r="BL423" s="30">
        <v>24</v>
      </c>
      <c r="BM423" s="30">
        <v>9033</v>
      </c>
      <c r="BN423" s="30">
        <v>0</v>
      </c>
      <c r="BO423" s="30">
        <v>51</v>
      </c>
      <c r="BP423" s="30">
        <v>0</v>
      </c>
      <c r="BQ423" s="30">
        <v>51</v>
      </c>
      <c r="BR423" s="47">
        <v>15184</v>
      </c>
      <c r="BS423" s="47">
        <v>26109</v>
      </c>
      <c r="BT423" s="1">
        <f t="shared" si="177"/>
        <v>2.3218319253001334</v>
      </c>
      <c r="BU423" s="30">
        <v>15</v>
      </c>
      <c r="BV423" s="30">
        <v>0</v>
      </c>
      <c r="BW423" s="47">
        <v>1008</v>
      </c>
      <c r="BX423" s="52">
        <f t="shared" si="178"/>
        <v>8.9639839928857268E-2</v>
      </c>
      <c r="BY423" s="47">
        <v>15016</v>
      </c>
      <c r="BZ423" s="47">
        <v>0</v>
      </c>
      <c r="CA423" s="47">
        <v>17684</v>
      </c>
      <c r="CB423" s="47">
        <v>1004</v>
      </c>
      <c r="CC423" s="47">
        <v>33704</v>
      </c>
      <c r="CD423" s="55">
        <f t="shared" si="179"/>
        <v>2.9972432192085372</v>
      </c>
      <c r="CE423" s="3">
        <f t="shared" si="180"/>
        <v>14653.913043478262</v>
      </c>
      <c r="CF423" s="55">
        <f t="shared" si="181"/>
        <v>17.005045408678104</v>
      </c>
      <c r="CG423" s="55">
        <f t="shared" si="182"/>
        <v>1.2570490825003731</v>
      </c>
      <c r="CH423" s="55">
        <f t="shared" si="183"/>
        <v>1.2524416867746755</v>
      </c>
      <c r="CI423" s="30">
        <v>112</v>
      </c>
      <c r="CJ423" s="30">
        <v>0</v>
      </c>
      <c r="CK423" s="30">
        <v>20</v>
      </c>
      <c r="CL423" s="30">
        <v>132</v>
      </c>
      <c r="CM423" s="30">
        <v>2497</v>
      </c>
      <c r="CN423" s="30">
        <v>0</v>
      </c>
      <c r="CO423" s="30">
        <v>245</v>
      </c>
      <c r="CP423" s="30">
        <v>2742</v>
      </c>
      <c r="CQ423" s="1">
        <f t="shared" si="191"/>
        <v>0.24384170742552244</v>
      </c>
      <c r="CR423" s="47">
        <v>26812</v>
      </c>
      <c r="CS423" s="55">
        <f t="shared" si="184"/>
        <v>2.3843485993775011</v>
      </c>
      <c r="CT423" s="59">
        <v>5790</v>
      </c>
      <c r="CU423" s="29" t="s">
        <v>25</v>
      </c>
      <c r="CV423" s="29" t="s">
        <v>25</v>
      </c>
      <c r="CW423" s="29" t="s">
        <v>25</v>
      </c>
      <c r="CX423" s="35">
        <v>1</v>
      </c>
      <c r="CY423" s="49">
        <f>C423/CX423</f>
        <v>11245</v>
      </c>
      <c r="CZ423" s="35">
        <v>0</v>
      </c>
      <c r="DA423" s="35">
        <v>1.3</v>
      </c>
      <c r="DB423" s="35">
        <v>2.2999999999999998</v>
      </c>
      <c r="DC423" s="49">
        <f t="shared" si="185"/>
        <v>4889.130434782609</v>
      </c>
      <c r="DD423" s="30">
        <v>379</v>
      </c>
      <c r="DE423" s="31">
        <v>28000</v>
      </c>
      <c r="DF423" s="35">
        <v>40</v>
      </c>
      <c r="DG423" s="29" t="s">
        <v>25</v>
      </c>
      <c r="DH423" s="29" t="s">
        <v>25</v>
      </c>
      <c r="DI423" s="29" t="s">
        <v>25</v>
      </c>
      <c r="DJ423" s="47">
        <v>0</v>
      </c>
      <c r="DK423" s="47">
        <v>0</v>
      </c>
      <c r="DL423" s="47">
        <v>5</v>
      </c>
      <c r="DM423" s="47">
        <v>4304</v>
      </c>
      <c r="DN423" s="47">
        <v>1</v>
      </c>
      <c r="DO423" s="47">
        <v>775</v>
      </c>
      <c r="DP423" s="29" t="s">
        <v>2028</v>
      </c>
      <c r="DQ423" s="47">
        <v>0</v>
      </c>
      <c r="DR423" s="47">
        <v>1982</v>
      </c>
      <c r="DS423" s="30">
        <v>52</v>
      </c>
      <c r="DT423" s="30">
        <v>40</v>
      </c>
      <c r="DU423" s="30">
        <v>40</v>
      </c>
      <c r="DV423" s="30">
        <v>40</v>
      </c>
      <c r="DX423" s="2">
        <f t="shared" si="186"/>
        <v>1982</v>
      </c>
      <c r="DY423" s="33" t="s">
        <v>2182</v>
      </c>
      <c r="DZ423" s="33" t="s">
        <v>1776</v>
      </c>
      <c r="EA423" s="33" t="s">
        <v>2030</v>
      </c>
      <c r="EB423" s="33" t="s">
        <v>2027</v>
      </c>
      <c r="EC423" s="36">
        <v>619</v>
      </c>
      <c r="ED423" s="29" t="s">
        <v>1774</v>
      </c>
      <c r="EE423" s="29" t="s">
        <v>494</v>
      </c>
      <c r="EF423" s="37">
        <v>41548</v>
      </c>
      <c r="EG423" s="37">
        <v>41912</v>
      </c>
      <c r="EH423" s="29" t="s">
        <v>1774</v>
      </c>
      <c r="EI423" s="55">
        <f t="shared" si="187"/>
        <v>1.3353490440195643</v>
      </c>
      <c r="EJ423" s="54">
        <f t="shared" si="188"/>
        <v>0</v>
      </c>
      <c r="EK423" s="55">
        <f t="shared" si="189"/>
        <v>1.5726100489106269</v>
      </c>
      <c r="EL423" s="54">
        <f t="shared" si="190"/>
        <v>8.9284126278345935E-2</v>
      </c>
    </row>
    <row r="424" spans="1:142" ht="43.2" x14ac:dyDescent="0.3">
      <c r="A424" s="29" t="s">
        <v>1104</v>
      </c>
      <c r="B424" s="29"/>
      <c r="C424" s="30">
        <v>7305</v>
      </c>
      <c r="D424" s="30">
        <v>0</v>
      </c>
      <c r="E424" s="30">
        <v>0</v>
      </c>
      <c r="F424" s="30">
        <v>4080</v>
      </c>
      <c r="H424" s="2">
        <f t="shared" si="166"/>
        <v>4080</v>
      </c>
      <c r="I424" s="1">
        <f t="shared" si="165"/>
        <v>0.55852156057494862</v>
      </c>
      <c r="J424" s="31">
        <v>78977</v>
      </c>
      <c r="K424" s="31">
        <v>11447</v>
      </c>
      <c r="L424" s="31">
        <v>90424</v>
      </c>
      <c r="M424" s="45">
        <f t="shared" si="167"/>
        <v>12.378370978781657</v>
      </c>
      <c r="N424" s="31">
        <v>9656</v>
      </c>
      <c r="O424" s="31">
        <v>0</v>
      </c>
      <c r="P424" s="31">
        <v>1368</v>
      </c>
      <c r="Q424" s="31">
        <v>11024</v>
      </c>
      <c r="R424" s="45">
        <f t="shared" si="168"/>
        <v>1.5091033538672143</v>
      </c>
      <c r="S424" s="31">
        <v>50823</v>
      </c>
      <c r="T424" s="31">
        <v>152271</v>
      </c>
      <c r="U424" s="31">
        <v>365</v>
      </c>
      <c r="V424" s="31">
        <v>152636</v>
      </c>
      <c r="W424" s="45">
        <f t="shared" si="169"/>
        <v>20.894729637234772</v>
      </c>
      <c r="X424" s="4">
        <f t="shared" si="170"/>
        <v>0.59241594381404128</v>
      </c>
      <c r="Y424" s="4">
        <f t="shared" si="171"/>
        <v>7.2224114887706706E-2</v>
      </c>
      <c r="Z424" s="4">
        <f t="shared" si="172"/>
        <v>0.33296863125343956</v>
      </c>
      <c r="AA424" s="4">
        <f t="shared" si="173"/>
        <v>2.3913100448124951E-3</v>
      </c>
      <c r="AB424" s="31">
        <v>0</v>
      </c>
      <c r="AC424" s="31">
        <v>11024</v>
      </c>
      <c r="AD424" s="31">
        <v>119911</v>
      </c>
      <c r="AE424" s="31">
        <v>75582</v>
      </c>
      <c r="AF424" s="31">
        <v>0</v>
      </c>
      <c r="AG424" s="31">
        <v>75217</v>
      </c>
      <c r="AH424" s="31">
        <v>0</v>
      </c>
      <c r="AI424" s="31">
        <v>75217</v>
      </c>
      <c r="AJ424" s="45">
        <f t="shared" si="174"/>
        <v>10.296646132785764</v>
      </c>
      <c r="AK424" s="31">
        <v>0</v>
      </c>
      <c r="AL424" s="31">
        <v>0</v>
      </c>
      <c r="AM424" s="31">
        <v>0</v>
      </c>
      <c r="AN424" s="31">
        <v>0</v>
      </c>
      <c r="AO424" s="31">
        <v>74725</v>
      </c>
      <c r="AP424" s="31">
        <v>1778</v>
      </c>
      <c r="AQ424" s="31">
        <v>76503</v>
      </c>
      <c r="AR424" s="31">
        <v>151720</v>
      </c>
      <c r="AS424" s="46">
        <f t="shared" si="175"/>
        <v>20.769336071184121</v>
      </c>
      <c r="AT424" s="31">
        <v>0</v>
      </c>
      <c r="AU424" s="31">
        <v>0</v>
      </c>
      <c r="AV424" s="31">
        <v>0</v>
      </c>
      <c r="AW424" s="31">
        <v>0</v>
      </c>
      <c r="AX424" s="31">
        <v>0</v>
      </c>
      <c r="AY424" s="31">
        <v>0</v>
      </c>
      <c r="AZ424" s="31">
        <v>0</v>
      </c>
      <c r="BA424" s="31">
        <v>0</v>
      </c>
      <c r="BB424" s="31">
        <v>0</v>
      </c>
      <c r="BC424" s="33" t="s">
        <v>25</v>
      </c>
      <c r="BD424" s="47">
        <v>16270</v>
      </c>
      <c r="BE424" s="47">
        <v>16313</v>
      </c>
      <c r="BF424" s="45">
        <f t="shared" si="176"/>
        <v>2.2331279945242986</v>
      </c>
      <c r="BG424" s="30">
        <v>484</v>
      </c>
      <c r="BH424" s="30">
        <v>488</v>
      </c>
      <c r="BI424" s="30">
        <v>0</v>
      </c>
      <c r="BJ424" s="30">
        <v>1251</v>
      </c>
      <c r="BK424" s="30">
        <v>1263</v>
      </c>
      <c r="BL424" s="30">
        <v>0</v>
      </c>
      <c r="BM424" s="30">
        <v>0</v>
      </c>
      <c r="BN424" s="30">
        <v>0</v>
      </c>
      <c r="BO424" s="30">
        <v>51</v>
      </c>
      <c r="BP424" s="30">
        <v>0</v>
      </c>
      <c r="BQ424" s="30">
        <v>51</v>
      </c>
      <c r="BR424" s="47">
        <v>18005</v>
      </c>
      <c r="BS424" s="47">
        <v>18064</v>
      </c>
      <c r="BT424" s="1">
        <f t="shared" si="177"/>
        <v>2.4728268309377137</v>
      </c>
      <c r="BU424" s="30">
        <v>40</v>
      </c>
      <c r="BV424" s="30">
        <v>0</v>
      </c>
      <c r="BW424" s="47">
        <v>787</v>
      </c>
      <c r="BX424" s="52">
        <f t="shared" si="178"/>
        <v>0.10773442847364818</v>
      </c>
      <c r="BY424" s="47">
        <v>3453</v>
      </c>
      <c r="BZ424" s="47">
        <v>0</v>
      </c>
      <c r="CA424" s="47">
        <v>7699</v>
      </c>
      <c r="CB424" s="47">
        <v>0</v>
      </c>
      <c r="CC424" s="47">
        <v>11152</v>
      </c>
      <c r="CD424" s="55">
        <f t="shared" si="179"/>
        <v>1.5266255989048596</v>
      </c>
      <c r="CE424" s="3">
        <f t="shared" si="180"/>
        <v>4460.8</v>
      </c>
      <c r="CF424" s="55">
        <f t="shared" si="181"/>
        <v>5.089913281606572</v>
      </c>
      <c r="CG424" s="55">
        <f t="shared" si="182"/>
        <v>0.79305930877542308</v>
      </c>
      <c r="CH424" s="55">
        <f t="shared" si="183"/>
        <v>0.61736049601417187</v>
      </c>
      <c r="CI424" s="30">
        <v>84</v>
      </c>
      <c r="CJ424" s="30">
        <v>0</v>
      </c>
      <c r="CK424" s="30">
        <v>1</v>
      </c>
      <c r="CL424" s="30">
        <v>85</v>
      </c>
      <c r="CM424" s="30">
        <v>1465</v>
      </c>
      <c r="CN424" s="30">
        <v>0</v>
      </c>
      <c r="CO424" s="30">
        <v>7</v>
      </c>
      <c r="CP424" s="30">
        <v>1472</v>
      </c>
      <c r="CQ424" s="1">
        <f t="shared" si="191"/>
        <v>0.20150581793292266</v>
      </c>
      <c r="CR424" s="47">
        <v>14062</v>
      </c>
      <c r="CS424" s="55">
        <f t="shared" si="184"/>
        <v>1.9249828884325804</v>
      </c>
      <c r="CT424" s="59">
        <v>1882</v>
      </c>
      <c r="CU424" s="29" t="s">
        <v>25</v>
      </c>
      <c r="CV424" s="29" t="s">
        <v>25</v>
      </c>
      <c r="CW424" s="29" t="s">
        <v>25</v>
      </c>
      <c r="CX424" s="35">
        <v>0</v>
      </c>
      <c r="CY424" s="49">
        <v>0</v>
      </c>
      <c r="CZ424" s="35">
        <v>1</v>
      </c>
      <c r="DA424" s="35">
        <v>1.5</v>
      </c>
      <c r="DB424" s="35">
        <v>2.5</v>
      </c>
      <c r="DC424" s="49">
        <f t="shared" si="185"/>
        <v>2922</v>
      </c>
      <c r="DD424" s="30">
        <v>62</v>
      </c>
      <c r="DE424" s="31">
        <v>38629</v>
      </c>
      <c r="DF424" s="35">
        <v>40</v>
      </c>
      <c r="DG424" s="29" t="s">
        <v>25</v>
      </c>
      <c r="DH424" s="29" t="s">
        <v>25</v>
      </c>
      <c r="DI424" s="29" t="s">
        <v>25</v>
      </c>
      <c r="DJ424" s="47">
        <v>109</v>
      </c>
      <c r="DK424" s="47">
        <v>33</v>
      </c>
      <c r="DL424" s="47">
        <v>6</v>
      </c>
      <c r="DM424" s="47">
        <v>2588</v>
      </c>
      <c r="DN424" s="47">
        <v>1040</v>
      </c>
      <c r="DO424" s="47">
        <v>650</v>
      </c>
      <c r="DP424" s="29" t="s">
        <v>2028</v>
      </c>
      <c r="DQ424" s="47">
        <v>0</v>
      </c>
      <c r="DR424" s="47">
        <v>2191</v>
      </c>
      <c r="DS424" s="30">
        <v>49</v>
      </c>
      <c r="DT424" s="30">
        <v>45</v>
      </c>
      <c r="DU424" s="30">
        <v>45</v>
      </c>
      <c r="DV424" s="30">
        <v>45</v>
      </c>
      <c r="DX424" s="2">
        <f t="shared" si="186"/>
        <v>2191</v>
      </c>
      <c r="DY424" s="33" t="s">
        <v>2180</v>
      </c>
      <c r="DZ424" s="33" t="s">
        <v>1106</v>
      </c>
      <c r="EA424" s="33" t="s">
        <v>2031</v>
      </c>
      <c r="EB424" s="33" t="s">
        <v>2027</v>
      </c>
      <c r="EC424" s="36">
        <v>326</v>
      </c>
      <c r="ED424" s="29" t="s">
        <v>1105</v>
      </c>
      <c r="EE424" s="29" t="s">
        <v>1104</v>
      </c>
      <c r="EF424" s="37">
        <v>41548</v>
      </c>
      <c r="EG424" s="37">
        <v>41912</v>
      </c>
      <c r="EH424" s="29" t="s">
        <v>1105</v>
      </c>
      <c r="EI424" s="55">
        <f t="shared" si="187"/>
        <v>0.47268993839835727</v>
      </c>
      <c r="EJ424" s="54">
        <f t="shared" si="188"/>
        <v>0</v>
      </c>
      <c r="EK424" s="55">
        <f t="shared" si="189"/>
        <v>1.0539356605065024</v>
      </c>
      <c r="EL424" s="54">
        <f t="shared" si="190"/>
        <v>0</v>
      </c>
    </row>
    <row r="425" spans="1:142" ht="28.8" x14ac:dyDescent="0.3">
      <c r="A425" s="29" t="s">
        <v>1612</v>
      </c>
      <c r="B425" s="29"/>
      <c r="C425" s="30">
        <v>33347</v>
      </c>
      <c r="D425" s="30">
        <v>0</v>
      </c>
      <c r="E425" s="30">
        <v>0</v>
      </c>
      <c r="F425" s="30">
        <v>2000</v>
      </c>
      <c r="H425" s="2">
        <f t="shared" si="166"/>
        <v>2000</v>
      </c>
      <c r="I425" s="1">
        <f t="shared" si="165"/>
        <v>5.9975410081866437E-2</v>
      </c>
      <c r="J425" s="31">
        <v>4572</v>
      </c>
      <c r="K425" s="31">
        <v>0</v>
      </c>
      <c r="L425" s="31">
        <v>4572</v>
      </c>
      <c r="M425" s="45">
        <f t="shared" si="167"/>
        <v>0.13710378744714666</v>
      </c>
      <c r="N425" s="31">
        <v>607</v>
      </c>
      <c r="O425" s="31">
        <v>0</v>
      </c>
      <c r="P425" s="31">
        <v>0</v>
      </c>
      <c r="Q425" s="31">
        <v>607</v>
      </c>
      <c r="R425" s="45">
        <f t="shared" si="168"/>
        <v>1.8202536959846465E-2</v>
      </c>
      <c r="S425" s="31">
        <v>15143</v>
      </c>
      <c r="T425" s="31">
        <v>20322</v>
      </c>
      <c r="U425" s="31">
        <v>0</v>
      </c>
      <c r="V425" s="31">
        <v>20322</v>
      </c>
      <c r="W425" s="45">
        <f t="shared" si="169"/>
        <v>0.60941014184184483</v>
      </c>
      <c r="X425" s="4">
        <f t="shared" si="170"/>
        <v>0.22497785651018601</v>
      </c>
      <c r="Y425" s="4">
        <f t="shared" si="171"/>
        <v>2.9869107371321719E-2</v>
      </c>
      <c r="Z425" s="4">
        <f t="shared" si="172"/>
        <v>0.74515303611849226</v>
      </c>
      <c r="AA425" s="4">
        <f t="shared" si="173"/>
        <v>0</v>
      </c>
      <c r="AB425" s="31">
        <v>0</v>
      </c>
      <c r="AC425" s="31">
        <v>607</v>
      </c>
      <c r="AD425" s="31">
        <v>20322</v>
      </c>
      <c r="AE425" s="31">
        <v>19747</v>
      </c>
      <c r="AF425" s="31">
        <v>0</v>
      </c>
      <c r="AG425" s="31">
        <v>19747</v>
      </c>
      <c r="AH425" s="31">
        <v>0</v>
      </c>
      <c r="AI425" s="31">
        <v>19747</v>
      </c>
      <c r="AJ425" s="45">
        <f t="shared" si="174"/>
        <v>0.59216721144330819</v>
      </c>
      <c r="AK425" s="31">
        <v>0</v>
      </c>
      <c r="AL425" s="31">
        <v>0</v>
      </c>
      <c r="AM425" s="31">
        <v>0</v>
      </c>
      <c r="AN425" s="31">
        <v>0</v>
      </c>
      <c r="AO425" s="31">
        <v>0</v>
      </c>
      <c r="AP425" s="31">
        <v>295</v>
      </c>
      <c r="AQ425" s="31">
        <v>295</v>
      </c>
      <c r="AR425" s="31">
        <v>20042</v>
      </c>
      <c r="AS425" s="46">
        <f t="shared" si="175"/>
        <v>0.60101358443038355</v>
      </c>
      <c r="AT425" s="31">
        <v>0</v>
      </c>
      <c r="AU425" s="31">
        <v>0</v>
      </c>
      <c r="AV425" s="31">
        <v>0</v>
      </c>
      <c r="AW425" s="31">
        <v>0</v>
      </c>
      <c r="AX425" s="31">
        <v>0</v>
      </c>
      <c r="AY425" s="31">
        <v>0</v>
      </c>
      <c r="AZ425" s="31">
        <v>0</v>
      </c>
      <c r="BA425" s="31">
        <v>5185</v>
      </c>
      <c r="BB425" s="31">
        <v>5185</v>
      </c>
      <c r="BC425" s="33" t="s">
        <v>26</v>
      </c>
      <c r="BD425" s="47">
        <v>7302</v>
      </c>
      <c r="BE425" s="47">
        <v>7386</v>
      </c>
      <c r="BF425" s="45">
        <f t="shared" si="176"/>
        <v>0.22148918943233276</v>
      </c>
      <c r="BG425" s="30">
        <v>37</v>
      </c>
      <c r="BH425" s="30">
        <v>37</v>
      </c>
      <c r="BI425" s="30">
        <v>0</v>
      </c>
      <c r="BJ425" s="30">
        <v>460</v>
      </c>
      <c r="BK425" s="30">
        <v>460</v>
      </c>
      <c r="BL425" s="30">
        <v>0</v>
      </c>
      <c r="BM425" s="30">
        <v>0</v>
      </c>
      <c r="BN425" s="30">
        <v>0</v>
      </c>
      <c r="BO425" s="30">
        <v>0</v>
      </c>
      <c r="BP425" s="30">
        <v>0</v>
      </c>
      <c r="BQ425" s="30">
        <v>0</v>
      </c>
      <c r="BR425" s="47">
        <v>7799</v>
      </c>
      <c r="BS425" s="47">
        <v>7883</v>
      </c>
      <c r="BT425" s="1">
        <f t="shared" si="177"/>
        <v>0.23639307883767655</v>
      </c>
      <c r="BU425" s="30">
        <v>2</v>
      </c>
      <c r="BV425" s="30">
        <v>0</v>
      </c>
      <c r="BW425" s="47">
        <v>903</v>
      </c>
      <c r="BX425" s="52">
        <f t="shared" si="178"/>
        <v>2.7078897651962697E-2</v>
      </c>
      <c r="BY425" s="47">
        <v>410</v>
      </c>
      <c r="BZ425" s="47">
        <v>0</v>
      </c>
      <c r="CA425" s="47">
        <v>595</v>
      </c>
      <c r="CB425" s="47">
        <v>0</v>
      </c>
      <c r="CC425" s="47">
        <v>1005</v>
      </c>
      <c r="CD425" s="55">
        <f t="shared" si="179"/>
        <v>3.0137643566137882E-2</v>
      </c>
      <c r="CE425" s="3">
        <f t="shared" si="180"/>
        <v>2010</v>
      </c>
      <c r="CF425" s="55">
        <f t="shared" si="181"/>
        <v>0.96634615384615385</v>
      </c>
      <c r="CG425" s="55">
        <f t="shared" si="182"/>
        <v>0.44846050870147258</v>
      </c>
      <c r="CH425" s="55">
        <f t="shared" si="183"/>
        <v>0.12748953444120259</v>
      </c>
      <c r="CI425" s="30">
        <v>7</v>
      </c>
      <c r="CJ425" s="30">
        <v>0</v>
      </c>
      <c r="CK425" s="30">
        <v>0</v>
      </c>
      <c r="CL425" s="30">
        <v>7</v>
      </c>
      <c r="CM425" s="30">
        <v>132</v>
      </c>
      <c r="CN425" s="30">
        <v>0</v>
      </c>
      <c r="CO425" s="30">
        <v>0</v>
      </c>
      <c r="CP425" s="30">
        <v>132</v>
      </c>
      <c r="CQ425" s="1">
        <f t="shared" si="191"/>
        <v>3.9583770654031845E-3</v>
      </c>
      <c r="CR425" s="47">
        <v>2241</v>
      </c>
      <c r="CS425" s="55">
        <f t="shared" si="184"/>
        <v>6.7202446996731335E-2</v>
      </c>
      <c r="CT425" s="59">
        <v>1011</v>
      </c>
      <c r="CU425" s="29" t="s">
        <v>25</v>
      </c>
      <c r="CV425" s="29" t="s">
        <v>25</v>
      </c>
      <c r="CW425" s="29" t="s">
        <v>25</v>
      </c>
      <c r="CX425" s="35">
        <v>0</v>
      </c>
      <c r="CY425" s="49">
        <v>0</v>
      </c>
      <c r="CZ425" s="35">
        <v>0.5</v>
      </c>
      <c r="DA425" s="35">
        <v>0</v>
      </c>
      <c r="DB425" s="35">
        <v>0.5</v>
      </c>
      <c r="DC425" s="49">
        <f t="shared" si="185"/>
        <v>66694</v>
      </c>
      <c r="DD425" s="30">
        <v>1660</v>
      </c>
      <c r="DE425" s="31">
        <v>1</v>
      </c>
      <c r="DF425" s="35">
        <v>20</v>
      </c>
      <c r="DG425" s="29" t="s">
        <v>25</v>
      </c>
      <c r="DH425" s="29" t="s">
        <v>25</v>
      </c>
      <c r="DI425" s="29" t="s">
        <v>25</v>
      </c>
      <c r="DJ425" s="47">
        <v>0</v>
      </c>
      <c r="DK425" s="47">
        <v>0</v>
      </c>
      <c r="DL425" s="47">
        <v>4</v>
      </c>
      <c r="DM425" s="47">
        <v>347</v>
      </c>
      <c r="DN425" s="47">
        <v>10</v>
      </c>
      <c r="DO425" s="47">
        <v>5</v>
      </c>
      <c r="DP425" s="29" t="s">
        <v>2028</v>
      </c>
      <c r="DQ425" s="47">
        <v>0</v>
      </c>
      <c r="DR425" s="47">
        <v>1040</v>
      </c>
      <c r="DS425" s="30">
        <v>52</v>
      </c>
      <c r="DT425" s="30">
        <v>20</v>
      </c>
      <c r="DU425" s="30">
        <v>20</v>
      </c>
      <c r="DV425" s="30">
        <v>20</v>
      </c>
      <c r="DX425" s="2">
        <f t="shared" si="186"/>
        <v>1040</v>
      </c>
      <c r="DY425" s="33" t="s">
        <v>2181</v>
      </c>
      <c r="DZ425" s="33" t="s">
        <v>1614</v>
      </c>
      <c r="EA425" s="33" t="s">
        <v>2032</v>
      </c>
      <c r="EB425" s="33" t="s">
        <v>2027</v>
      </c>
      <c r="EC425" s="36">
        <v>543</v>
      </c>
      <c r="ED425" s="29" t="s">
        <v>1613</v>
      </c>
      <c r="EE425" s="29" t="s">
        <v>206</v>
      </c>
      <c r="EF425" s="37">
        <v>41548</v>
      </c>
      <c r="EG425" s="37">
        <v>41912</v>
      </c>
      <c r="EH425" s="29" t="s">
        <v>1613</v>
      </c>
      <c r="EI425" s="55">
        <f t="shared" si="187"/>
        <v>1.2294959066782619E-2</v>
      </c>
      <c r="EJ425" s="54">
        <f t="shared" si="188"/>
        <v>0</v>
      </c>
      <c r="EK425" s="55">
        <f t="shared" si="189"/>
        <v>1.7842684499355263E-2</v>
      </c>
      <c r="EL425" s="54">
        <f t="shared" si="190"/>
        <v>0</v>
      </c>
    </row>
    <row r="426" spans="1:142" ht="28.8" x14ac:dyDescent="0.3">
      <c r="A426" s="29" t="s">
        <v>1107</v>
      </c>
      <c r="B426" s="29"/>
      <c r="C426" s="30">
        <v>104475</v>
      </c>
      <c r="D426" s="30">
        <v>0</v>
      </c>
      <c r="E426" s="30">
        <v>0</v>
      </c>
      <c r="F426" s="30">
        <v>75861</v>
      </c>
      <c r="H426" s="2">
        <f t="shared" si="166"/>
        <v>75861</v>
      </c>
      <c r="I426" s="1">
        <f t="shared" si="165"/>
        <v>0.72611629576453696</v>
      </c>
      <c r="J426" s="31">
        <v>2238599</v>
      </c>
      <c r="K426" s="31">
        <v>642109</v>
      </c>
      <c r="L426" s="31">
        <v>2880708</v>
      </c>
      <c r="M426" s="45">
        <f t="shared" si="167"/>
        <v>27.573180186647523</v>
      </c>
      <c r="N426" s="31">
        <v>308500</v>
      </c>
      <c r="O426" s="31">
        <v>106081</v>
      </c>
      <c r="P426" s="31">
        <v>81500</v>
      </c>
      <c r="Q426" s="31">
        <v>496081</v>
      </c>
      <c r="R426" s="45">
        <f t="shared" si="168"/>
        <v>4.7483225652069869</v>
      </c>
      <c r="S426" s="31">
        <v>193653</v>
      </c>
      <c r="T426" s="31">
        <v>3570442</v>
      </c>
      <c r="U426" s="31">
        <v>0</v>
      </c>
      <c r="V426" s="31">
        <v>3570442</v>
      </c>
      <c r="W426" s="45">
        <f t="shared" si="169"/>
        <v>34.175084948552282</v>
      </c>
      <c r="X426" s="4">
        <f t="shared" si="170"/>
        <v>0.80682111626515707</v>
      </c>
      <c r="Y426" s="4">
        <f t="shared" si="171"/>
        <v>0.13894106107871237</v>
      </c>
      <c r="Z426" s="4">
        <f t="shared" si="172"/>
        <v>5.423782265613053E-2</v>
      </c>
      <c r="AA426" s="4">
        <f t="shared" si="173"/>
        <v>0</v>
      </c>
      <c r="AB426" s="31">
        <v>19800</v>
      </c>
      <c r="AC426" s="31">
        <v>496081</v>
      </c>
      <c r="AD426" s="31">
        <v>3570442</v>
      </c>
      <c r="AE426" s="31">
        <v>3546866</v>
      </c>
      <c r="AF426" s="31">
        <v>3546866</v>
      </c>
      <c r="AG426" s="31">
        <v>0</v>
      </c>
      <c r="AH426" s="31">
        <v>0</v>
      </c>
      <c r="AI426" s="31">
        <v>3546866</v>
      </c>
      <c r="AJ426" s="45">
        <f t="shared" si="174"/>
        <v>33.949423307011244</v>
      </c>
      <c r="AK426" s="31">
        <v>0</v>
      </c>
      <c r="AL426" s="31">
        <v>0</v>
      </c>
      <c r="AM426" s="31">
        <v>0</v>
      </c>
      <c r="AN426" s="31">
        <v>0</v>
      </c>
      <c r="AO426" s="31">
        <v>0</v>
      </c>
      <c r="AP426" s="31">
        <v>23576</v>
      </c>
      <c r="AQ426" s="31">
        <v>23576</v>
      </c>
      <c r="AR426" s="31">
        <v>3570442</v>
      </c>
      <c r="AS426" s="46">
        <f t="shared" si="175"/>
        <v>34.175084948552282</v>
      </c>
      <c r="AT426" s="31">
        <v>19800</v>
      </c>
      <c r="AU426" s="31">
        <v>0</v>
      </c>
      <c r="AV426" s="31">
        <v>0</v>
      </c>
      <c r="AW426" s="31">
        <v>0</v>
      </c>
      <c r="AX426" s="31">
        <v>0</v>
      </c>
      <c r="AY426" s="31">
        <v>0</v>
      </c>
      <c r="AZ426" s="31">
        <v>0</v>
      </c>
      <c r="BA426" s="31">
        <v>0</v>
      </c>
      <c r="BB426" s="31">
        <v>19800</v>
      </c>
      <c r="BC426" s="33" t="s">
        <v>25</v>
      </c>
      <c r="BD426" s="47">
        <v>165395</v>
      </c>
      <c r="BE426" s="47">
        <v>219940</v>
      </c>
      <c r="BF426" s="45">
        <f t="shared" si="176"/>
        <v>2.1051926298157455</v>
      </c>
      <c r="BG426" s="30">
        <v>14486</v>
      </c>
      <c r="BH426" s="30">
        <v>15185</v>
      </c>
      <c r="BI426" s="30">
        <v>496</v>
      </c>
      <c r="BJ426" s="30">
        <v>19488</v>
      </c>
      <c r="BK426" s="30">
        <v>20428</v>
      </c>
      <c r="BL426" s="30">
        <v>0</v>
      </c>
      <c r="BM426" s="30">
        <v>3460</v>
      </c>
      <c r="BN426" s="30">
        <v>16</v>
      </c>
      <c r="BO426" s="30">
        <v>51</v>
      </c>
      <c r="BP426" s="30">
        <v>0</v>
      </c>
      <c r="BQ426" s="30">
        <v>67</v>
      </c>
      <c r="BR426" s="47">
        <v>199369</v>
      </c>
      <c r="BS426" s="47">
        <v>259525</v>
      </c>
      <c r="BT426" s="1">
        <f t="shared" si="177"/>
        <v>2.4840871021775546</v>
      </c>
      <c r="BU426" s="30">
        <v>250</v>
      </c>
      <c r="BV426" s="30">
        <v>0</v>
      </c>
      <c r="BW426" s="47">
        <v>88785</v>
      </c>
      <c r="BX426" s="52">
        <f t="shared" si="178"/>
        <v>0.8498205312275664</v>
      </c>
      <c r="BY426" s="47">
        <v>831479</v>
      </c>
      <c r="BZ426" s="47">
        <v>1287</v>
      </c>
      <c r="CA426" s="47">
        <v>556744</v>
      </c>
      <c r="CB426" s="47">
        <v>20746</v>
      </c>
      <c r="CC426" s="47">
        <v>1410256</v>
      </c>
      <c r="CD426" s="55">
        <f t="shared" si="179"/>
        <v>13.49850203397942</v>
      </c>
      <c r="CE426" s="3">
        <f t="shared" si="180"/>
        <v>29549.628077527501</v>
      </c>
      <c r="CF426" s="55">
        <f t="shared" si="181"/>
        <v>424.77590361445783</v>
      </c>
      <c r="CG426" s="55">
        <f t="shared" si="182"/>
        <v>2.8715684877115106</v>
      </c>
      <c r="CH426" s="55">
        <f t="shared" si="183"/>
        <v>5.3490916096715155</v>
      </c>
      <c r="CI426" s="30">
        <v>362</v>
      </c>
      <c r="CJ426" s="30">
        <v>27</v>
      </c>
      <c r="CK426" s="30">
        <v>419</v>
      </c>
      <c r="CL426" s="30">
        <v>808</v>
      </c>
      <c r="CM426" s="30">
        <v>29548</v>
      </c>
      <c r="CN426" s="30">
        <v>606</v>
      </c>
      <c r="CO426" s="30">
        <v>5173</v>
      </c>
      <c r="CP426" s="30">
        <v>35327</v>
      </c>
      <c r="CQ426" s="1">
        <f t="shared" si="191"/>
        <v>0.33813831060062216</v>
      </c>
      <c r="CR426" s="47">
        <v>491110</v>
      </c>
      <c r="CS426" s="55">
        <f t="shared" si="184"/>
        <v>4.7007418042593923</v>
      </c>
      <c r="CT426" s="59">
        <v>32735</v>
      </c>
      <c r="CU426" s="29" t="s">
        <v>25</v>
      </c>
      <c r="CV426" s="29" t="s">
        <v>25</v>
      </c>
      <c r="CW426" s="29" t="s">
        <v>25</v>
      </c>
      <c r="CX426" s="35">
        <v>16.600000000000001</v>
      </c>
      <c r="CY426" s="49">
        <f>C426/CX426</f>
        <v>6293.6746987951801</v>
      </c>
      <c r="CZ426" s="35">
        <v>10.225</v>
      </c>
      <c r="DA426" s="35">
        <v>20.9</v>
      </c>
      <c r="DB426" s="35">
        <v>47.725000000000001</v>
      </c>
      <c r="DC426" s="49">
        <f t="shared" si="185"/>
        <v>2189.1042430591933</v>
      </c>
      <c r="DD426" s="30">
        <v>7047</v>
      </c>
      <c r="DE426" s="31">
        <v>110000</v>
      </c>
      <c r="DF426" s="35">
        <v>40</v>
      </c>
      <c r="DG426" s="29" t="s">
        <v>25</v>
      </c>
      <c r="DH426" s="29" t="s">
        <v>26</v>
      </c>
      <c r="DI426" s="29" t="s">
        <v>26</v>
      </c>
      <c r="DJ426" s="47">
        <v>1277</v>
      </c>
      <c r="DK426" s="47">
        <v>1620</v>
      </c>
      <c r="DL426" s="47">
        <v>38</v>
      </c>
      <c r="DM426" s="47">
        <v>35275</v>
      </c>
      <c r="DN426" s="47">
        <v>175</v>
      </c>
      <c r="DO426" s="47">
        <v>29588</v>
      </c>
      <c r="DP426" s="29" t="s">
        <v>25</v>
      </c>
      <c r="DQ426" s="47">
        <v>481721</v>
      </c>
      <c r="DR426" s="47">
        <v>3320</v>
      </c>
      <c r="DS426" s="30">
        <v>52</v>
      </c>
      <c r="DT426" s="30">
        <v>64</v>
      </c>
      <c r="DU426" s="30">
        <v>64</v>
      </c>
      <c r="DV426" s="30">
        <v>64</v>
      </c>
      <c r="DX426" s="2">
        <f t="shared" si="186"/>
        <v>3320</v>
      </c>
      <c r="DY426" s="33" t="s">
        <v>2182</v>
      </c>
      <c r="DZ426" s="33" t="s">
        <v>1109</v>
      </c>
      <c r="EA426" s="33" t="s">
        <v>2030</v>
      </c>
      <c r="EB426" s="33" t="s">
        <v>2027</v>
      </c>
      <c r="EC426" s="36">
        <v>327</v>
      </c>
      <c r="ED426" s="29" t="s">
        <v>1108</v>
      </c>
      <c r="EE426" s="29" t="s">
        <v>269</v>
      </c>
      <c r="EF426" s="37">
        <v>41548</v>
      </c>
      <c r="EG426" s="37">
        <v>41912</v>
      </c>
      <c r="EH426" s="29" t="s">
        <v>1108</v>
      </c>
      <c r="EI426" s="55">
        <f t="shared" si="187"/>
        <v>7.958640823163436</v>
      </c>
      <c r="EJ426" s="54">
        <f t="shared" si="188"/>
        <v>1.2318736539842067E-2</v>
      </c>
      <c r="EK426" s="55">
        <f t="shared" si="189"/>
        <v>5.328968652787748</v>
      </c>
      <c r="EL426" s="54">
        <f t="shared" si="190"/>
        <v>0.19857382148839436</v>
      </c>
    </row>
    <row r="427" spans="1:142" ht="28.8" x14ac:dyDescent="0.3">
      <c r="A427" s="29" t="s">
        <v>1111</v>
      </c>
      <c r="B427" s="29"/>
      <c r="C427" s="30">
        <v>7995</v>
      </c>
      <c r="D427" s="30">
        <v>0</v>
      </c>
      <c r="E427" s="30">
        <v>0</v>
      </c>
      <c r="F427" s="30">
        <v>7860</v>
      </c>
      <c r="H427" s="2">
        <f t="shared" si="166"/>
        <v>7860</v>
      </c>
      <c r="I427" s="1">
        <f t="shared" si="165"/>
        <v>0.98311444652908064</v>
      </c>
      <c r="J427" s="31">
        <v>195491</v>
      </c>
      <c r="K427" s="31">
        <v>60204</v>
      </c>
      <c r="L427" s="31">
        <v>255695</v>
      </c>
      <c r="M427" s="45">
        <f t="shared" si="167"/>
        <v>31.981863664790495</v>
      </c>
      <c r="N427" s="31">
        <v>16280</v>
      </c>
      <c r="O427" s="31">
        <v>850</v>
      </c>
      <c r="P427" s="31">
        <v>14389</v>
      </c>
      <c r="Q427" s="31">
        <v>31519</v>
      </c>
      <c r="R427" s="45">
        <f t="shared" si="168"/>
        <v>3.9423389618511568</v>
      </c>
      <c r="S427" s="31">
        <v>33160</v>
      </c>
      <c r="T427" s="31">
        <v>320374</v>
      </c>
      <c r="U427" s="31">
        <v>0</v>
      </c>
      <c r="V427" s="31">
        <v>320374</v>
      </c>
      <c r="W427" s="45">
        <f t="shared" si="169"/>
        <v>40.071794871794872</v>
      </c>
      <c r="X427" s="4">
        <f t="shared" si="170"/>
        <v>0.79811407916997013</v>
      </c>
      <c r="Y427" s="4">
        <f t="shared" si="171"/>
        <v>9.8381891164701252E-2</v>
      </c>
      <c r="Z427" s="4">
        <f t="shared" si="172"/>
        <v>0.10350402966532865</v>
      </c>
      <c r="AA427" s="4">
        <f t="shared" si="173"/>
        <v>0</v>
      </c>
      <c r="AB427" s="31">
        <v>0</v>
      </c>
      <c r="AC427" s="31">
        <v>30669</v>
      </c>
      <c r="AD427" s="31">
        <v>319524</v>
      </c>
      <c r="AE427" s="31">
        <v>319524</v>
      </c>
      <c r="AF427" s="31">
        <v>319524</v>
      </c>
      <c r="AG427" s="31">
        <v>0</v>
      </c>
      <c r="AH427" s="31">
        <v>0</v>
      </c>
      <c r="AI427" s="31">
        <v>319524</v>
      </c>
      <c r="AJ427" s="45">
        <f t="shared" si="174"/>
        <v>39.965478424015011</v>
      </c>
      <c r="AK427" s="31">
        <v>0</v>
      </c>
      <c r="AL427" s="31">
        <v>0</v>
      </c>
      <c r="AM427" s="31">
        <v>0</v>
      </c>
      <c r="AN427" s="31">
        <v>0</v>
      </c>
      <c r="AO427" s="31">
        <v>0</v>
      </c>
      <c r="AP427" s="31">
        <v>5000</v>
      </c>
      <c r="AQ427" s="31">
        <v>5000</v>
      </c>
      <c r="AR427" s="31">
        <v>324524</v>
      </c>
      <c r="AS427" s="46">
        <f t="shared" si="175"/>
        <v>40.590869293308316</v>
      </c>
      <c r="AT427" s="31">
        <v>0</v>
      </c>
      <c r="AU427" s="31">
        <v>0</v>
      </c>
      <c r="AV427" s="31">
        <v>0</v>
      </c>
      <c r="AW427" s="31">
        <v>0</v>
      </c>
      <c r="AX427" s="31">
        <v>0</v>
      </c>
      <c r="AY427" s="31">
        <v>0</v>
      </c>
      <c r="AZ427" s="31">
        <v>0</v>
      </c>
      <c r="BA427" s="31">
        <v>0</v>
      </c>
      <c r="BB427" s="31">
        <v>0</v>
      </c>
      <c r="BC427" s="33" t="s">
        <v>25</v>
      </c>
      <c r="BD427" s="47">
        <v>35694</v>
      </c>
      <c r="BE427" s="47">
        <v>36910</v>
      </c>
      <c r="BF427" s="45">
        <f t="shared" si="176"/>
        <v>4.6166353971232024</v>
      </c>
      <c r="BG427" s="30">
        <v>943</v>
      </c>
      <c r="BH427" s="30">
        <v>962</v>
      </c>
      <c r="BI427" s="30">
        <v>0</v>
      </c>
      <c r="BJ427" s="30">
        <v>3676</v>
      </c>
      <c r="BK427" s="30">
        <v>3792</v>
      </c>
      <c r="BL427" s="30">
        <v>0</v>
      </c>
      <c r="BM427" s="30">
        <v>36</v>
      </c>
      <c r="BN427" s="30">
        <v>1</v>
      </c>
      <c r="BO427" s="30">
        <v>51</v>
      </c>
      <c r="BP427" s="30">
        <v>0</v>
      </c>
      <c r="BQ427" s="30">
        <v>52</v>
      </c>
      <c r="BR427" s="47">
        <v>40313</v>
      </c>
      <c r="BS427" s="47">
        <v>41701</v>
      </c>
      <c r="BT427" s="1">
        <f t="shared" si="177"/>
        <v>5.2158849280800501</v>
      </c>
      <c r="BU427" s="30">
        <v>43</v>
      </c>
      <c r="BV427" s="30">
        <v>0</v>
      </c>
      <c r="BW427" s="47">
        <v>7176</v>
      </c>
      <c r="BX427" s="52">
        <f t="shared" si="178"/>
        <v>0.89756097560975612</v>
      </c>
      <c r="BY427" s="47">
        <v>8731</v>
      </c>
      <c r="BZ427" s="47">
        <v>0</v>
      </c>
      <c r="CA427" s="47">
        <v>29045</v>
      </c>
      <c r="CB427" s="47">
        <v>0</v>
      </c>
      <c r="CC427" s="47">
        <v>37776</v>
      </c>
      <c r="CD427" s="55">
        <f t="shared" si="179"/>
        <v>4.7249530956848034</v>
      </c>
      <c r="CE427" s="3">
        <f t="shared" si="180"/>
        <v>8585.4545454545441</v>
      </c>
      <c r="CF427" s="55">
        <f t="shared" si="181"/>
        <v>17.108695652173914</v>
      </c>
      <c r="CG427" s="55">
        <f t="shared" si="182"/>
        <v>0.6789970342410353</v>
      </c>
      <c r="CH427" s="55">
        <f t="shared" si="183"/>
        <v>0.90587755689312011</v>
      </c>
      <c r="CI427" s="30">
        <v>70</v>
      </c>
      <c r="CJ427" s="30">
        <v>0</v>
      </c>
      <c r="CK427" s="30">
        <v>29</v>
      </c>
      <c r="CL427" s="30">
        <v>99</v>
      </c>
      <c r="CM427" s="30">
        <v>705</v>
      </c>
      <c r="CN427" s="30">
        <v>0</v>
      </c>
      <c r="CO427" s="30">
        <v>148</v>
      </c>
      <c r="CP427" s="30">
        <v>853</v>
      </c>
      <c r="CQ427" s="1">
        <f t="shared" si="191"/>
        <v>0.1066916823014384</v>
      </c>
      <c r="CR427" s="47">
        <v>55635</v>
      </c>
      <c r="CS427" s="55">
        <f t="shared" si="184"/>
        <v>6.9587242026266418</v>
      </c>
      <c r="CT427" s="59">
        <v>4338</v>
      </c>
      <c r="CU427" s="29" t="s">
        <v>25</v>
      </c>
      <c r="CV427" s="29" t="s">
        <v>25</v>
      </c>
      <c r="CW427" s="29" t="s">
        <v>25</v>
      </c>
      <c r="CX427" s="35">
        <v>0.9</v>
      </c>
      <c r="CY427" s="49">
        <f>C427/CX427</f>
        <v>8883.3333333333339</v>
      </c>
      <c r="CZ427" s="35">
        <v>1</v>
      </c>
      <c r="DA427" s="35">
        <v>2.5</v>
      </c>
      <c r="DB427" s="35">
        <v>4.4000000000000004</v>
      </c>
      <c r="DC427" s="49">
        <f t="shared" si="185"/>
        <v>1817.0454545454545</v>
      </c>
      <c r="DD427" s="30">
        <v>20</v>
      </c>
      <c r="DE427" s="31">
        <v>76500</v>
      </c>
      <c r="DF427" s="35">
        <v>36</v>
      </c>
      <c r="DG427" s="29" t="s">
        <v>25</v>
      </c>
      <c r="DH427" s="29" t="s">
        <v>26</v>
      </c>
      <c r="DI427" s="29" t="s">
        <v>26</v>
      </c>
      <c r="DJ427" s="47">
        <v>3860</v>
      </c>
      <c r="DK427" s="47">
        <v>12536</v>
      </c>
      <c r="DL427" s="47">
        <v>12</v>
      </c>
      <c r="DM427" s="47">
        <v>6783</v>
      </c>
      <c r="DN427" s="47">
        <v>1940</v>
      </c>
      <c r="DO427" s="47">
        <v>1267</v>
      </c>
      <c r="DP427" s="29" t="s">
        <v>2028</v>
      </c>
      <c r="DQ427" s="47">
        <v>0</v>
      </c>
      <c r="DR427" s="47">
        <v>2208</v>
      </c>
      <c r="DS427" s="30">
        <v>52</v>
      </c>
      <c r="DT427" s="30">
        <v>46</v>
      </c>
      <c r="DU427" s="30">
        <v>46</v>
      </c>
      <c r="DV427" s="30">
        <v>46</v>
      </c>
      <c r="DX427" s="2">
        <f t="shared" si="186"/>
        <v>2208</v>
      </c>
      <c r="DY427" s="33" t="s">
        <v>2181</v>
      </c>
      <c r="DZ427" s="33" t="s">
        <v>1112</v>
      </c>
      <c r="EA427" s="33" t="s">
        <v>2030</v>
      </c>
      <c r="EB427" s="33" t="s">
        <v>2027</v>
      </c>
      <c r="EC427" s="36">
        <v>328</v>
      </c>
      <c r="ED427" s="29" t="s">
        <v>1110</v>
      </c>
      <c r="EE427" s="29" t="s">
        <v>91</v>
      </c>
      <c r="EF427" s="37">
        <v>41548</v>
      </c>
      <c r="EG427" s="37">
        <v>41912</v>
      </c>
      <c r="EH427" s="29" t="s">
        <v>1110</v>
      </c>
      <c r="EI427" s="55">
        <f t="shared" si="187"/>
        <v>1.0920575359599749</v>
      </c>
      <c r="EJ427" s="54">
        <f t="shared" si="188"/>
        <v>0</v>
      </c>
      <c r="EK427" s="55">
        <f t="shared" si="189"/>
        <v>3.6328955597248278</v>
      </c>
      <c r="EL427" s="54">
        <f t="shared" si="190"/>
        <v>0</v>
      </c>
    </row>
    <row r="428" spans="1:142" ht="28.8" x14ac:dyDescent="0.3">
      <c r="A428" s="29" t="s">
        <v>1113</v>
      </c>
      <c r="B428" s="29"/>
      <c r="C428" s="30">
        <v>613151</v>
      </c>
      <c r="D428" s="30">
        <v>11</v>
      </c>
      <c r="E428" s="30">
        <v>0</v>
      </c>
      <c r="F428" s="30">
        <v>77000</v>
      </c>
      <c r="G428">
        <v>278097</v>
      </c>
      <c r="H428" s="2">
        <f t="shared" si="166"/>
        <v>355097</v>
      </c>
      <c r="I428" s="1">
        <f t="shared" si="165"/>
        <v>0.57913466666449209</v>
      </c>
      <c r="J428" s="31">
        <v>7312860</v>
      </c>
      <c r="K428" s="31">
        <v>3200761</v>
      </c>
      <c r="L428" s="31">
        <v>10513621</v>
      </c>
      <c r="M428" s="45">
        <f t="shared" si="167"/>
        <v>17.14687083605833</v>
      </c>
      <c r="N428" s="31">
        <v>1156114</v>
      </c>
      <c r="O428" s="31">
        <v>481191</v>
      </c>
      <c r="P428" s="31">
        <v>281699</v>
      </c>
      <c r="Q428" s="31">
        <v>1919004</v>
      </c>
      <c r="R428" s="45">
        <f t="shared" si="168"/>
        <v>3.1297412872196246</v>
      </c>
      <c r="S428" s="31">
        <v>1462897</v>
      </c>
      <c r="T428" s="31">
        <v>13895522</v>
      </c>
      <c r="U428" s="31">
        <v>0</v>
      </c>
      <c r="V428" s="31">
        <v>13895522</v>
      </c>
      <c r="W428" s="45">
        <f t="shared" si="169"/>
        <v>22.662479552345182</v>
      </c>
      <c r="X428" s="4">
        <f t="shared" si="170"/>
        <v>0.75661936269828511</v>
      </c>
      <c r="Y428" s="4">
        <f t="shared" si="171"/>
        <v>0.13810233253561832</v>
      </c>
      <c r="Z428" s="4">
        <f t="shared" si="172"/>
        <v>0.10527830476609659</v>
      </c>
      <c r="AA428" s="4">
        <f t="shared" si="173"/>
        <v>0</v>
      </c>
      <c r="AB428" s="31">
        <v>3542216</v>
      </c>
      <c r="AC428" s="31">
        <v>1919004</v>
      </c>
      <c r="AD428" s="31">
        <v>13891677</v>
      </c>
      <c r="AE428" s="31">
        <v>13829454</v>
      </c>
      <c r="AF428" s="31">
        <v>0</v>
      </c>
      <c r="AG428" s="31">
        <v>14182095</v>
      </c>
      <c r="AH428" s="31">
        <v>0</v>
      </c>
      <c r="AI428" s="31">
        <v>14182095</v>
      </c>
      <c r="AJ428" s="45">
        <f t="shared" si="174"/>
        <v>23.129857082513116</v>
      </c>
      <c r="AK428" s="31">
        <v>0</v>
      </c>
      <c r="AL428" s="31">
        <v>0</v>
      </c>
      <c r="AM428" s="31">
        <v>0</v>
      </c>
      <c r="AN428" s="31">
        <v>0</v>
      </c>
      <c r="AO428" s="31">
        <v>3861</v>
      </c>
      <c r="AP428" s="31">
        <v>63432</v>
      </c>
      <c r="AQ428" s="31">
        <v>67293</v>
      </c>
      <c r="AR428" s="31">
        <v>14249388</v>
      </c>
      <c r="AS428" s="46">
        <f t="shared" si="175"/>
        <v>23.239606556949266</v>
      </c>
      <c r="AT428" s="31">
        <v>0</v>
      </c>
      <c r="AU428" s="31">
        <v>53000</v>
      </c>
      <c r="AV428" s="31">
        <v>0</v>
      </c>
      <c r="AW428" s="31">
        <v>0</v>
      </c>
      <c r="AX428" s="31">
        <v>0</v>
      </c>
      <c r="AY428" s="31">
        <v>0</v>
      </c>
      <c r="AZ428" s="31">
        <v>0</v>
      </c>
      <c r="BA428" s="31">
        <v>0</v>
      </c>
      <c r="BB428" s="31">
        <v>53000</v>
      </c>
      <c r="BC428" s="33" t="s">
        <v>25</v>
      </c>
      <c r="BD428" s="47">
        <v>193371</v>
      </c>
      <c r="BE428" s="47">
        <v>675452</v>
      </c>
      <c r="BF428" s="45">
        <f t="shared" si="176"/>
        <v>1.1016079236599141</v>
      </c>
      <c r="BG428" s="30">
        <v>20480</v>
      </c>
      <c r="BH428" s="30">
        <v>56623</v>
      </c>
      <c r="BI428" s="30">
        <v>4815</v>
      </c>
      <c r="BJ428" s="30">
        <v>13515</v>
      </c>
      <c r="BK428" s="30">
        <v>58636</v>
      </c>
      <c r="BL428" s="30">
        <v>0</v>
      </c>
      <c r="BM428" s="30">
        <v>5338</v>
      </c>
      <c r="BN428" s="30">
        <v>22</v>
      </c>
      <c r="BO428" s="30">
        <v>51</v>
      </c>
      <c r="BP428" s="30">
        <v>4</v>
      </c>
      <c r="BQ428" s="30">
        <v>77</v>
      </c>
      <c r="BR428" s="47">
        <v>227366</v>
      </c>
      <c r="BS428" s="47">
        <v>800886</v>
      </c>
      <c r="BT428" s="1">
        <f t="shared" si="177"/>
        <v>1.3061806961091151</v>
      </c>
      <c r="BU428" s="30">
        <v>1430</v>
      </c>
      <c r="BV428" s="30">
        <v>0</v>
      </c>
      <c r="BW428" s="47">
        <v>697464</v>
      </c>
      <c r="BX428" s="52">
        <f t="shared" si="178"/>
        <v>1.1375077264817313</v>
      </c>
      <c r="BY428" s="47">
        <v>2347626</v>
      </c>
      <c r="BZ428" s="47">
        <v>8623</v>
      </c>
      <c r="CA428" s="47">
        <v>1123786</v>
      </c>
      <c r="CB428" s="47">
        <v>71661</v>
      </c>
      <c r="CC428" s="47">
        <v>3551696</v>
      </c>
      <c r="CD428" s="55">
        <f t="shared" si="179"/>
        <v>5.7925307142938687</v>
      </c>
      <c r="CE428" s="3">
        <f t="shared" si="180"/>
        <v>15044.778142539448</v>
      </c>
      <c r="CF428" s="55">
        <f t="shared" si="181"/>
        <v>115.09433228555689</v>
      </c>
      <c r="CG428" s="55">
        <f t="shared" si="182"/>
        <v>1.7690195844041998</v>
      </c>
      <c r="CH428" s="55">
        <f t="shared" si="183"/>
        <v>4.334464580477122</v>
      </c>
      <c r="CI428" s="30">
        <v>2703</v>
      </c>
      <c r="CJ428" s="30">
        <v>179</v>
      </c>
      <c r="CK428" s="30">
        <v>1919</v>
      </c>
      <c r="CL428" s="30">
        <v>4801</v>
      </c>
      <c r="CM428" s="30">
        <v>166672</v>
      </c>
      <c r="CN428" s="30">
        <v>2870</v>
      </c>
      <c r="CO428" s="30">
        <v>26360</v>
      </c>
      <c r="CP428" s="30">
        <v>195902</v>
      </c>
      <c r="CQ428" s="1">
        <f t="shared" si="191"/>
        <v>0.3195004166999646</v>
      </c>
      <c r="CR428" s="47">
        <v>2007720</v>
      </c>
      <c r="CS428" s="55">
        <f t="shared" si="184"/>
        <v>3.2744299528174952</v>
      </c>
      <c r="CT428" s="59">
        <v>355695</v>
      </c>
      <c r="CU428" s="29" t="s">
        <v>25</v>
      </c>
      <c r="CV428" s="29" t="s">
        <v>25</v>
      </c>
      <c r="CW428" s="29" t="s">
        <v>25</v>
      </c>
      <c r="CX428" s="35">
        <v>62</v>
      </c>
      <c r="CY428" s="49">
        <f>C428/CX428</f>
        <v>9889.532258064517</v>
      </c>
      <c r="CZ428" s="35">
        <v>43</v>
      </c>
      <c r="DA428" s="35">
        <v>131.07499999999999</v>
      </c>
      <c r="DB428" s="35">
        <v>236.07499999999999</v>
      </c>
      <c r="DC428" s="49">
        <f t="shared" si="185"/>
        <v>2597.2720533728689</v>
      </c>
      <c r="DD428" s="30">
        <v>15171</v>
      </c>
      <c r="DE428" s="31">
        <v>108123</v>
      </c>
      <c r="DF428" s="35">
        <v>40</v>
      </c>
      <c r="DG428" s="29" t="s">
        <v>25</v>
      </c>
      <c r="DH428" s="29" t="s">
        <v>25</v>
      </c>
      <c r="DI428" s="29" t="s">
        <v>25</v>
      </c>
      <c r="DJ428" s="47">
        <v>4607</v>
      </c>
      <c r="DK428" s="47">
        <v>1555</v>
      </c>
      <c r="DL428" s="47">
        <v>466</v>
      </c>
      <c r="DM428" s="47">
        <v>623486</v>
      </c>
      <c r="DN428" s="47">
        <v>307653</v>
      </c>
      <c r="DO428" s="47">
        <v>934719</v>
      </c>
      <c r="DP428" s="29" t="s">
        <v>25</v>
      </c>
      <c r="DQ428" s="47">
        <v>1522615</v>
      </c>
      <c r="DR428" s="47">
        <v>3315</v>
      </c>
      <c r="DS428" s="30">
        <v>52</v>
      </c>
      <c r="DT428" s="30">
        <v>76</v>
      </c>
      <c r="DU428" s="30">
        <v>68</v>
      </c>
      <c r="DV428" s="30">
        <v>68</v>
      </c>
      <c r="DW428">
        <f>VLOOKUP(EC428,branch!$I$4:$K$77,3,0)</f>
        <v>27544</v>
      </c>
      <c r="DX428" s="2">
        <f t="shared" si="186"/>
        <v>30859</v>
      </c>
      <c r="DY428" s="33" t="s">
        <v>2185</v>
      </c>
      <c r="DZ428" s="33" t="s">
        <v>1116</v>
      </c>
      <c r="EA428" s="33" t="s">
        <v>2031</v>
      </c>
      <c r="EB428" s="33" t="s">
        <v>2027</v>
      </c>
      <c r="EC428" s="36">
        <v>329</v>
      </c>
      <c r="ED428" s="29" t="s">
        <v>1114</v>
      </c>
      <c r="EE428" s="29" t="s">
        <v>1115</v>
      </c>
      <c r="EF428" s="37">
        <v>41548</v>
      </c>
      <c r="EG428" s="37">
        <v>41912</v>
      </c>
      <c r="EH428" s="29" t="s">
        <v>1114</v>
      </c>
      <c r="EI428" s="55">
        <f t="shared" si="187"/>
        <v>3.8287893194335489</v>
      </c>
      <c r="EJ428" s="54">
        <f t="shared" si="188"/>
        <v>1.4063419940601908E-2</v>
      </c>
      <c r="EK428" s="55">
        <f t="shared" si="189"/>
        <v>1.832804643554361</v>
      </c>
      <c r="EL428" s="54">
        <f t="shared" si="190"/>
        <v>0.11687333136535698</v>
      </c>
    </row>
    <row r="429" spans="1:142" ht="28.8" x14ac:dyDescent="0.3">
      <c r="A429" s="29" t="s">
        <v>1585</v>
      </c>
      <c r="B429" s="29"/>
      <c r="C429" s="30">
        <v>14021</v>
      </c>
      <c r="D429" s="30">
        <v>0</v>
      </c>
      <c r="E429" s="30">
        <v>0</v>
      </c>
      <c r="F429" s="30">
        <v>5106</v>
      </c>
      <c r="H429" s="2">
        <f t="shared" si="166"/>
        <v>5106</v>
      </c>
      <c r="I429" s="1">
        <f t="shared" si="165"/>
        <v>0.36416803366379003</v>
      </c>
      <c r="J429" s="31">
        <v>112900</v>
      </c>
      <c r="K429" s="31">
        <v>28209</v>
      </c>
      <c r="L429" s="31">
        <v>141109</v>
      </c>
      <c r="M429" s="45">
        <f t="shared" si="167"/>
        <v>10.064118108551458</v>
      </c>
      <c r="N429" s="31">
        <v>31500</v>
      </c>
      <c r="O429" s="31">
        <v>3000</v>
      </c>
      <c r="P429" s="31">
        <v>1500</v>
      </c>
      <c r="Q429" s="31">
        <v>36000</v>
      </c>
      <c r="R429" s="45">
        <f t="shared" si="168"/>
        <v>2.5675772056201414</v>
      </c>
      <c r="S429" s="31">
        <v>43387</v>
      </c>
      <c r="T429" s="31">
        <v>220496</v>
      </c>
      <c r="U429" s="31">
        <v>0</v>
      </c>
      <c r="V429" s="31">
        <v>220496</v>
      </c>
      <c r="W429" s="45">
        <f t="shared" si="169"/>
        <v>15.726125098067184</v>
      </c>
      <c r="X429" s="4">
        <f t="shared" si="170"/>
        <v>0.63996172266163553</v>
      </c>
      <c r="Y429" s="4">
        <f t="shared" si="171"/>
        <v>0.16326826790508672</v>
      </c>
      <c r="Z429" s="4">
        <f t="shared" si="172"/>
        <v>0.19677000943327771</v>
      </c>
      <c r="AA429" s="4">
        <f t="shared" si="173"/>
        <v>0</v>
      </c>
      <c r="AB429" s="31">
        <v>0</v>
      </c>
      <c r="AC429" s="31">
        <v>36000</v>
      </c>
      <c r="AD429" s="31">
        <v>220496</v>
      </c>
      <c r="AE429" s="31">
        <v>220496</v>
      </c>
      <c r="AF429" s="31">
        <v>220496</v>
      </c>
      <c r="AG429" s="31">
        <v>0</v>
      </c>
      <c r="AH429" s="31">
        <v>0</v>
      </c>
      <c r="AI429" s="31">
        <v>220496</v>
      </c>
      <c r="AJ429" s="45">
        <f t="shared" si="174"/>
        <v>15.726125098067184</v>
      </c>
      <c r="AK429" s="31">
        <v>0</v>
      </c>
      <c r="AL429" s="31">
        <v>0</v>
      </c>
      <c r="AM429" s="31">
        <v>0</v>
      </c>
      <c r="AN429" s="31">
        <v>0</v>
      </c>
      <c r="AO429" s="31">
        <v>0</v>
      </c>
      <c r="AP429" s="31">
        <v>5000</v>
      </c>
      <c r="AQ429" s="31">
        <v>5000</v>
      </c>
      <c r="AR429" s="31">
        <v>225496</v>
      </c>
      <c r="AS429" s="46">
        <f t="shared" si="175"/>
        <v>16.082733043292205</v>
      </c>
      <c r="AT429" s="31">
        <v>0</v>
      </c>
      <c r="AU429" s="31">
        <v>0</v>
      </c>
      <c r="AV429" s="31">
        <v>0</v>
      </c>
      <c r="AW429" s="31">
        <v>0</v>
      </c>
      <c r="AX429" s="31">
        <v>0</v>
      </c>
      <c r="AY429" s="31">
        <v>0</v>
      </c>
      <c r="AZ429" s="31">
        <v>0</v>
      </c>
      <c r="BA429" s="31">
        <v>0</v>
      </c>
      <c r="BB429" s="31">
        <v>0</v>
      </c>
      <c r="BC429" s="33" t="s">
        <v>25</v>
      </c>
      <c r="BD429" s="47">
        <v>15894</v>
      </c>
      <c r="BE429" s="47">
        <v>15984</v>
      </c>
      <c r="BF429" s="45">
        <f t="shared" si="176"/>
        <v>1.1400042792953426</v>
      </c>
      <c r="BG429" s="30">
        <v>150</v>
      </c>
      <c r="BH429" s="30">
        <v>155</v>
      </c>
      <c r="BI429" s="30">
        <v>850</v>
      </c>
      <c r="BJ429" s="30">
        <v>500</v>
      </c>
      <c r="BK429" s="30">
        <v>522</v>
      </c>
      <c r="BL429" s="30">
        <v>0</v>
      </c>
      <c r="BM429" s="30">
        <v>11400</v>
      </c>
      <c r="BN429" s="30">
        <v>2</v>
      </c>
      <c r="BO429" s="30">
        <v>51</v>
      </c>
      <c r="BP429" s="30">
        <v>2</v>
      </c>
      <c r="BQ429" s="30">
        <v>55</v>
      </c>
      <c r="BR429" s="47">
        <v>16544</v>
      </c>
      <c r="BS429" s="47">
        <v>28913</v>
      </c>
      <c r="BT429" s="1">
        <f t="shared" si="177"/>
        <v>2.0621211040581984</v>
      </c>
      <c r="BU429" s="30">
        <v>30</v>
      </c>
      <c r="BV429" s="30">
        <v>1</v>
      </c>
      <c r="BW429" s="47">
        <v>2500</v>
      </c>
      <c r="BX429" s="52">
        <f t="shared" si="178"/>
        <v>0.1783039726125098</v>
      </c>
      <c r="BY429" s="47">
        <v>4700</v>
      </c>
      <c r="BZ429" s="47">
        <v>15</v>
      </c>
      <c r="CA429" s="47">
        <v>7235</v>
      </c>
      <c r="CB429" s="47">
        <v>240</v>
      </c>
      <c r="CC429" s="47">
        <v>12190</v>
      </c>
      <c r="CD429" s="55">
        <f t="shared" si="179"/>
        <v>0.86941017045859781</v>
      </c>
      <c r="CE429" s="3">
        <f t="shared" si="180"/>
        <v>2438</v>
      </c>
      <c r="CF429" s="55">
        <f t="shared" si="181"/>
        <v>5.022661722290894</v>
      </c>
      <c r="CG429" s="55">
        <f t="shared" si="182"/>
        <v>0.71659514431838223</v>
      </c>
      <c r="CH429" s="55">
        <f t="shared" si="183"/>
        <v>0.41279009442119463</v>
      </c>
      <c r="CI429" s="30">
        <v>467</v>
      </c>
      <c r="CJ429" s="30">
        <v>10</v>
      </c>
      <c r="CK429" s="30">
        <v>72</v>
      </c>
      <c r="CL429" s="30">
        <v>549</v>
      </c>
      <c r="CM429" s="30">
        <v>15000</v>
      </c>
      <c r="CN429" s="30">
        <v>50</v>
      </c>
      <c r="CO429" s="30">
        <v>1500</v>
      </c>
      <c r="CP429" s="30">
        <v>16550</v>
      </c>
      <c r="CQ429" s="1">
        <f t="shared" si="191"/>
        <v>1.1803722986948149</v>
      </c>
      <c r="CR429" s="47">
        <v>17011</v>
      </c>
      <c r="CS429" s="55">
        <f t="shared" si="184"/>
        <v>1.2132515512445616</v>
      </c>
      <c r="CT429" s="59">
        <v>9056</v>
      </c>
      <c r="CU429" s="29" t="s">
        <v>25</v>
      </c>
      <c r="CV429" s="29" t="s">
        <v>25</v>
      </c>
      <c r="CW429" s="29" t="s">
        <v>25</v>
      </c>
      <c r="CX429" s="35">
        <v>0</v>
      </c>
      <c r="CY429" s="49">
        <v>0</v>
      </c>
      <c r="CZ429" s="35">
        <v>0</v>
      </c>
      <c r="DA429" s="35">
        <v>5</v>
      </c>
      <c r="DB429" s="35">
        <v>5</v>
      </c>
      <c r="DC429" s="49">
        <f t="shared" si="185"/>
        <v>2804.2</v>
      </c>
      <c r="DD429" s="30">
        <v>2300</v>
      </c>
      <c r="DE429" s="31">
        <v>38500</v>
      </c>
      <c r="DF429" s="35">
        <v>40</v>
      </c>
      <c r="DG429" s="29" t="s">
        <v>25</v>
      </c>
      <c r="DH429" s="29" t="s">
        <v>25</v>
      </c>
      <c r="DI429" s="29" t="s">
        <v>25</v>
      </c>
      <c r="DJ429" s="47">
        <v>7</v>
      </c>
      <c r="DK429" s="47">
        <v>0</v>
      </c>
      <c r="DL429" s="47">
        <v>17</v>
      </c>
      <c r="DM429" s="47">
        <v>13399</v>
      </c>
      <c r="DN429" s="47">
        <v>45</v>
      </c>
      <c r="DO429" s="47">
        <v>368</v>
      </c>
      <c r="DP429" s="29" t="s">
        <v>2028</v>
      </c>
      <c r="DQ429" s="47">
        <v>0</v>
      </c>
      <c r="DR429" s="47">
        <v>2427</v>
      </c>
      <c r="DS429" s="30">
        <v>52</v>
      </c>
      <c r="DT429" s="30">
        <v>51</v>
      </c>
      <c r="DU429" s="30">
        <v>51</v>
      </c>
      <c r="DV429" s="30">
        <v>50</v>
      </c>
      <c r="DX429" s="2">
        <f t="shared" si="186"/>
        <v>2427</v>
      </c>
      <c r="DY429" s="33" t="s">
        <v>2180</v>
      </c>
      <c r="DZ429" s="33" t="s">
        <v>1586</v>
      </c>
      <c r="EA429" s="33" t="s">
        <v>2030</v>
      </c>
      <c r="EB429" s="33" t="s">
        <v>2027</v>
      </c>
      <c r="EC429" s="36">
        <v>523</v>
      </c>
      <c r="ED429" s="29" t="s">
        <v>1583</v>
      </c>
      <c r="EE429" s="29" t="s">
        <v>1584</v>
      </c>
      <c r="EF429" s="37">
        <v>41548</v>
      </c>
      <c r="EG429" s="37">
        <v>41912</v>
      </c>
      <c r="EH429" s="29" t="s">
        <v>1583</v>
      </c>
      <c r="EI429" s="55">
        <f t="shared" si="187"/>
        <v>0.33521146851151845</v>
      </c>
      <c r="EJ429" s="54">
        <f t="shared" si="188"/>
        <v>1.0698238356750588E-3</v>
      </c>
      <c r="EK429" s="55">
        <f t="shared" si="189"/>
        <v>0.51601169674060343</v>
      </c>
      <c r="EL429" s="54">
        <f t="shared" si="190"/>
        <v>1.7117181370800941E-2</v>
      </c>
    </row>
    <row r="430" spans="1:142" ht="28.8" x14ac:dyDescent="0.3">
      <c r="A430" s="29" t="s">
        <v>1118</v>
      </c>
      <c r="B430" s="29"/>
      <c r="C430" s="30">
        <v>3397</v>
      </c>
      <c r="D430" s="30">
        <v>0</v>
      </c>
      <c r="E430" s="30">
        <v>0</v>
      </c>
      <c r="F430" s="30">
        <v>5596</v>
      </c>
      <c r="H430" s="2">
        <f t="shared" si="166"/>
        <v>5596</v>
      </c>
      <c r="I430" s="1">
        <f t="shared" si="165"/>
        <v>1.6473358846040624</v>
      </c>
      <c r="J430" s="31">
        <v>15639</v>
      </c>
      <c r="K430" s="31">
        <v>1563</v>
      </c>
      <c r="L430" s="31">
        <v>17202</v>
      </c>
      <c r="M430" s="45">
        <f t="shared" si="167"/>
        <v>5.0638798940241392</v>
      </c>
      <c r="N430" s="31">
        <v>5442</v>
      </c>
      <c r="O430" s="31">
        <v>0</v>
      </c>
      <c r="P430" s="31">
        <v>274</v>
      </c>
      <c r="Q430" s="31">
        <v>5716</v>
      </c>
      <c r="R430" s="45">
        <f t="shared" si="168"/>
        <v>1.6826611716220194</v>
      </c>
      <c r="S430" s="31">
        <v>23910</v>
      </c>
      <c r="T430" s="31">
        <v>46828</v>
      </c>
      <c r="U430" s="31">
        <v>0</v>
      </c>
      <c r="V430" s="31">
        <v>46828</v>
      </c>
      <c r="W430" s="45">
        <f t="shared" si="169"/>
        <v>13.785104503974095</v>
      </c>
      <c r="X430" s="4">
        <f t="shared" si="170"/>
        <v>0.36734432390877253</v>
      </c>
      <c r="Y430" s="4">
        <f t="shared" si="171"/>
        <v>0.12206372255915264</v>
      </c>
      <c r="Z430" s="4">
        <f t="shared" si="172"/>
        <v>0.51059195353207487</v>
      </c>
      <c r="AA430" s="4">
        <f t="shared" si="173"/>
        <v>0</v>
      </c>
      <c r="AB430" s="31">
        <v>23340</v>
      </c>
      <c r="AC430" s="31">
        <v>5716</v>
      </c>
      <c r="AD430" s="31">
        <v>46828</v>
      </c>
      <c r="AE430" s="31">
        <v>46828</v>
      </c>
      <c r="AF430" s="31">
        <v>29562</v>
      </c>
      <c r="AG430" s="31">
        <v>35187</v>
      </c>
      <c r="AH430" s="31">
        <v>0</v>
      </c>
      <c r="AI430" s="31">
        <v>64749</v>
      </c>
      <c r="AJ430" s="45">
        <f t="shared" si="174"/>
        <v>19.060641742714161</v>
      </c>
      <c r="AK430" s="31">
        <v>0</v>
      </c>
      <c r="AL430" s="31">
        <v>0</v>
      </c>
      <c r="AM430" s="31">
        <v>0</v>
      </c>
      <c r="AN430" s="31">
        <v>0</v>
      </c>
      <c r="AO430" s="31">
        <v>0</v>
      </c>
      <c r="AP430" s="31">
        <v>9861</v>
      </c>
      <c r="AQ430" s="31">
        <v>9861</v>
      </c>
      <c r="AR430" s="31">
        <v>74610</v>
      </c>
      <c r="AS430" s="46">
        <f t="shared" si="175"/>
        <v>21.963497203414779</v>
      </c>
      <c r="AT430" s="31">
        <v>2279</v>
      </c>
      <c r="AU430" s="31">
        <v>21060</v>
      </c>
      <c r="AV430" s="31">
        <v>0</v>
      </c>
      <c r="AW430" s="31">
        <v>0</v>
      </c>
      <c r="AX430" s="31">
        <v>0</v>
      </c>
      <c r="AY430" s="31">
        <v>0</v>
      </c>
      <c r="AZ430" s="31">
        <v>0</v>
      </c>
      <c r="BA430" s="31">
        <v>0</v>
      </c>
      <c r="BB430" s="31">
        <v>23339</v>
      </c>
      <c r="BC430" s="33" t="s">
        <v>25</v>
      </c>
      <c r="BD430" s="47">
        <v>12603</v>
      </c>
      <c r="BE430" s="47">
        <v>15133</v>
      </c>
      <c r="BF430" s="45">
        <f t="shared" si="176"/>
        <v>4.454813070356197</v>
      </c>
      <c r="BG430" s="30">
        <v>20</v>
      </c>
      <c r="BH430" s="30">
        <v>25</v>
      </c>
      <c r="BI430" s="30">
        <v>0</v>
      </c>
      <c r="BJ430" s="30">
        <v>724</v>
      </c>
      <c r="BK430" s="30">
        <v>736</v>
      </c>
      <c r="BL430" s="30">
        <v>0</v>
      </c>
      <c r="BM430" s="30">
        <v>0</v>
      </c>
      <c r="BN430" s="30">
        <v>0</v>
      </c>
      <c r="BO430" s="30">
        <v>51</v>
      </c>
      <c r="BP430" s="30">
        <v>0</v>
      </c>
      <c r="BQ430" s="30">
        <v>51</v>
      </c>
      <c r="BR430" s="47">
        <v>13347</v>
      </c>
      <c r="BS430" s="47">
        <v>15894</v>
      </c>
      <c r="BT430" s="1">
        <f t="shared" si="177"/>
        <v>4.6788342655284074</v>
      </c>
      <c r="BU430" s="30">
        <v>10</v>
      </c>
      <c r="BV430" s="30">
        <v>0</v>
      </c>
      <c r="BW430" s="47">
        <v>1756</v>
      </c>
      <c r="BX430" s="52">
        <f t="shared" si="178"/>
        <v>0.51692670002943775</v>
      </c>
      <c r="BY430" s="47">
        <v>1358</v>
      </c>
      <c r="BZ430" s="47">
        <v>0</v>
      </c>
      <c r="CA430" s="47">
        <v>1572</v>
      </c>
      <c r="CB430" s="47">
        <v>0</v>
      </c>
      <c r="CC430" s="47">
        <v>2930</v>
      </c>
      <c r="CD430" s="55">
        <f t="shared" si="179"/>
        <v>0.86252575802178388</v>
      </c>
      <c r="CE430" s="3">
        <f t="shared" si="180"/>
        <v>3906.6666666666665</v>
      </c>
      <c r="CF430" s="55">
        <f t="shared" si="181"/>
        <v>1.8782051282051282</v>
      </c>
      <c r="CG430" s="55">
        <f t="shared" si="182"/>
        <v>0.34125320288842304</v>
      </c>
      <c r="CH430" s="55">
        <f t="shared" si="183"/>
        <v>0.18434629419906884</v>
      </c>
      <c r="CI430" s="30">
        <v>80</v>
      </c>
      <c r="CJ430" s="30">
        <v>0</v>
      </c>
      <c r="CK430" s="30">
        <v>0</v>
      </c>
      <c r="CL430" s="30">
        <v>80</v>
      </c>
      <c r="CM430" s="30">
        <v>707</v>
      </c>
      <c r="CN430" s="30">
        <v>0</v>
      </c>
      <c r="CO430" s="30">
        <v>0</v>
      </c>
      <c r="CP430" s="30">
        <v>707</v>
      </c>
      <c r="CQ430" s="1">
        <f t="shared" si="191"/>
        <v>0.2081248160141301</v>
      </c>
      <c r="CR430" s="47">
        <v>8586</v>
      </c>
      <c r="CS430" s="55">
        <f t="shared" si="184"/>
        <v>2.5275242861348248</v>
      </c>
      <c r="CT430" s="59">
        <v>2219</v>
      </c>
      <c r="CU430" s="29" t="s">
        <v>25</v>
      </c>
      <c r="CV430" s="29" t="s">
        <v>25</v>
      </c>
      <c r="CW430" s="29" t="s">
        <v>25</v>
      </c>
      <c r="CX430" s="35">
        <v>0</v>
      </c>
      <c r="CY430" s="49">
        <v>0</v>
      </c>
      <c r="CZ430" s="35">
        <v>0.75</v>
      </c>
      <c r="DA430" s="35">
        <v>0</v>
      </c>
      <c r="DB430" s="35">
        <v>0.75</v>
      </c>
      <c r="DC430" s="49">
        <f t="shared" si="185"/>
        <v>4529.333333333333</v>
      </c>
      <c r="DD430" s="30">
        <v>215</v>
      </c>
      <c r="DE430" s="31">
        <v>15059</v>
      </c>
      <c r="DF430" s="35">
        <v>30</v>
      </c>
      <c r="DG430" s="29" t="s">
        <v>25</v>
      </c>
      <c r="DH430" s="29" t="s">
        <v>26</v>
      </c>
      <c r="DI430" s="29" t="s">
        <v>26</v>
      </c>
      <c r="DJ430" s="47">
        <v>2</v>
      </c>
      <c r="DK430" s="47">
        <v>2</v>
      </c>
      <c r="DL430" s="47">
        <v>16</v>
      </c>
      <c r="DM430" s="47">
        <v>4840</v>
      </c>
      <c r="DN430" s="47">
        <v>1</v>
      </c>
      <c r="DO430" s="47">
        <v>659</v>
      </c>
      <c r="DP430" s="29" t="s">
        <v>2028</v>
      </c>
      <c r="DQ430" s="47">
        <v>0</v>
      </c>
      <c r="DR430" s="47">
        <v>1560</v>
      </c>
      <c r="DS430" s="30">
        <v>52</v>
      </c>
      <c r="DT430" s="30">
        <v>30</v>
      </c>
      <c r="DU430" s="30">
        <v>30</v>
      </c>
      <c r="DV430" s="30">
        <v>45</v>
      </c>
      <c r="DX430" s="2">
        <f t="shared" si="186"/>
        <v>1560</v>
      </c>
      <c r="DY430" s="33" t="s">
        <v>2180</v>
      </c>
      <c r="DZ430" s="33" t="s">
        <v>1119</v>
      </c>
      <c r="EA430" s="33" t="s">
        <v>2030</v>
      </c>
      <c r="EB430" s="33" t="s">
        <v>2027</v>
      </c>
      <c r="EC430" s="36">
        <v>330</v>
      </c>
      <c r="ED430" s="29" t="s">
        <v>1117</v>
      </c>
      <c r="EE430" s="29" t="s">
        <v>214</v>
      </c>
      <c r="EF430" s="37">
        <v>41548</v>
      </c>
      <c r="EG430" s="37">
        <v>41912</v>
      </c>
      <c r="EH430" s="29" t="s">
        <v>1117</v>
      </c>
      <c r="EI430" s="55">
        <f t="shared" si="187"/>
        <v>0.39976449808654696</v>
      </c>
      <c r="EJ430" s="54">
        <f t="shared" si="188"/>
        <v>0</v>
      </c>
      <c r="EK430" s="55">
        <f t="shared" si="189"/>
        <v>0.46276125993523698</v>
      </c>
      <c r="EL430" s="54">
        <f t="shared" si="190"/>
        <v>0</v>
      </c>
    </row>
    <row r="431" spans="1:142" ht="28.8" x14ac:dyDescent="0.3">
      <c r="A431" s="29" t="s">
        <v>1121</v>
      </c>
      <c r="B431" s="29"/>
      <c r="C431" s="30">
        <v>7619</v>
      </c>
      <c r="D431" s="30">
        <v>0</v>
      </c>
      <c r="E431" s="30">
        <v>0</v>
      </c>
      <c r="F431" s="30">
        <v>4030</v>
      </c>
      <c r="H431" s="2">
        <f t="shared" si="166"/>
        <v>4030</v>
      </c>
      <c r="I431" s="1">
        <f t="shared" si="165"/>
        <v>0.52894080588003678</v>
      </c>
      <c r="J431" s="31">
        <v>104510</v>
      </c>
      <c r="K431" s="31">
        <v>45638</v>
      </c>
      <c r="L431" s="31">
        <v>150148</v>
      </c>
      <c r="M431" s="45">
        <f t="shared" si="167"/>
        <v>19.707048169051056</v>
      </c>
      <c r="N431" s="31">
        <v>7079</v>
      </c>
      <c r="O431" s="31">
        <v>809</v>
      </c>
      <c r="P431" s="31">
        <v>0</v>
      </c>
      <c r="Q431" s="31">
        <v>7888</v>
      </c>
      <c r="R431" s="45">
        <f t="shared" si="168"/>
        <v>1.0353064706654416</v>
      </c>
      <c r="S431" s="31">
        <v>9801</v>
      </c>
      <c r="T431" s="31">
        <v>167837</v>
      </c>
      <c r="U431" s="31">
        <v>0</v>
      </c>
      <c r="V431" s="31">
        <v>167837</v>
      </c>
      <c r="W431" s="45">
        <f t="shared" si="169"/>
        <v>22.028743929649561</v>
      </c>
      <c r="X431" s="4">
        <f t="shared" si="170"/>
        <v>0.89460607613339138</v>
      </c>
      <c r="Y431" s="4">
        <f t="shared" si="171"/>
        <v>4.6997980183153897E-2</v>
      </c>
      <c r="Z431" s="4">
        <f t="shared" si="172"/>
        <v>5.8395943683454778E-2</v>
      </c>
      <c r="AA431" s="4">
        <f t="shared" si="173"/>
        <v>0</v>
      </c>
      <c r="AB431" s="31">
        <v>0</v>
      </c>
      <c r="AC431" s="31">
        <v>7079</v>
      </c>
      <c r="AD431" s="31">
        <v>163938</v>
      </c>
      <c r="AE431" s="31">
        <v>163938</v>
      </c>
      <c r="AF431" s="31">
        <v>163938</v>
      </c>
      <c r="AG431" s="31">
        <v>0</v>
      </c>
      <c r="AH431" s="31">
        <v>0</v>
      </c>
      <c r="AI431" s="31">
        <v>163938</v>
      </c>
      <c r="AJ431" s="45">
        <f t="shared" si="174"/>
        <v>21.516996981231134</v>
      </c>
      <c r="AK431" s="31">
        <v>0</v>
      </c>
      <c r="AL431" s="31">
        <v>0</v>
      </c>
      <c r="AM431" s="31">
        <v>0</v>
      </c>
      <c r="AN431" s="31">
        <v>0</v>
      </c>
      <c r="AO431" s="31">
        <v>0</v>
      </c>
      <c r="AP431" s="31">
        <v>0</v>
      </c>
      <c r="AQ431" s="31">
        <v>0</v>
      </c>
      <c r="AR431" s="31">
        <v>163938</v>
      </c>
      <c r="AS431" s="46">
        <f t="shared" si="175"/>
        <v>21.516996981231134</v>
      </c>
      <c r="AT431" s="31">
        <v>0</v>
      </c>
      <c r="AU431" s="31">
        <v>0</v>
      </c>
      <c r="AV431" s="31">
        <v>0</v>
      </c>
      <c r="AW431" s="31">
        <v>0</v>
      </c>
      <c r="AX431" s="31">
        <v>0</v>
      </c>
      <c r="AY431" s="31">
        <v>0</v>
      </c>
      <c r="AZ431" s="31">
        <v>0</v>
      </c>
      <c r="BA431" s="31">
        <v>0</v>
      </c>
      <c r="BB431" s="31">
        <v>0</v>
      </c>
      <c r="BC431" s="33" t="s">
        <v>25</v>
      </c>
      <c r="BD431" s="47">
        <v>29093</v>
      </c>
      <c r="BE431" s="47">
        <v>28675</v>
      </c>
      <c r="BF431" s="45">
        <f t="shared" si="176"/>
        <v>3.763617272607954</v>
      </c>
      <c r="BG431" s="30">
        <v>583</v>
      </c>
      <c r="BH431" s="30">
        <v>583</v>
      </c>
      <c r="BI431" s="30">
        <v>0</v>
      </c>
      <c r="BJ431" s="30">
        <v>1665</v>
      </c>
      <c r="BK431" s="30">
        <v>1665</v>
      </c>
      <c r="BL431" s="30">
        <v>0</v>
      </c>
      <c r="BM431" s="30">
        <v>0</v>
      </c>
      <c r="BN431" s="30">
        <v>0</v>
      </c>
      <c r="BO431" s="30">
        <v>51</v>
      </c>
      <c r="BP431" s="30">
        <v>0</v>
      </c>
      <c r="BQ431" s="30">
        <v>51</v>
      </c>
      <c r="BR431" s="47">
        <v>31341</v>
      </c>
      <c r="BS431" s="47">
        <v>30923</v>
      </c>
      <c r="BT431" s="1">
        <f t="shared" si="177"/>
        <v>4.0586691166819788</v>
      </c>
      <c r="BU431" s="30">
        <v>0</v>
      </c>
      <c r="BV431" s="30">
        <v>0</v>
      </c>
      <c r="BW431" s="47">
        <v>11136</v>
      </c>
      <c r="BX431" s="52">
        <f t="shared" si="178"/>
        <v>1.4616091350570941</v>
      </c>
      <c r="BY431" s="47">
        <v>678</v>
      </c>
      <c r="BZ431" s="47">
        <v>0</v>
      </c>
      <c r="CA431" s="47">
        <v>15146</v>
      </c>
      <c r="CB431" s="47">
        <v>0</v>
      </c>
      <c r="CC431" s="47">
        <v>15824</v>
      </c>
      <c r="CD431" s="55">
        <f t="shared" si="179"/>
        <v>2.0769129807061293</v>
      </c>
      <c r="CE431" s="3">
        <f t="shared" si="180"/>
        <v>2260.5714285714284</v>
      </c>
      <c r="CF431" s="55">
        <f t="shared" si="181"/>
        <v>15.215384615384615</v>
      </c>
      <c r="CG431" s="55">
        <f t="shared" si="182"/>
        <v>1.2595717583379766</v>
      </c>
      <c r="CH431" s="55">
        <f t="shared" si="183"/>
        <v>0.51172266597678107</v>
      </c>
      <c r="CI431" s="30">
        <v>2</v>
      </c>
      <c r="CJ431" s="30">
        <v>0</v>
      </c>
      <c r="CK431" s="30">
        <v>0</v>
      </c>
      <c r="CL431" s="30">
        <v>2</v>
      </c>
      <c r="CM431" s="30">
        <v>71</v>
      </c>
      <c r="CN431" s="30">
        <v>0</v>
      </c>
      <c r="CO431" s="30">
        <v>0</v>
      </c>
      <c r="CP431" s="30">
        <v>71</v>
      </c>
      <c r="CQ431" s="1">
        <f t="shared" si="191"/>
        <v>9.3188082425515167E-3</v>
      </c>
      <c r="CR431" s="47">
        <v>12563</v>
      </c>
      <c r="CS431" s="55">
        <f t="shared" si="184"/>
        <v>1.6489040556503478</v>
      </c>
      <c r="CT431" s="59">
        <v>3164</v>
      </c>
      <c r="CU431" s="29" t="s">
        <v>25</v>
      </c>
      <c r="CV431" s="29" t="s">
        <v>25</v>
      </c>
      <c r="CW431" s="29" t="s">
        <v>25</v>
      </c>
      <c r="CX431" s="35">
        <v>0</v>
      </c>
      <c r="CY431" s="49">
        <v>0</v>
      </c>
      <c r="CZ431" s="35">
        <v>1</v>
      </c>
      <c r="DA431" s="35">
        <v>6</v>
      </c>
      <c r="DB431" s="35">
        <v>7</v>
      </c>
      <c r="DC431" s="49">
        <f t="shared" si="185"/>
        <v>1088.4285714285713</v>
      </c>
      <c r="DD431" s="30">
        <v>49</v>
      </c>
      <c r="DE431" s="31">
        <v>42622</v>
      </c>
      <c r="DF431" s="35">
        <v>40</v>
      </c>
      <c r="DG431" s="29" t="s">
        <v>25</v>
      </c>
      <c r="DH431" s="29" t="s">
        <v>26</v>
      </c>
      <c r="DI431" s="29" t="s">
        <v>26</v>
      </c>
      <c r="DJ431" s="47">
        <v>0</v>
      </c>
      <c r="DK431" s="47">
        <v>0</v>
      </c>
      <c r="DL431" s="47">
        <v>8</v>
      </c>
      <c r="DM431" s="47">
        <v>18660</v>
      </c>
      <c r="DN431" s="47">
        <v>5</v>
      </c>
      <c r="DO431" s="47">
        <v>18660</v>
      </c>
      <c r="DP431" s="29" t="s">
        <v>2028</v>
      </c>
      <c r="DQ431" s="47">
        <v>0</v>
      </c>
      <c r="DR431" s="47">
        <v>1040</v>
      </c>
      <c r="DS431" s="30">
        <v>52</v>
      </c>
      <c r="DT431" s="30">
        <v>36</v>
      </c>
      <c r="DU431" s="30">
        <v>36</v>
      </c>
      <c r="DV431" s="30">
        <v>36</v>
      </c>
      <c r="DX431" s="2">
        <f t="shared" si="186"/>
        <v>1040</v>
      </c>
      <c r="DY431" s="33" t="s">
        <v>2181</v>
      </c>
      <c r="DZ431" s="33" t="s">
        <v>1122</v>
      </c>
      <c r="EA431" s="33" t="s">
        <v>2030</v>
      </c>
      <c r="EB431" s="33" t="s">
        <v>2027</v>
      </c>
      <c r="EC431" s="36">
        <v>331</v>
      </c>
      <c r="ED431" s="29" t="s">
        <v>1120</v>
      </c>
      <c r="EE431" s="29" t="s">
        <v>91</v>
      </c>
      <c r="EF431" s="37">
        <v>41548</v>
      </c>
      <c r="EG431" s="37">
        <v>41912</v>
      </c>
      <c r="EH431" s="29" t="s">
        <v>1120</v>
      </c>
      <c r="EI431" s="55">
        <f t="shared" si="187"/>
        <v>8.8988056175351091E-2</v>
      </c>
      <c r="EJ431" s="54">
        <f t="shared" si="188"/>
        <v>0</v>
      </c>
      <c r="EK431" s="55">
        <f t="shared" si="189"/>
        <v>1.9879249245307784</v>
      </c>
      <c r="EL431" s="54">
        <f t="shared" si="190"/>
        <v>0</v>
      </c>
    </row>
    <row r="432" spans="1:142" ht="28.8" x14ac:dyDescent="0.3">
      <c r="A432" s="29" t="s">
        <v>1123</v>
      </c>
      <c r="B432" s="29"/>
      <c r="C432" s="30">
        <v>6646</v>
      </c>
      <c r="D432" s="30">
        <v>0</v>
      </c>
      <c r="E432" s="30">
        <v>0</v>
      </c>
      <c r="F432" s="30">
        <v>17774</v>
      </c>
      <c r="H432" s="2">
        <f t="shared" si="166"/>
        <v>17774</v>
      </c>
      <c r="I432" s="1">
        <f t="shared" si="165"/>
        <v>2.6743906108937705</v>
      </c>
      <c r="J432" s="31">
        <v>341220</v>
      </c>
      <c r="K432" s="31">
        <v>116115</v>
      </c>
      <c r="L432" s="31">
        <v>457335</v>
      </c>
      <c r="M432" s="45">
        <f t="shared" si="167"/>
        <v>68.813572073427622</v>
      </c>
      <c r="N432" s="31">
        <v>26874</v>
      </c>
      <c r="O432" s="31">
        <v>0</v>
      </c>
      <c r="P432" s="31">
        <v>13000</v>
      </c>
      <c r="Q432" s="31">
        <v>39874</v>
      </c>
      <c r="R432" s="45">
        <f t="shared" si="168"/>
        <v>5.9996990671080352</v>
      </c>
      <c r="S432" s="31">
        <v>78831</v>
      </c>
      <c r="T432" s="31">
        <v>576040</v>
      </c>
      <c r="U432" s="31">
        <v>0</v>
      </c>
      <c r="V432" s="31">
        <v>576040</v>
      </c>
      <c r="W432" s="45">
        <f t="shared" si="169"/>
        <v>86.674691543785741</v>
      </c>
      <c r="X432" s="4">
        <f t="shared" si="170"/>
        <v>0.79392924102492879</v>
      </c>
      <c r="Y432" s="4">
        <f t="shared" si="171"/>
        <v>6.9220887438372333E-2</v>
      </c>
      <c r="Z432" s="4">
        <f t="shared" si="172"/>
        <v>0.13684987153669884</v>
      </c>
      <c r="AA432" s="4">
        <f t="shared" si="173"/>
        <v>0</v>
      </c>
      <c r="AB432" s="31">
        <v>0</v>
      </c>
      <c r="AC432" s="31">
        <v>39874</v>
      </c>
      <c r="AD432" s="31">
        <v>576040</v>
      </c>
      <c r="AE432" s="31">
        <v>576040</v>
      </c>
      <c r="AF432" s="31">
        <v>595609</v>
      </c>
      <c r="AG432" s="31">
        <v>0</v>
      </c>
      <c r="AH432" s="31">
        <v>0</v>
      </c>
      <c r="AI432" s="31">
        <v>595609</v>
      </c>
      <c r="AJ432" s="45">
        <f t="shared" si="174"/>
        <v>89.619169425218175</v>
      </c>
      <c r="AK432" s="31">
        <v>0</v>
      </c>
      <c r="AL432" s="31">
        <v>0</v>
      </c>
      <c r="AM432" s="31">
        <v>0</v>
      </c>
      <c r="AN432" s="31">
        <v>0</v>
      </c>
      <c r="AO432" s="31">
        <v>0</v>
      </c>
      <c r="AP432" s="31">
        <v>0</v>
      </c>
      <c r="AQ432" s="31">
        <v>0</v>
      </c>
      <c r="AR432" s="31">
        <v>595609</v>
      </c>
      <c r="AS432" s="46">
        <f t="shared" si="175"/>
        <v>89.619169425218175</v>
      </c>
      <c r="AT432" s="31">
        <v>0</v>
      </c>
      <c r="AU432" s="31">
        <v>0</v>
      </c>
      <c r="AV432" s="31">
        <v>0</v>
      </c>
      <c r="AW432" s="31">
        <v>0</v>
      </c>
      <c r="AX432" s="31">
        <v>0</v>
      </c>
      <c r="AY432" s="31">
        <v>0</v>
      </c>
      <c r="AZ432" s="31">
        <v>0</v>
      </c>
      <c r="BA432" s="31">
        <v>0</v>
      </c>
      <c r="BB432" s="31">
        <v>0</v>
      </c>
      <c r="BC432" s="33" t="s">
        <v>25</v>
      </c>
      <c r="BD432" s="47">
        <v>26881</v>
      </c>
      <c r="BE432" s="47">
        <v>29518</v>
      </c>
      <c r="BF432" s="45">
        <f t="shared" si="176"/>
        <v>4.4414685525127897</v>
      </c>
      <c r="BG432" s="30">
        <v>1532</v>
      </c>
      <c r="BH432" s="30">
        <v>1868</v>
      </c>
      <c r="BI432" s="30">
        <v>0</v>
      </c>
      <c r="BJ432" s="30">
        <v>4996</v>
      </c>
      <c r="BK432" s="30">
        <v>6092</v>
      </c>
      <c r="BL432" s="30">
        <v>0</v>
      </c>
      <c r="BM432" s="30">
        <v>0</v>
      </c>
      <c r="BN432" s="30">
        <v>0</v>
      </c>
      <c r="BO432" s="30">
        <v>51</v>
      </c>
      <c r="BP432" s="30">
        <v>0</v>
      </c>
      <c r="BQ432" s="30">
        <v>51</v>
      </c>
      <c r="BR432" s="47">
        <v>33409</v>
      </c>
      <c r="BS432" s="47">
        <v>37478</v>
      </c>
      <c r="BT432" s="1">
        <f t="shared" si="177"/>
        <v>5.6391814625338545</v>
      </c>
      <c r="BU432" s="30">
        <v>0</v>
      </c>
      <c r="BV432" s="30">
        <v>0</v>
      </c>
      <c r="BW432" s="47">
        <v>800</v>
      </c>
      <c r="BX432" s="52">
        <f t="shared" si="178"/>
        <v>0.12037315678603672</v>
      </c>
      <c r="BY432" s="47">
        <v>58090</v>
      </c>
      <c r="BZ432" s="47">
        <v>0</v>
      </c>
      <c r="CA432" s="47">
        <v>52292</v>
      </c>
      <c r="CB432" s="47">
        <v>0</v>
      </c>
      <c r="CC432" s="47">
        <v>110382</v>
      </c>
      <c r="CD432" s="55">
        <f t="shared" si="179"/>
        <v>16.60878724044538</v>
      </c>
      <c r="CE432" s="3">
        <f t="shared" si="180"/>
        <v>14717.6</v>
      </c>
      <c r="CF432" s="55">
        <f t="shared" si="181"/>
        <v>36.297928313054918</v>
      </c>
      <c r="CG432" s="55">
        <f t="shared" si="182"/>
        <v>1.2986117647058824</v>
      </c>
      <c r="CH432" s="55">
        <f t="shared" si="183"/>
        <v>2.9452478787555365</v>
      </c>
      <c r="CI432" s="30">
        <v>257</v>
      </c>
      <c r="CJ432" s="30">
        <v>63</v>
      </c>
      <c r="CK432" s="30">
        <v>100</v>
      </c>
      <c r="CL432" s="30">
        <v>420</v>
      </c>
      <c r="CM432" s="30">
        <v>10060</v>
      </c>
      <c r="CN432" s="30">
        <v>1817</v>
      </c>
      <c r="CO432" s="30">
        <v>629</v>
      </c>
      <c r="CP432" s="30">
        <v>12506</v>
      </c>
      <c r="CQ432" s="1">
        <f t="shared" si="191"/>
        <v>1.8817333734577188</v>
      </c>
      <c r="CR432" s="47">
        <v>85000</v>
      </c>
      <c r="CS432" s="55">
        <f t="shared" si="184"/>
        <v>12.7896479085164</v>
      </c>
      <c r="CT432" s="59">
        <v>6984</v>
      </c>
      <c r="CU432" s="29" t="s">
        <v>25</v>
      </c>
      <c r="CV432" s="29" t="s">
        <v>25</v>
      </c>
      <c r="CW432" s="29" t="s">
        <v>25</v>
      </c>
      <c r="CX432" s="35">
        <v>1</v>
      </c>
      <c r="CY432" s="49">
        <f>C432/CX432</f>
        <v>6646</v>
      </c>
      <c r="CZ432" s="35">
        <v>3</v>
      </c>
      <c r="DA432" s="35">
        <v>3.5</v>
      </c>
      <c r="DB432" s="35">
        <v>7.5</v>
      </c>
      <c r="DC432" s="49">
        <f t="shared" si="185"/>
        <v>886.13333333333333</v>
      </c>
      <c r="DD432" s="30">
        <v>1885</v>
      </c>
      <c r="DE432" s="31">
        <v>92143</v>
      </c>
      <c r="DF432" s="35">
        <v>40</v>
      </c>
      <c r="DG432" s="29" t="s">
        <v>25</v>
      </c>
      <c r="DH432" s="29" t="s">
        <v>25</v>
      </c>
      <c r="DI432" s="29" t="s">
        <v>25</v>
      </c>
      <c r="DJ432" s="47">
        <v>3633</v>
      </c>
      <c r="DK432" s="47">
        <v>2791</v>
      </c>
      <c r="DL432" s="47">
        <v>24</v>
      </c>
      <c r="DM432" s="47">
        <v>14664</v>
      </c>
      <c r="DN432" s="47">
        <v>0</v>
      </c>
      <c r="DO432" s="47">
        <v>0</v>
      </c>
      <c r="DP432" s="29" t="s">
        <v>25</v>
      </c>
      <c r="DQ432" s="47">
        <v>9928</v>
      </c>
      <c r="DR432" s="47">
        <v>3041</v>
      </c>
      <c r="DS432" s="30">
        <v>52</v>
      </c>
      <c r="DT432" s="30">
        <v>60</v>
      </c>
      <c r="DU432" s="30">
        <v>60</v>
      </c>
      <c r="DV432" s="30">
        <v>60</v>
      </c>
      <c r="DX432" s="2">
        <f t="shared" si="186"/>
        <v>3041</v>
      </c>
      <c r="DY432" s="33" t="s">
        <v>2181</v>
      </c>
      <c r="DZ432" s="33" t="s">
        <v>1125</v>
      </c>
      <c r="EA432" s="33" t="s">
        <v>2030</v>
      </c>
      <c r="EB432" s="33" t="s">
        <v>2027</v>
      </c>
      <c r="EC432" s="36">
        <v>332</v>
      </c>
      <c r="ED432" s="29" t="s">
        <v>1124</v>
      </c>
      <c r="EE432" s="29" t="s">
        <v>424</v>
      </c>
      <c r="EF432" s="37">
        <v>41548</v>
      </c>
      <c r="EG432" s="37">
        <v>41912</v>
      </c>
      <c r="EH432" s="29" t="s">
        <v>1124</v>
      </c>
      <c r="EI432" s="55">
        <f t="shared" si="187"/>
        <v>8.7405958471260909</v>
      </c>
      <c r="EJ432" s="54">
        <f t="shared" si="188"/>
        <v>0</v>
      </c>
      <c r="EK432" s="55">
        <f t="shared" si="189"/>
        <v>7.8681913933192895</v>
      </c>
      <c r="EL432" s="54">
        <f t="shared" si="190"/>
        <v>0</v>
      </c>
    </row>
    <row r="433" spans="1:142" ht="28.8" x14ac:dyDescent="0.3">
      <c r="A433" s="29" t="s">
        <v>1128</v>
      </c>
      <c r="B433" s="29"/>
      <c r="C433" s="30">
        <v>3210</v>
      </c>
      <c r="D433" s="30">
        <v>0</v>
      </c>
      <c r="E433" s="30">
        <v>0</v>
      </c>
      <c r="F433" s="30">
        <v>1742</v>
      </c>
      <c r="H433" s="2">
        <f t="shared" si="166"/>
        <v>1742</v>
      </c>
      <c r="I433" s="1">
        <f t="shared" si="165"/>
        <v>0.54267912772585669</v>
      </c>
      <c r="J433" s="31">
        <v>10050</v>
      </c>
      <c r="K433" s="31">
        <v>2207</v>
      </c>
      <c r="L433" s="31">
        <v>12257</v>
      </c>
      <c r="M433" s="45">
        <f t="shared" si="167"/>
        <v>3.8183800623052959</v>
      </c>
      <c r="N433" s="31">
        <v>1852</v>
      </c>
      <c r="O433" s="31">
        <v>0</v>
      </c>
      <c r="P433" s="31">
        <v>33</v>
      </c>
      <c r="Q433" s="31">
        <v>1885</v>
      </c>
      <c r="R433" s="45">
        <f t="shared" si="168"/>
        <v>0.58722741433021808</v>
      </c>
      <c r="S433" s="31">
        <v>3842</v>
      </c>
      <c r="T433" s="31">
        <v>17984</v>
      </c>
      <c r="U433" s="31">
        <v>0</v>
      </c>
      <c r="V433" s="31">
        <v>17984</v>
      </c>
      <c r="W433" s="45">
        <f t="shared" si="169"/>
        <v>5.6024922118380065</v>
      </c>
      <c r="X433" s="4">
        <f t="shared" si="170"/>
        <v>0.68155026690391463</v>
      </c>
      <c r="Y433" s="4">
        <f t="shared" si="171"/>
        <v>0.10481539145907473</v>
      </c>
      <c r="Z433" s="4">
        <f t="shared" si="172"/>
        <v>0.21363434163701067</v>
      </c>
      <c r="AA433" s="4">
        <f t="shared" si="173"/>
        <v>0</v>
      </c>
      <c r="AB433" s="31">
        <v>0</v>
      </c>
      <c r="AC433" s="31">
        <v>1885</v>
      </c>
      <c r="AD433" s="31">
        <v>17984</v>
      </c>
      <c r="AE433" s="31">
        <v>17984</v>
      </c>
      <c r="AF433" s="31">
        <v>0</v>
      </c>
      <c r="AG433" s="31">
        <v>19605</v>
      </c>
      <c r="AH433" s="31">
        <v>0</v>
      </c>
      <c r="AI433" s="31">
        <v>19605</v>
      </c>
      <c r="AJ433" s="45">
        <f t="shared" si="174"/>
        <v>6.1074766355140184</v>
      </c>
      <c r="AK433" s="31">
        <v>0</v>
      </c>
      <c r="AL433" s="31">
        <v>0</v>
      </c>
      <c r="AM433" s="31">
        <v>0</v>
      </c>
      <c r="AN433" s="31">
        <v>0</v>
      </c>
      <c r="AO433" s="31">
        <v>0</v>
      </c>
      <c r="AP433" s="31">
        <v>82</v>
      </c>
      <c r="AQ433" s="31">
        <v>82</v>
      </c>
      <c r="AR433" s="31">
        <v>19687</v>
      </c>
      <c r="AS433" s="46">
        <f t="shared" si="175"/>
        <v>6.1330218068535824</v>
      </c>
      <c r="AT433" s="31">
        <v>0</v>
      </c>
      <c r="AU433" s="31">
        <v>0</v>
      </c>
      <c r="AV433" s="31">
        <v>0</v>
      </c>
      <c r="AW433" s="31">
        <v>0</v>
      </c>
      <c r="AX433" s="31">
        <v>0</v>
      </c>
      <c r="AY433" s="31">
        <v>0</v>
      </c>
      <c r="AZ433" s="31">
        <v>0</v>
      </c>
      <c r="BA433" s="31">
        <v>0</v>
      </c>
      <c r="BB433" s="31">
        <v>0</v>
      </c>
      <c r="BC433" s="33" t="s">
        <v>25</v>
      </c>
      <c r="BD433" s="47">
        <v>8015</v>
      </c>
      <c r="BE433" s="47">
        <v>8035</v>
      </c>
      <c r="BF433" s="45">
        <f t="shared" si="176"/>
        <v>2.5031152647975077</v>
      </c>
      <c r="BG433" s="30">
        <v>245</v>
      </c>
      <c r="BH433" s="30">
        <v>247</v>
      </c>
      <c r="BI433" s="30">
        <v>0</v>
      </c>
      <c r="BJ433" s="30">
        <v>40</v>
      </c>
      <c r="BK433" s="30">
        <v>40</v>
      </c>
      <c r="BL433" s="30">
        <v>0</v>
      </c>
      <c r="BM433" s="30">
        <v>0</v>
      </c>
      <c r="BN433" s="30">
        <v>0</v>
      </c>
      <c r="BO433" s="30">
        <v>51</v>
      </c>
      <c r="BP433" s="30">
        <v>0</v>
      </c>
      <c r="BQ433" s="30">
        <v>51</v>
      </c>
      <c r="BR433" s="47">
        <v>8300</v>
      </c>
      <c r="BS433" s="47">
        <v>8322</v>
      </c>
      <c r="BT433" s="1">
        <f t="shared" si="177"/>
        <v>2.5925233644859813</v>
      </c>
      <c r="BU433" s="30">
        <v>5</v>
      </c>
      <c r="BV433" s="30">
        <v>0</v>
      </c>
      <c r="BW433" s="47">
        <v>35</v>
      </c>
      <c r="BX433" s="52">
        <f t="shared" si="178"/>
        <v>1.0903426791277258E-2</v>
      </c>
      <c r="BY433" s="47">
        <v>402</v>
      </c>
      <c r="BZ433" s="47">
        <v>0</v>
      </c>
      <c r="CA433" s="47">
        <v>1984</v>
      </c>
      <c r="CB433" s="47">
        <v>0</v>
      </c>
      <c r="CC433" s="47">
        <v>2386</v>
      </c>
      <c r="CD433" s="55">
        <f t="shared" si="179"/>
        <v>0.74330218068535825</v>
      </c>
      <c r="CE433" s="3">
        <f t="shared" si="180"/>
        <v>4772</v>
      </c>
      <c r="CF433" s="55">
        <f t="shared" si="181"/>
        <v>2.3907815631262523</v>
      </c>
      <c r="CG433" s="55">
        <f t="shared" si="182"/>
        <v>1.4244776119402984</v>
      </c>
      <c r="CH433" s="55">
        <f t="shared" si="183"/>
        <v>0.28670992549867819</v>
      </c>
      <c r="CI433" s="30">
        <v>32</v>
      </c>
      <c r="CJ433" s="30">
        <v>1</v>
      </c>
      <c r="CK433" s="30">
        <v>4</v>
      </c>
      <c r="CL433" s="30">
        <v>37</v>
      </c>
      <c r="CM433" s="30">
        <v>113</v>
      </c>
      <c r="CN433" s="30">
        <v>5</v>
      </c>
      <c r="CO433" s="30">
        <v>75</v>
      </c>
      <c r="CP433" s="30">
        <v>193</v>
      </c>
      <c r="CQ433" s="1">
        <f t="shared" si="191"/>
        <v>6.0124610591900308E-2</v>
      </c>
      <c r="CR433" s="47">
        <v>1675</v>
      </c>
      <c r="CS433" s="55">
        <f t="shared" si="184"/>
        <v>0.52180685358255452</v>
      </c>
      <c r="CT433" s="59">
        <v>560</v>
      </c>
      <c r="CU433" s="29" t="s">
        <v>25</v>
      </c>
      <c r="CV433" s="29" t="s">
        <v>25</v>
      </c>
      <c r="CW433" s="29" t="s">
        <v>25</v>
      </c>
      <c r="CX433" s="35">
        <v>0.5</v>
      </c>
      <c r="CY433" s="49">
        <f>C433/CX433</f>
        <v>6420</v>
      </c>
      <c r="CZ433" s="35">
        <v>0</v>
      </c>
      <c r="DA433" s="35">
        <v>0</v>
      </c>
      <c r="DB433" s="35">
        <v>0.5</v>
      </c>
      <c r="DC433" s="49">
        <f t="shared" si="185"/>
        <v>6420</v>
      </c>
      <c r="DD433" s="30">
        <v>47</v>
      </c>
      <c r="DE433" s="31">
        <v>9128</v>
      </c>
      <c r="DF433" s="35">
        <v>20</v>
      </c>
      <c r="DG433" s="29" t="s">
        <v>25</v>
      </c>
      <c r="DH433" s="29" t="s">
        <v>26</v>
      </c>
      <c r="DI433" s="29" t="s">
        <v>26</v>
      </c>
      <c r="DJ433" s="47">
        <v>0</v>
      </c>
      <c r="DK433" s="47">
        <v>0</v>
      </c>
      <c r="DL433" s="47">
        <v>2</v>
      </c>
      <c r="DM433" s="47">
        <v>157</v>
      </c>
      <c r="DN433" s="47">
        <v>5</v>
      </c>
      <c r="DO433" s="47">
        <v>0</v>
      </c>
      <c r="DP433" s="29" t="s">
        <v>2028</v>
      </c>
      <c r="DQ433" s="47">
        <v>0</v>
      </c>
      <c r="DR433" s="47">
        <v>998</v>
      </c>
      <c r="DS433" s="30">
        <v>52</v>
      </c>
      <c r="DT433" s="30">
        <v>20</v>
      </c>
      <c r="DU433" s="30">
        <v>20</v>
      </c>
      <c r="DV433" s="30">
        <v>20</v>
      </c>
      <c r="DX433" s="2">
        <f t="shared" si="186"/>
        <v>998</v>
      </c>
      <c r="DY433" s="33" t="s">
        <v>2179</v>
      </c>
      <c r="DZ433" s="33" t="s">
        <v>1129</v>
      </c>
      <c r="EA433" s="33" t="s">
        <v>2031</v>
      </c>
      <c r="EB433" s="33" t="s">
        <v>2027</v>
      </c>
      <c r="EC433" s="36">
        <v>333</v>
      </c>
      <c r="ED433" s="29" t="s">
        <v>1126</v>
      </c>
      <c r="EE433" s="29" t="s">
        <v>1127</v>
      </c>
      <c r="EF433" s="37">
        <v>41548</v>
      </c>
      <c r="EG433" s="37">
        <v>41912</v>
      </c>
      <c r="EH433" s="29" t="s">
        <v>1126</v>
      </c>
      <c r="EI433" s="55">
        <f t="shared" si="187"/>
        <v>0.12523364485981309</v>
      </c>
      <c r="EJ433" s="54">
        <f t="shared" si="188"/>
        <v>0</v>
      </c>
      <c r="EK433" s="55">
        <f t="shared" si="189"/>
        <v>0.61806853582554522</v>
      </c>
      <c r="EL433" s="54">
        <f t="shared" si="190"/>
        <v>0</v>
      </c>
    </row>
    <row r="434" spans="1:142" ht="43.2" x14ac:dyDescent="0.3">
      <c r="A434" s="29" t="s">
        <v>1130</v>
      </c>
      <c r="B434" s="29"/>
      <c r="C434" s="30">
        <v>31934</v>
      </c>
      <c r="D434" s="30">
        <v>1</v>
      </c>
      <c r="E434" s="30">
        <v>0</v>
      </c>
      <c r="F434" s="30">
        <v>16000</v>
      </c>
      <c r="G434">
        <v>1424</v>
      </c>
      <c r="H434" s="2">
        <f t="shared" si="166"/>
        <v>17424</v>
      </c>
      <c r="I434" s="1">
        <f t="shared" si="165"/>
        <v>0.54562535228909625</v>
      </c>
      <c r="J434" s="31">
        <v>250148</v>
      </c>
      <c r="K434" s="31">
        <v>66393</v>
      </c>
      <c r="L434" s="31">
        <v>316541</v>
      </c>
      <c r="M434" s="45">
        <f t="shared" si="167"/>
        <v>9.9123504728502532</v>
      </c>
      <c r="N434" s="31">
        <v>34653</v>
      </c>
      <c r="O434" s="31">
        <v>0</v>
      </c>
      <c r="P434" s="31">
        <v>9073</v>
      </c>
      <c r="Q434" s="31">
        <v>43726</v>
      </c>
      <c r="R434" s="45">
        <f t="shared" si="168"/>
        <v>1.369261602054237</v>
      </c>
      <c r="S434" s="31">
        <v>227351</v>
      </c>
      <c r="T434" s="31">
        <v>587618</v>
      </c>
      <c r="U434" s="31">
        <v>0</v>
      </c>
      <c r="V434" s="31">
        <v>587618</v>
      </c>
      <c r="W434" s="45">
        <f t="shared" si="169"/>
        <v>18.401014592597232</v>
      </c>
      <c r="X434" s="4">
        <f t="shared" si="170"/>
        <v>0.53868499603483899</v>
      </c>
      <c r="Y434" s="4">
        <f t="shared" si="171"/>
        <v>7.4412288255295111E-2</v>
      </c>
      <c r="Z434" s="4">
        <f t="shared" si="172"/>
        <v>0.38690271570986595</v>
      </c>
      <c r="AA434" s="4">
        <f t="shared" si="173"/>
        <v>0</v>
      </c>
      <c r="AB434" s="31">
        <v>100</v>
      </c>
      <c r="AC434" s="31">
        <v>43726</v>
      </c>
      <c r="AD434" s="31">
        <v>585899</v>
      </c>
      <c r="AE434" s="31">
        <v>578385</v>
      </c>
      <c r="AF434" s="31">
        <v>0</v>
      </c>
      <c r="AG434" s="31">
        <v>585899</v>
      </c>
      <c r="AH434" s="31">
        <v>0</v>
      </c>
      <c r="AI434" s="31">
        <v>585899</v>
      </c>
      <c r="AJ434" s="45">
        <f t="shared" si="174"/>
        <v>18.347184818688547</v>
      </c>
      <c r="AK434" s="31">
        <v>0</v>
      </c>
      <c r="AL434" s="31">
        <v>0</v>
      </c>
      <c r="AM434" s="31">
        <v>0</v>
      </c>
      <c r="AN434" s="31">
        <v>0</v>
      </c>
      <c r="AO434" s="31">
        <v>0</v>
      </c>
      <c r="AP434" s="31">
        <v>7514</v>
      </c>
      <c r="AQ434" s="31">
        <v>7514</v>
      </c>
      <c r="AR434" s="31">
        <v>593413</v>
      </c>
      <c r="AS434" s="46">
        <f t="shared" si="175"/>
        <v>18.582482620404583</v>
      </c>
      <c r="AT434" s="31">
        <v>0</v>
      </c>
      <c r="AU434" s="31">
        <v>0</v>
      </c>
      <c r="AV434" s="31">
        <v>0</v>
      </c>
      <c r="AW434" s="31">
        <v>0</v>
      </c>
      <c r="AX434" s="31">
        <v>0</v>
      </c>
      <c r="AY434" s="31">
        <v>0</v>
      </c>
      <c r="AZ434" s="31">
        <v>0</v>
      </c>
      <c r="BA434" s="31">
        <v>0</v>
      </c>
      <c r="BB434" s="31">
        <v>0</v>
      </c>
      <c r="BC434" s="33" t="s">
        <v>25</v>
      </c>
      <c r="BD434" s="47">
        <v>33936</v>
      </c>
      <c r="BE434" s="47">
        <v>39867</v>
      </c>
      <c r="BF434" s="45">
        <f t="shared" si="176"/>
        <v>1.2484186133901172</v>
      </c>
      <c r="BG434" s="30">
        <v>699</v>
      </c>
      <c r="BH434" s="30">
        <v>735</v>
      </c>
      <c r="BI434" s="30">
        <v>0</v>
      </c>
      <c r="BJ434" s="30">
        <v>2950</v>
      </c>
      <c r="BK434" s="30">
        <v>4340</v>
      </c>
      <c r="BL434" s="30">
        <v>0</v>
      </c>
      <c r="BM434" s="30">
        <v>0</v>
      </c>
      <c r="BN434" s="30">
        <v>1</v>
      </c>
      <c r="BO434" s="30">
        <v>51</v>
      </c>
      <c r="BP434" s="30">
        <v>2</v>
      </c>
      <c r="BQ434" s="30">
        <v>54</v>
      </c>
      <c r="BR434" s="47">
        <v>37585</v>
      </c>
      <c r="BS434" s="47">
        <v>44943</v>
      </c>
      <c r="BT434" s="1">
        <f t="shared" si="177"/>
        <v>1.4073714536230977</v>
      </c>
      <c r="BU434" s="30">
        <v>71</v>
      </c>
      <c r="BV434" s="30">
        <v>1</v>
      </c>
      <c r="BW434" s="47">
        <v>8519</v>
      </c>
      <c r="BX434" s="52">
        <f t="shared" si="178"/>
        <v>0.2667689609820254</v>
      </c>
      <c r="BY434" s="47">
        <v>16401</v>
      </c>
      <c r="BZ434" s="47">
        <v>0</v>
      </c>
      <c r="CA434" s="47">
        <v>30065</v>
      </c>
      <c r="CB434" s="47">
        <v>0</v>
      </c>
      <c r="CC434" s="47">
        <v>46466</v>
      </c>
      <c r="CD434" s="55">
        <f t="shared" si="179"/>
        <v>1.4550635686102587</v>
      </c>
      <c r="CE434" s="3">
        <f t="shared" si="180"/>
        <v>4555.4901960784318</v>
      </c>
      <c r="CF434" s="55">
        <f t="shared" si="181"/>
        <v>14.196761380996028</v>
      </c>
      <c r="CG434" s="55">
        <f t="shared" si="182"/>
        <v>0.57990440176220248</v>
      </c>
      <c r="CH434" s="55">
        <f t="shared" si="183"/>
        <v>1.033887368444474</v>
      </c>
      <c r="CI434" s="30">
        <v>204</v>
      </c>
      <c r="CJ434" s="30">
        <v>29</v>
      </c>
      <c r="CK434" s="30">
        <v>54</v>
      </c>
      <c r="CL434" s="30">
        <v>287</v>
      </c>
      <c r="CM434" s="30">
        <v>3540</v>
      </c>
      <c r="CN434" s="30">
        <v>309</v>
      </c>
      <c r="CO434" s="30">
        <v>305</v>
      </c>
      <c r="CP434" s="30">
        <v>4154</v>
      </c>
      <c r="CQ434" s="1">
        <f t="shared" si="191"/>
        <v>0.13008079163274253</v>
      </c>
      <c r="CR434" s="47">
        <v>80127</v>
      </c>
      <c r="CS434" s="55">
        <f t="shared" si="184"/>
        <v>2.5091438592096198</v>
      </c>
      <c r="CT434" s="59">
        <v>8241</v>
      </c>
      <c r="CU434" s="29" t="s">
        <v>25</v>
      </c>
      <c r="CV434" s="29" t="s">
        <v>25</v>
      </c>
      <c r="CW434" s="29" t="s">
        <v>25</v>
      </c>
      <c r="CX434" s="35">
        <v>2</v>
      </c>
      <c r="CY434" s="49">
        <f>C434/CX434</f>
        <v>15967</v>
      </c>
      <c r="CZ434" s="35">
        <v>0</v>
      </c>
      <c r="DA434" s="35">
        <v>8.1999999999999993</v>
      </c>
      <c r="DB434" s="35">
        <v>10.199999999999999</v>
      </c>
      <c r="DC434" s="49">
        <f t="shared" si="185"/>
        <v>3130.7843137254904</v>
      </c>
      <c r="DD434" s="30">
        <v>1521</v>
      </c>
      <c r="DE434" s="31">
        <v>56731</v>
      </c>
      <c r="DF434" s="35">
        <v>40</v>
      </c>
      <c r="DG434" s="29" t="s">
        <v>25</v>
      </c>
      <c r="DH434" s="29" t="s">
        <v>25</v>
      </c>
      <c r="DI434" s="29" t="s">
        <v>25</v>
      </c>
      <c r="DJ434" s="47">
        <v>0</v>
      </c>
      <c r="DK434" s="47">
        <v>0</v>
      </c>
      <c r="DL434" s="47">
        <v>28</v>
      </c>
      <c r="DM434" s="47">
        <v>10364</v>
      </c>
      <c r="DN434" s="47">
        <v>5788</v>
      </c>
      <c r="DO434" s="47">
        <v>1365</v>
      </c>
      <c r="DP434" s="29" t="s">
        <v>2028</v>
      </c>
      <c r="DQ434" s="47">
        <v>0</v>
      </c>
      <c r="DR434" s="47">
        <v>2356</v>
      </c>
      <c r="DS434" s="30">
        <v>52</v>
      </c>
      <c r="DT434" s="30">
        <v>68</v>
      </c>
      <c r="DU434" s="30">
        <v>48</v>
      </c>
      <c r="DV434" s="30">
        <v>48</v>
      </c>
      <c r="DW434">
        <f>VLOOKUP(EC434,branch!$I$4:$K$77,3,0)</f>
        <v>917</v>
      </c>
      <c r="DX434" s="2">
        <f t="shared" si="186"/>
        <v>3273</v>
      </c>
      <c r="DY434" s="33" t="s">
        <v>2180</v>
      </c>
      <c r="DZ434" s="33" t="s">
        <v>1132</v>
      </c>
      <c r="EA434" s="33" t="s">
        <v>2031</v>
      </c>
      <c r="EB434" s="33" t="s">
        <v>2027</v>
      </c>
      <c r="EC434" s="36">
        <v>334</v>
      </c>
      <c r="ED434" s="29" t="s">
        <v>1131</v>
      </c>
      <c r="EE434" s="29" t="s">
        <v>354</v>
      </c>
      <c r="EF434" s="37">
        <v>41548</v>
      </c>
      <c r="EG434" s="37">
        <v>41912</v>
      </c>
      <c r="EH434" s="29" t="s">
        <v>1131</v>
      </c>
      <c r="EI434" s="55">
        <f t="shared" si="187"/>
        <v>0.51359053046909253</v>
      </c>
      <c r="EJ434" s="54">
        <f t="shared" si="188"/>
        <v>0</v>
      </c>
      <c r="EK434" s="55">
        <f t="shared" si="189"/>
        <v>0.94147303814116612</v>
      </c>
      <c r="EL434" s="54">
        <f t="shared" si="190"/>
        <v>0</v>
      </c>
    </row>
    <row r="435" spans="1:142" ht="43.2" x14ac:dyDescent="0.3">
      <c r="A435" s="29" t="s">
        <v>1133</v>
      </c>
      <c r="B435" s="29"/>
      <c r="C435" s="30">
        <v>12065</v>
      </c>
      <c r="D435" s="30">
        <v>0</v>
      </c>
      <c r="E435" s="30">
        <v>0</v>
      </c>
      <c r="F435" s="30">
        <v>9340</v>
      </c>
      <c r="H435" s="2">
        <f t="shared" si="166"/>
        <v>9340</v>
      </c>
      <c r="I435" s="1">
        <f t="shared" si="165"/>
        <v>0.7741400745959387</v>
      </c>
      <c r="J435" s="31">
        <v>97974</v>
      </c>
      <c r="K435" s="31">
        <v>31562</v>
      </c>
      <c r="L435" s="31">
        <v>129536</v>
      </c>
      <c r="M435" s="45">
        <f t="shared" si="167"/>
        <v>10.736510567757978</v>
      </c>
      <c r="N435" s="31">
        <v>7820</v>
      </c>
      <c r="O435" s="31">
        <v>0</v>
      </c>
      <c r="P435" s="31">
        <v>1256</v>
      </c>
      <c r="Q435" s="31">
        <v>9076</v>
      </c>
      <c r="R435" s="45">
        <f t="shared" si="168"/>
        <v>0.75225859925404059</v>
      </c>
      <c r="S435" s="31">
        <v>19392</v>
      </c>
      <c r="T435" s="31">
        <v>158004</v>
      </c>
      <c r="U435" s="31">
        <v>0</v>
      </c>
      <c r="V435" s="31">
        <v>158004</v>
      </c>
      <c r="W435" s="45">
        <f t="shared" si="169"/>
        <v>13.096062992125985</v>
      </c>
      <c r="X435" s="4">
        <f t="shared" si="170"/>
        <v>0.81982734614313557</v>
      </c>
      <c r="Y435" s="4">
        <f t="shared" si="171"/>
        <v>5.7441583757373231E-2</v>
      </c>
      <c r="Z435" s="4">
        <f t="shared" si="172"/>
        <v>0.12273107009949115</v>
      </c>
      <c r="AA435" s="4">
        <f t="shared" si="173"/>
        <v>0</v>
      </c>
      <c r="AB435" s="31">
        <v>0</v>
      </c>
      <c r="AC435" s="31">
        <v>9076</v>
      </c>
      <c r="AD435" s="31">
        <v>158003</v>
      </c>
      <c r="AE435" s="31">
        <v>156656</v>
      </c>
      <c r="AF435" s="31">
        <v>152656</v>
      </c>
      <c r="AG435" s="31">
        <v>4000</v>
      </c>
      <c r="AH435" s="31">
        <v>0</v>
      </c>
      <c r="AI435" s="31">
        <v>156656</v>
      </c>
      <c r="AJ435" s="45">
        <f t="shared" si="174"/>
        <v>12.984334852880233</v>
      </c>
      <c r="AK435" s="31">
        <v>0</v>
      </c>
      <c r="AL435" s="31">
        <v>0</v>
      </c>
      <c r="AM435" s="31">
        <v>0</v>
      </c>
      <c r="AN435" s="31">
        <v>0</v>
      </c>
      <c r="AO435" s="31">
        <v>0</v>
      </c>
      <c r="AP435" s="31">
        <v>1347</v>
      </c>
      <c r="AQ435" s="31">
        <v>1347</v>
      </c>
      <c r="AR435" s="31">
        <v>158003</v>
      </c>
      <c r="AS435" s="46">
        <f t="shared" si="175"/>
        <v>13.095980107749689</v>
      </c>
      <c r="AT435" s="31">
        <v>0</v>
      </c>
      <c r="AU435" s="31">
        <v>0</v>
      </c>
      <c r="AV435" s="31">
        <v>0</v>
      </c>
      <c r="AW435" s="31">
        <v>0</v>
      </c>
      <c r="AX435" s="31">
        <v>0</v>
      </c>
      <c r="AY435" s="31">
        <v>0</v>
      </c>
      <c r="AZ435" s="31">
        <v>0</v>
      </c>
      <c r="BA435" s="31">
        <v>0</v>
      </c>
      <c r="BB435" s="31">
        <v>0</v>
      </c>
      <c r="BC435" s="33" t="s">
        <v>25</v>
      </c>
      <c r="BD435" s="47">
        <v>28580</v>
      </c>
      <c r="BE435" s="47">
        <v>29855</v>
      </c>
      <c r="BF435" s="45">
        <f t="shared" si="176"/>
        <v>2.4745130542892664</v>
      </c>
      <c r="BG435" s="30">
        <v>534</v>
      </c>
      <c r="BH435" s="30">
        <v>538</v>
      </c>
      <c r="BI435" s="30">
        <v>0</v>
      </c>
      <c r="BJ435" s="30">
        <v>325</v>
      </c>
      <c r="BK435" s="30">
        <v>328</v>
      </c>
      <c r="BL435" s="30">
        <v>0</v>
      </c>
      <c r="BM435" s="30">
        <v>0</v>
      </c>
      <c r="BN435" s="30">
        <v>0</v>
      </c>
      <c r="BO435" s="30">
        <v>51</v>
      </c>
      <c r="BP435" s="30">
        <v>0</v>
      </c>
      <c r="BQ435" s="30">
        <v>51</v>
      </c>
      <c r="BR435" s="47">
        <v>29439</v>
      </c>
      <c r="BS435" s="47">
        <v>30721</v>
      </c>
      <c r="BT435" s="1">
        <f t="shared" si="177"/>
        <v>2.5462909241607958</v>
      </c>
      <c r="BU435" s="30">
        <v>12</v>
      </c>
      <c r="BV435" s="30">
        <v>0</v>
      </c>
      <c r="BW435" s="47">
        <v>511</v>
      </c>
      <c r="BX435" s="52">
        <f t="shared" si="178"/>
        <v>4.2353916286779945E-2</v>
      </c>
      <c r="BY435" s="47">
        <v>4302</v>
      </c>
      <c r="BZ435" s="47">
        <v>0</v>
      </c>
      <c r="CA435" s="47">
        <v>17490</v>
      </c>
      <c r="CB435" s="47">
        <v>0</v>
      </c>
      <c r="CC435" s="47">
        <v>21792</v>
      </c>
      <c r="CD435" s="55">
        <f t="shared" si="179"/>
        <v>1.8062163282221302</v>
      </c>
      <c r="CE435" s="3">
        <f t="shared" si="180"/>
        <v>5889.7297297297291</v>
      </c>
      <c r="CF435" s="55">
        <f t="shared" si="181"/>
        <v>11.579171094580234</v>
      </c>
      <c r="CG435" s="55">
        <f t="shared" si="182"/>
        <v>1.5192414947016175</v>
      </c>
      <c r="CH435" s="55">
        <f t="shared" si="183"/>
        <v>0.70935190911754176</v>
      </c>
      <c r="CI435" s="30">
        <v>45</v>
      </c>
      <c r="CJ435" s="30">
        <v>12</v>
      </c>
      <c r="CK435" s="30">
        <v>10</v>
      </c>
      <c r="CL435" s="30">
        <v>67</v>
      </c>
      <c r="CM435" s="30">
        <v>1158</v>
      </c>
      <c r="CN435" s="30">
        <v>500</v>
      </c>
      <c r="CO435" s="30">
        <v>600</v>
      </c>
      <c r="CP435" s="30">
        <v>2258</v>
      </c>
      <c r="CQ435" s="1">
        <f t="shared" si="191"/>
        <v>0.18715292167426439</v>
      </c>
      <c r="CR435" s="47">
        <v>14344</v>
      </c>
      <c r="CS435" s="55">
        <f t="shared" si="184"/>
        <v>1.1888934935764608</v>
      </c>
      <c r="CT435" s="59">
        <v>11182</v>
      </c>
      <c r="CU435" s="29" t="s">
        <v>25</v>
      </c>
      <c r="CV435" s="29" t="s">
        <v>25</v>
      </c>
      <c r="CW435" s="29" t="s">
        <v>25</v>
      </c>
      <c r="CX435" s="35">
        <v>0</v>
      </c>
      <c r="CY435" s="49">
        <v>0</v>
      </c>
      <c r="CZ435" s="35">
        <v>1</v>
      </c>
      <c r="DA435" s="35">
        <v>2.7</v>
      </c>
      <c r="DB435" s="35">
        <v>3.7</v>
      </c>
      <c r="DC435" s="49">
        <f t="shared" si="185"/>
        <v>3260.8108108108108</v>
      </c>
      <c r="DD435" s="30">
        <v>819</v>
      </c>
      <c r="DE435" s="31">
        <v>38584</v>
      </c>
      <c r="DF435" s="35">
        <v>40</v>
      </c>
      <c r="DG435" s="29" t="s">
        <v>25</v>
      </c>
      <c r="DH435" s="29" t="s">
        <v>26</v>
      </c>
      <c r="DI435" s="29" t="s">
        <v>26</v>
      </c>
      <c r="DJ435" s="47">
        <v>0</v>
      </c>
      <c r="DK435" s="47">
        <v>0</v>
      </c>
      <c r="DL435" s="47">
        <v>19</v>
      </c>
      <c r="DM435" s="47">
        <v>7855</v>
      </c>
      <c r="DN435" s="47">
        <v>2618</v>
      </c>
      <c r="DO435" s="47">
        <v>624</v>
      </c>
      <c r="DP435" s="29" t="s">
        <v>2028</v>
      </c>
      <c r="DQ435" s="47">
        <v>0</v>
      </c>
      <c r="DR435" s="47">
        <v>1882</v>
      </c>
      <c r="DS435" s="30">
        <v>52</v>
      </c>
      <c r="DT435" s="30">
        <v>38</v>
      </c>
      <c r="DU435" s="30">
        <v>38</v>
      </c>
      <c r="DV435" s="30">
        <v>38</v>
      </c>
      <c r="DX435" s="2">
        <f t="shared" si="186"/>
        <v>1882</v>
      </c>
      <c r="DY435" s="33" t="s">
        <v>2186</v>
      </c>
      <c r="DZ435" s="33" t="s">
        <v>1135</v>
      </c>
      <c r="EA435" s="33" t="s">
        <v>2030</v>
      </c>
      <c r="EB435" s="33" t="s">
        <v>2027</v>
      </c>
      <c r="EC435" s="36">
        <v>335</v>
      </c>
      <c r="ED435" s="29" t="s">
        <v>1134</v>
      </c>
      <c r="EE435" s="29" t="s">
        <v>245</v>
      </c>
      <c r="EF435" s="37">
        <v>41548</v>
      </c>
      <c r="EG435" s="37">
        <v>41912</v>
      </c>
      <c r="EH435" s="29" t="s">
        <v>1134</v>
      </c>
      <c r="EI435" s="55">
        <f t="shared" si="187"/>
        <v>0.35656858682138415</v>
      </c>
      <c r="EJ435" s="54">
        <f t="shared" si="188"/>
        <v>0</v>
      </c>
      <c r="EK435" s="55">
        <f t="shared" si="189"/>
        <v>1.449647741400746</v>
      </c>
      <c r="EL435" s="54">
        <f t="shared" si="190"/>
        <v>0</v>
      </c>
    </row>
    <row r="436" spans="1:142" ht="28.8" x14ac:dyDescent="0.3">
      <c r="A436" s="29" t="s">
        <v>1136</v>
      </c>
      <c r="B436" s="29"/>
      <c r="C436" s="30">
        <v>23603</v>
      </c>
      <c r="D436" s="30">
        <v>0</v>
      </c>
      <c r="E436" s="30">
        <v>0</v>
      </c>
      <c r="F436" s="30">
        <v>8281</v>
      </c>
      <c r="H436" s="2">
        <f t="shared" si="166"/>
        <v>8281</v>
      </c>
      <c r="I436" s="1">
        <f t="shared" si="165"/>
        <v>0.35084523153836378</v>
      </c>
      <c r="J436" s="31">
        <v>119930</v>
      </c>
      <c r="K436" s="31">
        <v>44494</v>
      </c>
      <c r="L436" s="31">
        <v>164424</v>
      </c>
      <c r="M436" s="45">
        <f t="shared" si="167"/>
        <v>6.9662331059611065</v>
      </c>
      <c r="N436" s="31">
        <v>13828</v>
      </c>
      <c r="O436" s="31">
        <v>3000</v>
      </c>
      <c r="P436" s="31">
        <v>3077</v>
      </c>
      <c r="Q436" s="31">
        <v>19905</v>
      </c>
      <c r="R436" s="45">
        <f t="shared" si="168"/>
        <v>0.8433250010591874</v>
      </c>
      <c r="S436" s="31">
        <v>8880</v>
      </c>
      <c r="T436" s="31">
        <v>193209</v>
      </c>
      <c r="U436" s="31">
        <v>0</v>
      </c>
      <c r="V436" s="31">
        <v>193209</v>
      </c>
      <c r="W436" s="45">
        <f t="shared" si="169"/>
        <v>8.1857814684573995</v>
      </c>
      <c r="X436" s="4">
        <f t="shared" si="170"/>
        <v>0.85101625700666117</v>
      </c>
      <c r="Y436" s="4">
        <f t="shared" si="171"/>
        <v>0.10302315109544587</v>
      </c>
      <c r="Z436" s="4">
        <f t="shared" si="172"/>
        <v>4.5960591897892956E-2</v>
      </c>
      <c r="AA436" s="4">
        <f t="shared" si="173"/>
        <v>0</v>
      </c>
      <c r="AB436" s="31">
        <v>0</v>
      </c>
      <c r="AC436" s="31">
        <v>19905</v>
      </c>
      <c r="AD436" s="31">
        <v>193209</v>
      </c>
      <c r="AE436" s="31">
        <v>193209</v>
      </c>
      <c r="AF436" s="31">
        <v>0</v>
      </c>
      <c r="AG436" s="31">
        <v>193209</v>
      </c>
      <c r="AH436" s="31">
        <v>0</v>
      </c>
      <c r="AI436" s="31">
        <v>193209</v>
      </c>
      <c r="AJ436" s="45">
        <f t="shared" si="174"/>
        <v>8.1857814684573995</v>
      </c>
      <c r="AK436" s="31">
        <v>0</v>
      </c>
      <c r="AL436" s="31">
        <v>0</v>
      </c>
      <c r="AM436" s="31">
        <v>0</v>
      </c>
      <c r="AN436" s="31">
        <v>0</v>
      </c>
      <c r="AO436" s="31">
        <v>0</v>
      </c>
      <c r="AP436" s="31">
        <v>16142</v>
      </c>
      <c r="AQ436" s="31">
        <v>16142</v>
      </c>
      <c r="AR436" s="31">
        <v>209351</v>
      </c>
      <c r="AS436" s="46">
        <f t="shared" si="175"/>
        <v>8.8696775833580475</v>
      </c>
      <c r="AT436" s="31">
        <v>0</v>
      </c>
      <c r="AU436" s="31">
        <v>0</v>
      </c>
      <c r="AV436" s="31">
        <v>0</v>
      </c>
      <c r="AW436" s="31">
        <v>0</v>
      </c>
      <c r="AX436" s="31">
        <v>0</v>
      </c>
      <c r="AY436" s="31">
        <v>0</v>
      </c>
      <c r="AZ436" s="31">
        <v>0</v>
      </c>
      <c r="BA436" s="31">
        <v>0</v>
      </c>
      <c r="BB436" s="31">
        <v>0</v>
      </c>
      <c r="BC436" s="33" t="s">
        <v>25</v>
      </c>
      <c r="BD436" s="47">
        <v>42288</v>
      </c>
      <c r="BE436" s="47">
        <v>43313</v>
      </c>
      <c r="BF436" s="45">
        <f t="shared" si="176"/>
        <v>1.8350633394060076</v>
      </c>
      <c r="BG436" s="30">
        <v>521</v>
      </c>
      <c r="BH436" s="30">
        <v>527</v>
      </c>
      <c r="BI436" s="30">
        <v>476</v>
      </c>
      <c r="BJ436" s="30">
        <v>504</v>
      </c>
      <c r="BK436" s="30">
        <v>521</v>
      </c>
      <c r="BL436" s="30">
        <v>0</v>
      </c>
      <c r="BM436" s="30">
        <v>8009</v>
      </c>
      <c r="BN436" s="30">
        <v>1</v>
      </c>
      <c r="BO436" s="30">
        <v>51</v>
      </c>
      <c r="BP436" s="30">
        <v>0</v>
      </c>
      <c r="BQ436" s="30">
        <v>52</v>
      </c>
      <c r="BR436" s="47">
        <v>43313</v>
      </c>
      <c r="BS436" s="47">
        <v>52847</v>
      </c>
      <c r="BT436" s="1">
        <f t="shared" si="177"/>
        <v>2.2389950430030079</v>
      </c>
      <c r="BU436" s="30">
        <v>8</v>
      </c>
      <c r="BV436" s="30">
        <v>0</v>
      </c>
      <c r="BW436" s="47">
        <v>5343</v>
      </c>
      <c r="BX436" s="52">
        <f t="shared" si="178"/>
        <v>0.22636952929712326</v>
      </c>
      <c r="BY436" s="47">
        <v>9355</v>
      </c>
      <c r="BZ436" s="47">
        <v>18</v>
      </c>
      <c r="CA436" s="47">
        <v>25318</v>
      </c>
      <c r="CB436" s="47">
        <v>4579</v>
      </c>
      <c r="CC436" s="47">
        <v>39270</v>
      </c>
      <c r="CD436" s="55">
        <f t="shared" si="179"/>
        <v>1.6637715544634157</v>
      </c>
      <c r="CE436" s="3">
        <f t="shared" si="180"/>
        <v>9520</v>
      </c>
      <c r="CF436" s="55">
        <f t="shared" si="181"/>
        <v>17.01473136915078</v>
      </c>
      <c r="CG436" s="55">
        <f t="shared" si="182"/>
        <v>1.8642297650130548</v>
      </c>
      <c r="CH436" s="55">
        <f t="shared" si="183"/>
        <v>0.65610157624841525</v>
      </c>
      <c r="CI436" s="30">
        <v>63</v>
      </c>
      <c r="CJ436" s="30">
        <v>1</v>
      </c>
      <c r="CK436" s="30">
        <v>1</v>
      </c>
      <c r="CL436" s="30">
        <v>65</v>
      </c>
      <c r="CM436" s="30">
        <v>3598</v>
      </c>
      <c r="CN436" s="30">
        <v>25</v>
      </c>
      <c r="CO436" s="30">
        <v>3</v>
      </c>
      <c r="CP436" s="30">
        <v>3626</v>
      </c>
      <c r="CQ436" s="1">
        <f t="shared" si="191"/>
        <v>0.15362453925348474</v>
      </c>
      <c r="CR436" s="47">
        <v>21065</v>
      </c>
      <c r="CS436" s="55">
        <f t="shared" si="184"/>
        <v>0.89247129602169217</v>
      </c>
      <c r="CT436" s="59">
        <v>12895</v>
      </c>
      <c r="CU436" s="29" t="s">
        <v>25</v>
      </c>
      <c r="CV436" s="29" t="s">
        <v>25</v>
      </c>
      <c r="CW436" s="29" t="s">
        <v>25</v>
      </c>
      <c r="CX436" s="35">
        <v>0</v>
      </c>
      <c r="CY436" s="49">
        <v>0</v>
      </c>
      <c r="CZ436" s="35">
        <v>1</v>
      </c>
      <c r="DA436" s="35">
        <v>3.125</v>
      </c>
      <c r="DB436" s="35">
        <v>4.125</v>
      </c>
      <c r="DC436" s="49">
        <f t="shared" si="185"/>
        <v>5721.939393939394</v>
      </c>
      <c r="DD436" s="30">
        <v>4390</v>
      </c>
      <c r="DE436" s="31">
        <v>44503</v>
      </c>
      <c r="DF436" s="35">
        <v>40</v>
      </c>
      <c r="DG436" s="29" t="s">
        <v>25</v>
      </c>
      <c r="DH436" s="29" t="s">
        <v>26</v>
      </c>
      <c r="DI436" s="29" t="s">
        <v>26</v>
      </c>
      <c r="DJ436" s="47">
        <v>1</v>
      </c>
      <c r="DK436" s="47">
        <v>0</v>
      </c>
      <c r="DL436" s="47">
        <v>7</v>
      </c>
      <c r="DM436" s="47">
        <v>8086</v>
      </c>
      <c r="DN436" s="47">
        <v>0</v>
      </c>
      <c r="DO436" s="47">
        <v>1530</v>
      </c>
      <c r="DP436" s="29" t="s">
        <v>2028</v>
      </c>
      <c r="DQ436" s="47">
        <v>0</v>
      </c>
      <c r="DR436" s="47">
        <v>2308</v>
      </c>
      <c r="DS436" s="30">
        <v>52</v>
      </c>
      <c r="DT436" s="30">
        <v>49</v>
      </c>
      <c r="DU436" s="30">
        <v>49</v>
      </c>
      <c r="DV436" s="30">
        <v>49</v>
      </c>
      <c r="DX436" s="2">
        <f t="shared" si="186"/>
        <v>2308</v>
      </c>
      <c r="DY436" s="33" t="s">
        <v>2180</v>
      </c>
      <c r="DZ436" s="33" t="s">
        <v>1139</v>
      </c>
      <c r="EA436" s="33" t="s">
        <v>2031</v>
      </c>
      <c r="EB436" s="33" t="s">
        <v>2027</v>
      </c>
      <c r="EC436" s="36">
        <v>336</v>
      </c>
      <c r="ED436" s="29" t="s">
        <v>1137</v>
      </c>
      <c r="EE436" s="29" t="s">
        <v>1138</v>
      </c>
      <c r="EF436" s="37">
        <v>41640</v>
      </c>
      <c r="EG436" s="37">
        <v>42004</v>
      </c>
      <c r="EH436" s="29" t="s">
        <v>1137</v>
      </c>
      <c r="EI436" s="55">
        <f t="shared" si="187"/>
        <v>0.39634792187433798</v>
      </c>
      <c r="EJ436" s="54">
        <f t="shared" si="188"/>
        <v>7.6261492183197046E-4</v>
      </c>
      <c r="EK436" s="55">
        <f t="shared" si="189"/>
        <v>1.0726602550523239</v>
      </c>
      <c r="EL436" s="54">
        <f t="shared" si="190"/>
        <v>0.19400076261492183</v>
      </c>
    </row>
    <row r="437" spans="1:142" ht="28.8" x14ac:dyDescent="0.3">
      <c r="A437" s="29" t="s">
        <v>1140</v>
      </c>
      <c r="B437" s="29"/>
      <c r="C437" s="30">
        <v>1884</v>
      </c>
      <c r="D437" s="30">
        <v>0</v>
      </c>
      <c r="E437" s="30">
        <v>0</v>
      </c>
      <c r="F437" s="30">
        <v>5200</v>
      </c>
      <c r="H437" s="2">
        <f t="shared" si="166"/>
        <v>5200</v>
      </c>
      <c r="I437" s="1">
        <f t="shared" si="165"/>
        <v>2.7600849256900211</v>
      </c>
      <c r="J437" s="31">
        <v>91219</v>
      </c>
      <c r="K437" s="31">
        <v>12652</v>
      </c>
      <c r="L437" s="31">
        <v>103871</v>
      </c>
      <c r="M437" s="45">
        <f t="shared" si="167"/>
        <v>55.133227176220807</v>
      </c>
      <c r="N437" s="31">
        <v>13824</v>
      </c>
      <c r="O437" s="31">
        <v>5267</v>
      </c>
      <c r="P437" s="31">
        <v>0</v>
      </c>
      <c r="Q437" s="31">
        <v>19091</v>
      </c>
      <c r="R437" s="45">
        <f t="shared" si="168"/>
        <v>10.133227176220807</v>
      </c>
      <c r="S437" s="31">
        <v>44212</v>
      </c>
      <c r="T437" s="31">
        <v>167174</v>
      </c>
      <c r="U437" s="31">
        <v>0</v>
      </c>
      <c r="V437" s="31">
        <v>167174</v>
      </c>
      <c r="W437" s="45">
        <f t="shared" si="169"/>
        <v>88.733545647558387</v>
      </c>
      <c r="X437" s="4">
        <f t="shared" si="170"/>
        <v>0.62133465730316917</v>
      </c>
      <c r="Y437" s="4">
        <f t="shared" si="171"/>
        <v>0.1141983801308816</v>
      </c>
      <c r="Z437" s="4">
        <f t="shared" si="172"/>
        <v>0.26446696256594926</v>
      </c>
      <c r="AA437" s="4">
        <f t="shared" si="173"/>
        <v>0</v>
      </c>
      <c r="AB437" s="31">
        <v>0</v>
      </c>
      <c r="AC437" s="31">
        <v>13824</v>
      </c>
      <c r="AD437" s="31">
        <v>161907</v>
      </c>
      <c r="AE437" s="31">
        <v>132185</v>
      </c>
      <c r="AF437" s="31">
        <v>0</v>
      </c>
      <c r="AG437" s="31">
        <v>5250</v>
      </c>
      <c r="AH437" s="31">
        <v>126935</v>
      </c>
      <c r="AI437" s="31">
        <v>132185</v>
      </c>
      <c r="AJ437" s="45">
        <f t="shared" si="174"/>
        <v>70.161889596602975</v>
      </c>
      <c r="AK437" s="31">
        <v>0</v>
      </c>
      <c r="AL437" s="31">
        <v>0</v>
      </c>
      <c r="AM437" s="31">
        <v>0</v>
      </c>
      <c r="AN437" s="31">
        <v>0</v>
      </c>
      <c r="AO437" s="31">
        <v>43740</v>
      </c>
      <c r="AP437" s="31">
        <v>0</v>
      </c>
      <c r="AQ437" s="31">
        <v>43740</v>
      </c>
      <c r="AR437" s="31">
        <v>175925</v>
      </c>
      <c r="AS437" s="46">
        <f t="shared" si="175"/>
        <v>93.378450106157118</v>
      </c>
      <c r="AT437" s="31">
        <v>0</v>
      </c>
      <c r="AU437" s="31">
        <v>0</v>
      </c>
      <c r="AV437" s="31">
        <v>0</v>
      </c>
      <c r="AW437" s="31">
        <v>0</v>
      </c>
      <c r="AX437" s="31">
        <v>0</v>
      </c>
      <c r="AY437" s="31">
        <v>0</v>
      </c>
      <c r="AZ437" s="31">
        <v>0</v>
      </c>
      <c r="BA437" s="31">
        <v>0</v>
      </c>
      <c r="BB437" s="31">
        <v>0</v>
      </c>
      <c r="BC437" s="33" t="s">
        <v>25</v>
      </c>
      <c r="BD437" s="47">
        <v>23063</v>
      </c>
      <c r="BE437" s="47">
        <v>23203</v>
      </c>
      <c r="BF437" s="45">
        <f t="shared" si="176"/>
        <v>12.315817409766455</v>
      </c>
      <c r="BG437" s="30">
        <v>322</v>
      </c>
      <c r="BH437" s="30">
        <v>322</v>
      </c>
      <c r="BI437" s="30">
        <v>1067</v>
      </c>
      <c r="BJ437" s="30">
        <v>507</v>
      </c>
      <c r="BK437" s="30">
        <v>507</v>
      </c>
      <c r="BL437" s="30">
        <v>163</v>
      </c>
      <c r="BM437" s="30">
        <v>4531</v>
      </c>
      <c r="BN437" s="30">
        <v>1</v>
      </c>
      <c r="BO437" s="30">
        <v>51</v>
      </c>
      <c r="BP437" s="30">
        <v>0</v>
      </c>
      <c r="BQ437" s="30">
        <v>52</v>
      </c>
      <c r="BR437" s="47">
        <v>23892</v>
      </c>
      <c r="BS437" s="47">
        <v>29794</v>
      </c>
      <c r="BT437" s="1">
        <f t="shared" si="177"/>
        <v>15.814225053078557</v>
      </c>
      <c r="BU437" s="30">
        <v>47</v>
      </c>
      <c r="BV437" s="30">
        <v>2</v>
      </c>
      <c r="BW437" s="47">
        <v>44677</v>
      </c>
      <c r="BX437" s="52">
        <f t="shared" si="178"/>
        <v>23.713906581740975</v>
      </c>
      <c r="BY437" s="47">
        <v>20060</v>
      </c>
      <c r="BZ437" s="47">
        <v>7</v>
      </c>
      <c r="CA437" s="47">
        <v>10655</v>
      </c>
      <c r="CB437" s="47">
        <v>1603</v>
      </c>
      <c r="CC437" s="47">
        <v>32325</v>
      </c>
      <c r="CD437" s="55">
        <f t="shared" si="179"/>
        <v>17.157643312101911</v>
      </c>
      <c r="CE437" s="3">
        <f t="shared" si="180"/>
        <v>8478.6885245901631</v>
      </c>
      <c r="CF437" s="55">
        <f t="shared" si="181"/>
        <v>12.626953125</v>
      </c>
      <c r="CG437" s="55">
        <f t="shared" si="182"/>
        <v>0.51886035313001611</v>
      </c>
      <c r="CH437" s="55">
        <f t="shared" si="183"/>
        <v>1.0309122642142714</v>
      </c>
      <c r="CI437" s="30">
        <v>516</v>
      </c>
      <c r="CJ437" s="30">
        <v>55</v>
      </c>
      <c r="CK437" s="30">
        <v>243</v>
      </c>
      <c r="CL437" s="30">
        <v>814</v>
      </c>
      <c r="CM437" s="30">
        <v>8478</v>
      </c>
      <c r="CN437" s="30">
        <v>2423</v>
      </c>
      <c r="CO437" s="30">
        <v>752</v>
      </c>
      <c r="CP437" s="30">
        <v>11653</v>
      </c>
      <c r="CQ437" s="1">
        <f t="shared" si="191"/>
        <v>6.1852441613588107</v>
      </c>
      <c r="CR437" s="47">
        <v>62300</v>
      </c>
      <c r="CS437" s="55">
        <f t="shared" si="184"/>
        <v>33.067940552016985</v>
      </c>
      <c r="CT437" s="59">
        <v>1074</v>
      </c>
      <c r="CU437" s="29" t="s">
        <v>25</v>
      </c>
      <c r="CV437" s="29" t="s">
        <v>25</v>
      </c>
      <c r="CW437" s="29" t="s">
        <v>25</v>
      </c>
      <c r="CX437" s="35">
        <v>1</v>
      </c>
      <c r="CY437" s="49">
        <f>C437/CX437</f>
        <v>1884</v>
      </c>
      <c r="CZ437" s="35">
        <v>1.40625</v>
      </c>
      <c r="DA437" s="35">
        <v>1.40625</v>
      </c>
      <c r="DB437" s="35">
        <v>3.8125</v>
      </c>
      <c r="DC437" s="49">
        <f t="shared" si="185"/>
        <v>494.1639344262295</v>
      </c>
      <c r="DD437" s="30">
        <v>152</v>
      </c>
      <c r="DE437" s="31">
        <v>53520</v>
      </c>
      <c r="DF437" s="35">
        <v>40</v>
      </c>
      <c r="DG437" s="29" t="s">
        <v>25</v>
      </c>
      <c r="DH437" s="29" t="s">
        <v>26</v>
      </c>
      <c r="DI437" s="29" t="s">
        <v>26</v>
      </c>
      <c r="DJ437" s="47">
        <v>4</v>
      </c>
      <c r="DK437" s="47">
        <v>0</v>
      </c>
      <c r="DL437" s="47">
        <v>36</v>
      </c>
      <c r="DM437" s="47">
        <v>27726</v>
      </c>
      <c r="DN437" s="47">
        <v>1872</v>
      </c>
      <c r="DO437" s="47">
        <v>3744</v>
      </c>
      <c r="DP437" s="29" t="s">
        <v>2028</v>
      </c>
      <c r="DQ437" s="47">
        <v>0</v>
      </c>
      <c r="DR437" s="47">
        <v>2560</v>
      </c>
      <c r="DS437" s="30">
        <v>51</v>
      </c>
      <c r="DT437" s="30">
        <v>55</v>
      </c>
      <c r="DU437" s="30">
        <v>55</v>
      </c>
      <c r="DV437" s="30">
        <v>25</v>
      </c>
      <c r="DX437" s="2">
        <f t="shared" si="186"/>
        <v>2560</v>
      </c>
      <c r="DY437" s="33" t="s">
        <v>2187</v>
      </c>
      <c r="DZ437" s="33" t="s">
        <v>1143</v>
      </c>
      <c r="EA437" s="33" t="s">
        <v>2032</v>
      </c>
      <c r="EB437" s="33" t="s">
        <v>2027</v>
      </c>
      <c r="EC437" s="36">
        <v>337</v>
      </c>
      <c r="ED437" s="29" t="s">
        <v>1141</v>
      </c>
      <c r="EE437" s="29" t="s">
        <v>1142</v>
      </c>
      <c r="EF437" s="37">
        <v>41518</v>
      </c>
      <c r="EG437" s="37">
        <v>41882</v>
      </c>
      <c r="EH437" s="29" t="s">
        <v>1141</v>
      </c>
      <c r="EI437" s="55">
        <f t="shared" si="187"/>
        <v>10.647558386411889</v>
      </c>
      <c r="EJ437" s="54">
        <f t="shared" si="188"/>
        <v>3.7154989384288748E-3</v>
      </c>
      <c r="EK437" s="55">
        <f t="shared" si="189"/>
        <v>5.6555201698513802</v>
      </c>
      <c r="EL437" s="54">
        <f t="shared" si="190"/>
        <v>0.85084925690021229</v>
      </c>
    </row>
    <row r="438" spans="1:142" ht="28.8" x14ac:dyDescent="0.3">
      <c r="A438" s="29" t="s">
        <v>1144</v>
      </c>
      <c r="B438" s="29"/>
      <c r="C438" s="30">
        <v>68182</v>
      </c>
      <c r="D438" s="30">
        <v>0</v>
      </c>
      <c r="E438" s="30">
        <v>0</v>
      </c>
      <c r="F438" s="30">
        <v>52000</v>
      </c>
      <c r="H438" s="2">
        <f t="shared" si="166"/>
        <v>52000</v>
      </c>
      <c r="I438" s="1">
        <f t="shared" si="165"/>
        <v>0.7626646328943123</v>
      </c>
      <c r="J438" s="31">
        <v>628323</v>
      </c>
      <c r="K438" s="31">
        <v>242781</v>
      </c>
      <c r="L438" s="31">
        <v>871104</v>
      </c>
      <c r="M438" s="45">
        <f t="shared" si="167"/>
        <v>12.776157930245519</v>
      </c>
      <c r="N438" s="31">
        <v>97869</v>
      </c>
      <c r="O438" s="31">
        <v>23338</v>
      </c>
      <c r="P438" s="31">
        <v>9060</v>
      </c>
      <c r="Q438" s="31">
        <v>130267</v>
      </c>
      <c r="R438" s="45">
        <f t="shared" si="168"/>
        <v>1.9105775717931419</v>
      </c>
      <c r="S438" s="31">
        <v>85428</v>
      </c>
      <c r="T438" s="31">
        <v>1086799</v>
      </c>
      <c r="U438" s="31">
        <v>106386</v>
      </c>
      <c r="V438" s="31">
        <v>1193185</v>
      </c>
      <c r="W438" s="45">
        <f t="shared" si="169"/>
        <v>17.5</v>
      </c>
      <c r="X438" s="4">
        <f t="shared" si="170"/>
        <v>0.73006616744260111</v>
      </c>
      <c r="Y438" s="4">
        <f t="shared" si="171"/>
        <v>0.1091758612453224</v>
      </c>
      <c r="Z438" s="4">
        <f t="shared" si="172"/>
        <v>7.1596609075709125E-2</v>
      </c>
      <c r="AA438" s="4">
        <f t="shared" si="173"/>
        <v>8.9161362236367364E-2</v>
      </c>
      <c r="AB438" s="31">
        <v>0</v>
      </c>
      <c r="AC438" s="31">
        <v>130267</v>
      </c>
      <c r="AD438" s="31">
        <v>1193185</v>
      </c>
      <c r="AE438" s="31">
        <v>1193185</v>
      </c>
      <c r="AF438" s="31">
        <v>0</v>
      </c>
      <c r="AG438" s="31">
        <v>1084799</v>
      </c>
      <c r="AH438" s="31">
        <v>0</v>
      </c>
      <c r="AI438" s="31">
        <v>1084799</v>
      </c>
      <c r="AJ438" s="45">
        <f t="shared" si="174"/>
        <v>15.910342905752252</v>
      </c>
      <c r="AK438" s="31">
        <v>0</v>
      </c>
      <c r="AL438" s="31">
        <v>0</v>
      </c>
      <c r="AM438" s="31">
        <v>0</v>
      </c>
      <c r="AN438" s="31">
        <v>0</v>
      </c>
      <c r="AO438" s="31">
        <v>2000</v>
      </c>
      <c r="AP438" s="31">
        <v>15107</v>
      </c>
      <c r="AQ438" s="31">
        <v>17107</v>
      </c>
      <c r="AR438" s="31">
        <v>1101906</v>
      </c>
      <c r="AS438" s="46">
        <f t="shared" si="175"/>
        <v>16.161244903346926</v>
      </c>
      <c r="AT438" s="31">
        <v>0</v>
      </c>
      <c r="AU438" s="31">
        <v>0</v>
      </c>
      <c r="AV438" s="31">
        <v>0</v>
      </c>
      <c r="AW438" s="31">
        <v>0</v>
      </c>
      <c r="AX438" s="31">
        <v>0</v>
      </c>
      <c r="AY438" s="31">
        <v>0</v>
      </c>
      <c r="AZ438" s="31">
        <v>0</v>
      </c>
      <c r="BA438" s="31">
        <v>0</v>
      </c>
      <c r="BB438" s="31">
        <v>0</v>
      </c>
      <c r="BC438" s="33" t="s">
        <v>25</v>
      </c>
      <c r="BD438" s="47">
        <v>89903</v>
      </c>
      <c r="BE438" s="47">
        <v>92535</v>
      </c>
      <c r="BF438" s="45">
        <f t="shared" si="176"/>
        <v>1.3571763808629844</v>
      </c>
      <c r="BG438" s="30">
        <v>6208</v>
      </c>
      <c r="BH438" s="30">
        <v>6883</v>
      </c>
      <c r="BI438" s="30">
        <v>6148</v>
      </c>
      <c r="BJ438" s="30">
        <v>5037</v>
      </c>
      <c r="BK438" s="30">
        <v>5198</v>
      </c>
      <c r="BL438" s="30">
        <v>23</v>
      </c>
      <c r="BM438" s="30">
        <v>9134</v>
      </c>
      <c r="BN438" s="30">
        <v>15</v>
      </c>
      <c r="BO438" s="30">
        <v>51</v>
      </c>
      <c r="BP438" s="30">
        <v>0</v>
      </c>
      <c r="BQ438" s="30">
        <v>66</v>
      </c>
      <c r="BR438" s="47">
        <v>101148</v>
      </c>
      <c r="BS438" s="47">
        <v>119936</v>
      </c>
      <c r="BT438" s="1">
        <f t="shared" si="177"/>
        <v>1.75905664251562</v>
      </c>
      <c r="BU438" s="30">
        <v>112</v>
      </c>
      <c r="BV438" s="30">
        <v>7</v>
      </c>
      <c r="BW438" s="47">
        <v>40204</v>
      </c>
      <c r="BX438" s="52">
        <f t="shared" si="178"/>
        <v>0.5896570942477487</v>
      </c>
      <c r="BY438" s="47">
        <v>194330</v>
      </c>
      <c r="BZ438" s="47">
        <v>0</v>
      </c>
      <c r="CA438" s="47">
        <v>114006</v>
      </c>
      <c r="CB438" s="47">
        <v>9696</v>
      </c>
      <c r="CC438" s="47">
        <v>318032</v>
      </c>
      <c r="CD438" s="55">
        <f t="shared" si="179"/>
        <v>4.6644568947816136</v>
      </c>
      <c r="CE438" s="3">
        <f t="shared" si="180"/>
        <v>18902.347696879639</v>
      </c>
      <c r="CF438" s="55">
        <f t="shared" si="181"/>
        <v>129.17627944760358</v>
      </c>
      <c r="CG438" s="55">
        <f t="shared" si="182"/>
        <v>1.9152554621443885</v>
      </c>
      <c r="CH438" s="55">
        <f t="shared" si="183"/>
        <v>2.5708377801494131</v>
      </c>
      <c r="CI438" s="30">
        <v>421</v>
      </c>
      <c r="CJ438" s="30">
        <v>15</v>
      </c>
      <c r="CK438" s="30">
        <v>503</v>
      </c>
      <c r="CL438" s="30">
        <v>939</v>
      </c>
      <c r="CM438" s="30">
        <v>20036</v>
      </c>
      <c r="CN438" s="30">
        <v>359</v>
      </c>
      <c r="CO438" s="30">
        <v>4027</v>
      </c>
      <c r="CP438" s="30">
        <v>24422</v>
      </c>
      <c r="CQ438" s="1">
        <f t="shared" si="191"/>
        <v>0.35818837816432492</v>
      </c>
      <c r="CR438" s="47">
        <v>166052</v>
      </c>
      <c r="CS438" s="55">
        <f t="shared" si="184"/>
        <v>2.4354228388724297</v>
      </c>
      <c r="CT438" s="59">
        <v>44864</v>
      </c>
      <c r="CU438" s="29" t="s">
        <v>25</v>
      </c>
      <c r="CV438" s="29" t="s">
        <v>25</v>
      </c>
      <c r="CW438" s="29" t="s">
        <v>25</v>
      </c>
      <c r="CX438" s="35">
        <v>4.5250000000000004</v>
      </c>
      <c r="CY438" s="49">
        <f>C438/CX438</f>
        <v>15067.845303867402</v>
      </c>
      <c r="CZ438" s="35">
        <v>1</v>
      </c>
      <c r="DA438" s="35">
        <v>11.3</v>
      </c>
      <c r="DB438" s="35">
        <v>16.825000000000003</v>
      </c>
      <c r="DC438" s="49">
        <f t="shared" si="185"/>
        <v>4052.4219910846946</v>
      </c>
      <c r="DD438" s="30">
        <v>10506</v>
      </c>
      <c r="DE438" s="31">
        <v>66143</v>
      </c>
      <c r="DF438" s="35">
        <v>40</v>
      </c>
      <c r="DG438" s="29" t="s">
        <v>25</v>
      </c>
      <c r="DH438" s="29" t="s">
        <v>25</v>
      </c>
      <c r="DI438" s="29" t="s">
        <v>25</v>
      </c>
      <c r="DJ438" s="47">
        <v>65</v>
      </c>
      <c r="DK438" s="47">
        <v>0</v>
      </c>
      <c r="DL438" s="47">
        <v>53</v>
      </c>
      <c r="DM438" s="47">
        <v>42313</v>
      </c>
      <c r="DN438" s="47">
        <v>602</v>
      </c>
      <c r="DO438" s="47">
        <v>0</v>
      </c>
      <c r="DP438" s="29" t="s">
        <v>2028</v>
      </c>
      <c r="DQ438" s="47">
        <v>0</v>
      </c>
      <c r="DR438" s="47">
        <v>2462</v>
      </c>
      <c r="DS438" s="30">
        <v>52</v>
      </c>
      <c r="DT438" s="30">
        <v>49</v>
      </c>
      <c r="DU438" s="30">
        <v>49</v>
      </c>
      <c r="DV438" s="30">
        <v>49</v>
      </c>
      <c r="DX438" s="2">
        <f t="shared" si="186"/>
        <v>2462</v>
      </c>
      <c r="DY438" s="33" t="s">
        <v>2182</v>
      </c>
      <c r="DZ438" s="33" t="s">
        <v>1146</v>
      </c>
      <c r="EA438" s="33" t="s">
        <v>2031</v>
      </c>
      <c r="EB438" s="33" t="s">
        <v>2027</v>
      </c>
      <c r="EC438" s="36">
        <v>338</v>
      </c>
      <c r="ED438" s="29" t="s">
        <v>1145</v>
      </c>
      <c r="EE438" s="29" t="s">
        <v>1144</v>
      </c>
      <c r="EF438" s="37">
        <v>41548</v>
      </c>
      <c r="EG438" s="37">
        <v>41912</v>
      </c>
      <c r="EH438" s="29" t="s">
        <v>1145</v>
      </c>
      <c r="EI438" s="55">
        <f t="shared" si="187"/>
        <v>2.8501657328913788</v>
      </c>
      <c r="EJ438" s="54">
        <f t="shared" si="188"/>
        <v>0</v>
      </c>
      <c r="EK438" s="55">
        <f t="shared" si="189"/>
        <v>1.672083541110557</v>
      </c>
      <c r="EL438" s="54">
        <f t="shared" si="190"/>
        <v>0.14220762077967791</v>
      </c>
    </row>
    <row r="439" spans="1:142" ht="28.8" x14ac:dyDescent="0.3">
      <c r="A439" s="29" t="s">
        <v>1701</v>
      </c>
      <c r="B439" s="29"/>
      <c r="C439" s="30">
        <v>1399</v>
      </c>
      <c r="D439" s="30">
        <v>0</v>
      </c>
      <c r="E439" s="30">
        <v>0</v>
      </c>
      <c r="F439" s="30">
        <v>1500</v>
      </c>
      <c r="H439" s="2">
        <f t="shared" si="166"/>
        <v>1500</v>
      </c>
      <c r="I439" s="1">
        <f t="shared" si="165"/>
        <v>1.0721944245889921</v>
      </c>
      <c r="J439" s="31">
        <v>17681</v>
      </c>
      <c r="K439" s="31">
        <v>7600</v>
      </c>
      <c r="L439" s="31">
        <v>25281</v>
      </c>
      <c r="M439" s="45">
        <f t="shared" si="167"/>
        <v>18.070764832022874</v>
      </c>
      <c r="N439" s="31">
        <v>2222</v>
      </c>
      <c r="O439" s="31">
        <v>1260</v>
      </c>
      <c r="P439" s="31">
        <v>926</v>
      </c>
      <c r="Q439" s="31">
        <v>4408</v>
      </c>
      <c r="R439" s="45">
        <f t="shared" si="168"/>
        <v>3.150822015725518</v>
      </c>
      <c r="S439" s="31">
        <v>11925</v>
      </c>
      <c r="T439" s="31">
        <v>41614</v>
      </c>
      <c r="U439" s="31">
        <v>0</v>
      </c>
      <c r="V439" s="31">
        <v>41614</v>
      </c>
      <c r="W439" s="45">
        <f t="shared" si="169"/>
        <v>29.745532523230878</v>
      </c>
      <c r="X439" s="4">
        <f t="shared" si="170"/>
        <v>0.60751189503532466</v>
      </c>
      <c r="Y439" s="4">
        <f t="shared" si="171"/>
        <v>0.10592589032537127</v>
      </c>
      <c r="Z439" s="4">
        <f t="shared" si="172"/>
        <v>0.28656221463930409</v>
      </c>
      <c r="AA439" s="4">
        <f t="shared" si="173"/>
        <v>0</v>
      </c>
      <c r="AB439" s="31">
        <v>0</v>
      </c>
      <c r="AC439" s="31">
        <v>4408</v>
      </c>
      <c r="AD439" s="31">
        <v>40054</v>
      </c>
      <c r="AE439" s="31">
        <v>34881</v>
      </c>
      <c r="AF439" s="31">
        <v>34881</v>
      </c>
      <c r="AG439" s="31">
        <v>0</v>
      </c>
      <c r="AH439" s="31">
        <v>0</v>
      </c>
      <c r="AI439" s="31">
        <v>34881</v>
      </c>
      <c r="AJ439" s="45">
        <f t="shared" si="174"/>
        <v>24.932809149392423</v>
      </c>
      <c r="AK439" s="31">
        <v>0</v>
      </c>
      <c r="AL439" s="31">
        <v>0</v>
      </c>
      <c r="AM439" s="31">
        <v>0</v>
      </c>
      <c r="AN439" s="31">
        <v>0</v>
      </c>
      <c r="AO439" s="31">
        <v>5000</v>
      </c>
      <c r="AP439" s="31">
        <v>4185</v>
      </c>
      <c r="AQ439" s="31">
        <v>9185</v>
      </c>
      <c r="AR439" s="31">
        <v>44066</v>
      </c>
      <c r="AS439" s="46">
        <f t="shared" si="175"/>
        <v>31.498213009292353</v>
      </c>
      <c r="AT439" s="31">
        <v>0</v>
      </c>
      <c r="AU439" s="31">
        <v>0</v>
      </c>
      <c r="AV439" s="31">
        <v>0</v>
      </c>
      <c r="AW439" s="31">
        <v>0</v>
      </c>
      <c r="AX439" s="31">
        <v>0</v>
      </c>
      <c r="AY439" s="31">
        <v>0</v>
      </c>
      <c r="AZ439" s="31">
        <v>0</v>
      </c>
      <c r="BA439" s="31">
        <v>0</v>
      </c>
      <c r="BB439" s="31">
        <v>0</v>
      </c>
      <c r="BC439" s="33" t="s">
        <v>25</v>
      </c>
      <c r="BD439" s="47">
        <v>9706</v>
      </c>
      <c r="BE439" s="47">
        <v>10308</v>
      </c>
      <c r="BF439" s="45">
        <f t="shared" si="176"/>
        <v>7.368120085775554</v>
      </c>
      <c r="BG439" s="30">
        <v>613</v>
      </c>
      <c r="BH439" s="30">
        <v>617</v>
      </c>
      <c r="BI439" s="30">
        <v>0</v>
      </c>
      <c r="BJ439" s="30">
        <v>1467</v>
      </c>
      <c r="BK439" s="30">
        <v>1488</v>
      </c>
      <c r="BL439" s="30">
        <v>0</v>
      </c>
      <c r="BM439" s="30">
        <v>0</v>
      </c>
      <c r="BN439" s="30">
        <v>0</v>
      </c>
      <c r="BO439" s="30">
        <v>51</v>
      </c>
      <c r="BP439" s="30">
        <v>0</v>
      </c>
      <c r="BQ439" s="30">
        <v>51</v>
      </c>
      <c r="BR439" s="47">
        <v>11786</v>
      </c>
      <c r="BS439" s="47">
        <v>12413</v>
      </c>
      <c r="BT439" s="1">
        <f t="shared" si="177"/>
        <v>8.872766261615439</v>
      </c>
      <c r="BU439" s="30">
        <v>3</v>
      </c>
      <c r="BV439" s="30">
        <v>0</v>
      </c>
      <c r="BW439" s="47">
        <v>2800</v>
      </c>
      <c r="BX439" s="52">
        <f t="shared" si="178"/>
        <v>2.0014295925661187</v>
      </c>
      <c r="BY439" s="47">
        <v>1334</v>
      </c>
      <c r="BZ439" s="47">
        <v>0</v>
      </c>
      <c r="CA439" s="47">
        <v>3423</v>
      </c>
      <c r="CB439" s="47">
        <v>0</v>
      </c>
      <c r="CC439" s="47">
        <v>4757</v>
      </c>
      <c r="CD439" s="55">
        <f t="shared" si="179"/>
        <v>3.4002859185132239</v>
      </c>
      <c r="CE439" s="3">
        <f t="shared" si="180"/>
        <v>6342.666666666667</v>
      </c>
      <c r="CF439" s="55">
        <f t="shared" si="181"/>
        <v>3.3809523809523809</v>
      </c>
      <c r="CG439" s="55">
        <f t="shared" si="182"/>
        <v>0.38056000000000001</v>
      </c>
      <c r="CH439" s="55">
        <f t="shared" si="183"/>
        <v>0.38322726174172239</v>
      </c>
      <c r="CI439" s="30">
        <v>75</v>
      </c>
      <c r="CJ439" s="30">
        <v>7</v>
      </c>
      <c r="CK439" s="30">
        <v>100</v>
      </c>
      <c r="CL439" s="30">
        <v>182</v>
      </c>
      <c r="CM439" s="30">
        <v>728</v>
      </c>
      <c r="CN439" s="30">
        <v>200</v>
      </c>
      <c r="CO439" s="30">
        <v>403</v>
      </c>
      <c r="CP439" s="30">
        <v>1331</v>
      </c>
      <c r="CQ439" s="1">
        <f t="shared" si="191"/>
        <v>0.95139385275196564</v>
      </c>
      <c r="CR439" s="47">
        <v>12500</v>
      </c>
      <c r="CS439" s="55">
        <f t="shared" si="184"/>
        <v>8.9349535382416008</v>
      </c>
      <c r="CT439" s="59">
        <v>1133</v>
      </c>
      <c r="CU439" s="29" t="s">
        <v>25</v>
      </c>
      <c r="CV439" s="29" t="s">
        <v>25</v>
      </c>
      <c r="CW439" s="29" t="s">
        <v>25</v>
      </c>
      <c r="CX439" s="35">
        <v>0</v>
      </c>
      <c r="CY439" s="49">
        <v>0</v>
      </c>
      <c r="CZ439" s="35">
        <v>0.75</v>
      </c>
      <c r="DA439" s="35">
        <v>0</v>
      </c>
      <c r="DB439" s="35">
        <v>0.75</v>
      </c>
      <c r="DC439" s="49">
        <f t="shared" si="185"/>
        <v>1865.3333333333333</v>
      </c>
      <c r="DD439" s="30">
        <v>400</v>
      </c>
      <c r="DE439" s="31">
        <v>17056</v>
      </c>
      <c r="DF439" s="35">
        <v>30</v>
      </c>
      <c r="DG439" s="29" t="s">
        <v>25</v>
      </c>
      <c r="DH439" s="29" t="s">
        <v>26</v>
      </c>
      <c r="DI439" s="29" t="s">
        <v>26</v>
      </c>
      <c r="DJ439" s="47">
        <v>0</v>
      </c>
      <c r="DK439" s="47">
        <v>0</v>
      </c>
      <c r="DL439" s="47">
        <v>11</v>
      </c>
      <c r="DM439" s="47">
        <v>3220</v>
      </c>
      <c r="DN439" s="47">
        <v>60</v>
      </c>
      <c r="DO439" s="47">
        <v>3211</v>
      </c>
      <c r="DP439" s="29" t="s">
        <v>2028</v>
      </c>
      <c r="DQ439" s="47">
        <v>0</v>
      </c>
      <c r="DR439" s="47">
        <v>1407</v>
      </c>
      <c r="DS439" s="30">
        <v>51</v>
      </c>
      <c r="DT439" s="30">
        <v>28</v>
      </c>
      <c r="DU439" s="30">
        <v>28</v>
      </c>
      <c r="DV439" s="30">
        <v>28</v>
      </c>
      <c r="DX439" s="2">
        <f t="shared" si="186"/>
        <v>1407</v>
      </c>
      <c r="DY439" s="33" t="s">
        <v>2186</v>
      </c>
      <c r="DZ439" s="33" t="s">
        <v>1703</v>
      </c>
      <c r="EA439" s="33" t="s">
        <v>2030</v>
      </c>
      <c r="EB439" s="33" t="s">
        <v>2027</v>
      </c>
      <c r="EC439" s="36">
        <v>581</v>
      </c>
      <c r="ED439" s="29" t="s">
        <v>1702</v>
      </c>
      <c r="EE439" s="29" t="s">
        <v>870</v>
      </c>
      <c r="EF439" s="37">
        <v>41548</v>
      </c>
      <c r="EG439" s="37">
        <v>41912</v>
      </c>
      <c r="EH439" s="29" t="s">
        <v>1702</v>
      </c>
      <c r="EI439" s="55">
        <f t="shared" si="187"/>
        <v>0.95353824160114364</v>
      </c>
      <c r="EJ439" s="54">
        <f t="shared" si="188"/>
        <v>0</v>
      </c>
      <c r="EK439" s="55">
        <f t="shared" si="189"/>
        <v>2.4467476769120799</v>
      </c>
      <c r="EL439" s="54">
        <f t="shared" si="190"/>
        <v>0</v>
      </c>
    </row>
    <row r="440" spans="1:142" ht="28.8" x14ac:dyDescent="0.3">
      <c r="A440" s="29" t="s">
        <v>1147</v>
      </c>
      <c r="B440" s="29"/>
      <c r="C440" s="30">
        <v>3856</v>
      </c>
      <c r="D440" s="30">
        <v>0</v>
      </c>
      <c r="E440" s="30">
        <v>0</v>
      </c>
      <c r="F440" s="30">
        <v>3180</v>
      </c>
      <c r="H440" s="2">
        <f t="shared" si="166"/>
        <v>3180</v>
      </c>
      <c r="I440" s="1">
        <f t="shared" si="165"/>
        <v>0.82468879668049788</v>
      </c>
      <c r="J440" s="31">
        <v>9864</v>
      </c>
      <c r="K440" s="31">
        <v>755</v>
      </c>
      <c r="L440" s="31">
        <v>10619</v>
      </c>
      <c r="M440" s="45">
        <f t="shared" si="167"/>
        <v>2.7538900414937761</v>
      </c>
      <c r="N440" s="31">
        <v>350</v>
      </c>
      <c r="O440" s="31">
        <v>0</v>
      </c>
      <c r="P440" s="31">
        <v>0</v>
      </c>
      <c r="Q440" s="31">
        <v>350</v>
      </c>
      <c r="R440" s="45">
        <f t="shared" si="168"/>
        <v>9.0767634854771781E-2</v>
      </c>
      <c r="S440" s="31">
        <v>6817</v>
      </c>
      <c r="T440" s="31">
        <v>17786</v>
      </c>
      <c r="U440" s="31">
        <v>1935</v>
      </c>
      <c r="V440" s="31">
        <v>19721</v>
      </c>
      <c r="W440" s="45">
        <f t="shared" si="169"/>
        <v>5.1143672199170123</v>
      </c>
      <c r="X440" s="4">
        <f t="shared" si="170"/>
        <v>0.53846153846153844</v>
      </c>
      <c r="Y440" s="4">
        <f t="shared" si="171"/>
        <v>1.7747578723188478E-2</v>
      </c>
      <c r="Z440" s="4">
        <f t="shared" si="172"/>
        <v>0.34567212615993104</v>
      </c>
      <c r="AA440" s="4">
        <f t="shared" si="173"/>
        <v>9.8118756655342018E-2</v>
      </c>
      <c r="AB440" s="31">
        <v>0</v>
      </c>
      <c r="AC440" s="31">
        <v>350</v>
      </c>
      <c r="AD440" s="31">
        <v>19721</v>
      </c>
      <c r="AE440" s="31">
        <v>17177</v>
      </c>
      <c r="AF440" s="31">
        <v>10619</v>
      </c>
      <c r="AG440" s="31">
        <v>4454</v>
      </c>
      <c r="AH440" s="31">
        <v>0</v>
      </c>
      <c r="AI440" s="31">
        <v>15073</v>
      </c>
      <c r="AJ440" s="45">
        <f t="shared" si="174"/>
        <v>3.9089730290456433</v>
      </c>
      <c r="AK440" s="31">
        <v>0</v>
      </c>
      <c r="AL440" s="31">
        <v>0</v>
      </c>
      <c r="AM440" s="31">
        <v>0</v>
      </c>
      <c r="AN440" s="31">
        <v>0</v>
      </c>
      <c r="AO440" s="31">
        <v>0</v>
      </c>
      <c r="AP440" s="31">
        <v>2544</v>
      </c>
      <c r="AQ440" s="31">
        <v>2544</v>
      </c>
      <c r="AR440" s="31">
        <v>17617</v>
      </c>
      <c r="AS440" s="46">
        <f t="shared" si="175"/>
        <v>4.5687240663900415</v>
      </c>
      <c r="AT440" s="31">
        <v>0</v>
      </c>
      <c r="AU440" s="31">
        <v>0</v>
      </c>
      <c r="AV440" s="31">
        <v>0</v>
      </c>
      <c r="AW440" s="31">
        <v>0</v>
      </c>
      <c r="AX440" s="31">
        <v>0</v>
      </c>
      <c r="AY440" s="31">
        <v>0</v>
      </c>
      <c r="AZ440" s="31">
        <v>0</v>
      </c>
      <c r="BA440" s="31">
        <v>0</v>
      </c>
      <c r="BB440" s="31">
        <v>0</v>
      </c>
      <c r="BC440" s="33" t="s">
        <v>25</v>
      </c>
      <c r="BD440" s="47">
        <v>13510</v>
      </c>
      <c r="BE440" s="47">
        <v>13935</v>
      </c>
      <c r="BF440" s="45">
        <f t="shared" si="176"/>
        <v>3.6138485477178421</v>
      </c>
      <c r="BG440" s="30">
        <v>414</v>
      </c>
      <c r="BH440" s="30">
        <v>418</v>
      </c>
      <c r="BI440" s="30">
        <v>0</v>
      </c>
      <c r="BJ440" s="30">
        <v>1569</v>
      </c>
      <c r="BK440" s="30">
        <v>1612</v>
      </c>
      <c r="BL440" s="30">
        <v>0</v>
      </c>
      <c r="BM440" s="30">
        <v>0</v>
      </c>
      <c r="BN440" s="30">
        <v>0</v>
      </c>
      <c r="BO440" s="30">
        <v>51</v>
      </c>
      <c r="BP440" s="30">
        <v>0</v>
      </c>
      <c r="BQ440" s="30">
        <v>51</v>
      </c>
      <c r="BR440" s="47">
        <v>15493</v>
      </c>
      <c r="BS440" s="47">
        <v>15965</v>
      </c>
      <c r="BT440" s="1">
        <f t="shared" si="177"/>
        <v>4.1403008298755184</v>
      </c>
      <c r="BU440" s="30">
        <v>6</v>
      </c>
      <c r="BV440" s="30">
        <v>0</v>
      </c>
      <c r="BW440" s="47">
        <v>97</v>
      </c>
      <c r="BX440" s="52">
        <f t="shared" si="178"/>
        <v>2.5155601659751038E-2</v>
      </c>
      <c r="BY440" s="47">
        <v>130</v>
      </c>
      <c r="BZ440" s="47">
        <v>0</v>
      </c>
      <c r="CA440" s="47">
        <v>1316</v>
      </c>
      <c r="CB440" s="47">
        <v>0</v>
      </c>
      <c r="CC440" s="47">
        <v>1446</v>
      </c>
      <c r="CD440" s="55">
        <f t="shared" si="179"/>
        <v>0.375</v>
      </c>
      <c r="CE440" s="3">
        <f t="shared" si="180"/>
        <v>2892</v>
      </c>
      <c r="CF440" s="55">
        <f t="shared" si="181"/>
        <v>1.5872667398463227</v>
      </c>
      <c r="CG440" s="55">
        <f t="shared" si="182"/>
        <v>0.62193548387096775</v>
      </c>
      <c r="CH440" s="55">
        <f t="shared" si="183"/>
        <v>9.0573128719072971E-2</v>
      </c>
      <c r="CI440" s="30">
        <v>0</v>
      </c>
      <c r="CJ440" s="30">
        <v>0</v>
      </c>
      <c r="CK440" s="30">
        <v>0</v>
      </c>
      <c r="CL440" s="30">
        <v>0</v>
      </c>
      <c r="CM440" s="30">
        <v>0</v>
      </c>
      <c r="CN440" s="30">
        <v>0</v>
      </c>
      <c r="CO440" s="30">
        <v>0</v>
      </c>
      <c r="CP440" s="30">
        <v>0</v>
      </c>
      <c r="CQ440" s="1">
        <f t="shared" si="191"/>
        <v>0</v>
      </c>
      <c r="CR440" s="47">
        <v>2325</v>
      </c>
      <c r="CS440" s="55">
        <f t="shared" si="184"/>
        <v>0.60295643153526968</v>
      </c>
      <c r="CT440" s="59">
        <v>778</v>
      </c>
      <c r="CU440" s="29" t="s">
        <v>25</v>
      </c>
      <c r="CV440" s="29" t="s">
        <v>25</v>
      </c>
      <c r="CW440" s="29" t="s">
        <v>25</v>
      </c>
      <c r="CX440" s="35">
        <v>0</v>
      </c>
      <c r="CY440" s="49">
        <v>0</v>
      </c>
      <c r="CZ440" s="35">
        <v>0.5</v>
      </c>
      <c r="DA440" s="35">
        <v>0</v>
      </c>
      <c r="DB440" s="35">
        <v>0.5</v>
      </c>
      <c r="DC440" s="49">
        <f t="shared" si="185"/>
        <v>7712</v>
      </c>
      <c r="DD440" s="30">
        <v>844</v>
      </c>
      <c r="DE440" s="31">
        <v>10619</v>
      </c>
      <c r="DF440" s="35">
        <v>20</v>
      </c>
      <c r="DG440" s="29" t="s">
        <v>25</v>
      </c>
      <c r="DH440" s="29" t="s">
        <v>25</v>
      </c>
      <c r="DI440" s="29" t="s">
        <v>25</v>
      </c>
      <c r="DJ440" s="47">
        <v>0</v>
      </c>
      <c r="DK440" s="47">
        <v>0</v>
      </c>
      <c r="DL440" s="47">
        <v>8</v>
      </c>
      <c r="DM440" s="47">
        <v>673</v>
      </c>
      <c r="DN440" s="47">
        <v>0</v>
      </c>
      <c r="DO440" s="47">
        <v>0</v>
      </c>
      <c r="DP440" s="29" t="s">
        <v>2028</v>
      </c>
      <c r="DQ440" s="47">
        <v>0</v>
      </c>
      <c r="DR440" s="47">
        <v>911</v>
      </c>
      <c r="DS440" s="30">
        <v>47</v>
      </c>
      <c r="DT440" s="30">
        <v>20</v>
      </c>
      <c r="DU440" s="30">
        <v>20</v>
      </c>
      <c r="DV440" s="30">
        <v>20</v>
      </c>
      <c r="DX440" s="2">
        <f t="shared" si="186"/>
        <v>911</v>
      </c>
      <c r="DY440" s="33" t="s">
        <v>2179</v>
      </c>
      <c r="DZ440" s="33" t="s">
        <v>1149</v>
      </c>
      <c r="EA440" s="33" t="s">
        <v>2030</v>
      </c>
      <c r="EB440" s="33" t="s">
        <v>2027</v>
      </c>
      <c r="EC440" s="36">
        <v>339</v>
      </c>
      <c r="ED440" s="29" t="s">
        <v>1148</v>
      </c>
      <c r="EE440" s="29" t="s">
        <v>530</v>
      </c>
      <c r="EF440" s="37">
        <v>41640</v>
      </c>
      <c r="EG440" s="37">
        <v>42004</v>
      </c>
      <c r="EH440" s="29" t="s">
        <v>1148</v>
      </c>
      <c r="EI440" s="55">
        <f t="shared" si="187"/>
        <v>3.3713692946058089E-2</v>
      </c>
      <c r="EJ440" s="54">
        <f t="shared" si="188"/>
        <v>0</v>
      </c>
      <c r="EK440" s="55">
        <f t="shared" si="189"/>
        <v>0.34128630705394192</v>
      </c>
      <c r="EL440" s="54">
        <f t="shared" si="190"/>
        <v>0</v>
      </c>
    </row>
    <row r="441" spans="1:142" ht="43.2" x14ac:dyDescent="0.3">
      <c r="A441" s="29" t="s">
        <v>1151</v>
      </c>
      <c r="B441" s="29"/>
      <c r="C441" s="30">
        <v>109821</v>
      </c>
      <c r="D441" s="30">
        <v>0</v>
      </c>
      <c r="E441" s="30">
        <v>0</v>
      </c>
      <c r="F441" s="30">
        <v>43000</v>
      </c>
      <c r="H441" s="2">
        <f t="shared" si="166"/>
        <v>43000</v>
      </c>
      <c r="I441" s="1">
        <f t="shared" ref="I441:I503" si="192">H441/C441</f>
        <v>0.39154624343249472</v>
      </c>
      <c r="J441" s="31">
        <v>1235549</v>
      </c>
      <c r="K441" s="31">
        <v>521764</v>
      </c>
      <c r="L441" s="31">
        <v>1757313</v>
      </c>
      <c r="M441" s="45">
        <f t="shared" si="167"/>
        <v>16.001611713606689</v>
      </c>
      <c r="N441" s="31">
        <v>170974</v>
      </c>
      <c r="O441" s="31">
        <v>109808</v>
      </c>
      <c r="P441" s="31">
        <v>104435</v>
      </c>
      <c r="Q441" s="31">
        <v>385217</v>
      </c>
      <c r="R441" s="45">
        <f t="shared" si="168"/>
        <v>3.5076806803798908</v>
      </c>
      <c r="S441" s="31">
        <v>233609</v>
      </c>
      <c r="T441" s="31">
        <v>2376139</v>
      </c>
      <c r="U441" s="31">
        <v>0</v>
      </c>
      <c r="V441" s="31">
        <v>2376139</v>
      </c>
      <c r="W441" s="45">
        <f t="shared" si="169"/>
        <v>21.636472077289408</v>
      </c>
      <c r="X441" s="4">
        <f t="shared" si="170"/>
        <v>0.73956658259470509</v>
      </c>
      <c r="Y441" s="4">
        <f t="shared" si="171"/>
        <v>0.1621188827757972</v>
      </c>
      <c r="Z441" s="4">
        <f t="shared" si="172"/>
        <v>9.8314534629497685E-2</v>
      </c>
      <c r="AA441" s="4">
        <f t="shared" si="173"/>
        <v>0</v>
      </c>
      <c r="AB441" s="31">
        <v>0</v>
      </c>
      <c r="AC441" s="31">
        <v>385217</v>
      </c>
      <c r="AD441" s="31">
        <v>2376139</v>
      </c>
      <c r="AE441" s="31">
        <v>2376139</v>
      </c>
      <c r="AF441" s="31">
        <v>2376139</v>
      </c>
      <c r="AG441" s="31">
        <v>0</v>
      </c>
      <c r="AH441" s="31">
        <v>0</v>
      </c>
      <c r="AI441" s="31">
        <v>2376139</v>
      </c>
      <c r="AJ441" s="45">
        <f t="shared" si="174"/>
        <v>21.636472077289408</v>
      </c>
      <c r="AK441" s="31">
        <v>0</v>
      </c>
      <c r="AL441" s="31">
        <v>0</v>
      </c>
      <c r="AM441" s="31">
        <v>0</v>
      </c>
      <c r="AN441" s="31">
        <v>0</v>
      </c>
      <c r="AO441" s="31">
        <v>0</v>
      </c>
      <c r="AP441" s="31">
        <v>0</v>
      </c>
      <c r="AQ441" s="31">
        <v>0</v>
      </c>
      <c r="AR441" s="31">
        <v>2376139</v>
      </c>
      <c r="AS441" s="46">
        <f t="shared" si="175"/>
        <v>21.636472077289408</v>
      </c>
      <c r="AT441" s="31">
        <v>0</v>
      </c>
      <c r="AU441" s="31">
        <v>0</v>
      </c>
      <c r="AV441" s="31">
        <v>0</v>
      </c>
      <c r="AW441" s="31">
        <v>0</v>
      </c>
      <c r="AX441" s="31">
        <v>0</v>
      </c>
      <c r="AY441" s="31">
        <v>0</v>
      </c>
      <c r="AZ441" s="31">
        <v>0</v>
      </c>
      <c r="BA441" s="31">
        <v>0</v>
      </c>
      <c r="BB441" s="31">
        <v>0</v>
      </c>
      <c r="BC441" s="33" t="s">
        <v>25</v>
      </c>
      <c r="BD441" s="47">
        <v>150670</v>
      </c>
      <c r="BE441" s="47">
        <v>172791</v>
      </c>
      <c r="BF441" s="45">
        <f t="shared" si="176"/>
        <v>1.5733876034638183</v>
      </c>
      <c r="BG441" s="30">
        <v>16969</v>
      </c>
      <c r="BH441" s="30">
        <v>17589</v>
      </c>
      <c r="BI441" s="30">
        <v>1606</v>
      </c>
      <c r="BJ441" s="30">
        <v>12840</v>
      </c>
      <c r="BK441" s="30">
        <v>18513</v>
      </c>
      <c r="BL441" s="30">
        <v>78</v>
      </c>
      <c r="BM441" s="30">
        <v>8024</v>
      </c>
      <c r="BN441" s="30">
        <v>18</v>
      </c>
      <c r="BO441" s="30">
        <v>51</v>
      </c>
      <c r="BP441" s="30">
        <v>0</v>
      </c>
      <c r="BQ441" s="30">
        <v>69</v>
      </c>
      <c r="BR441" s="47">
        <v>180479</v>
      </c>
      <c r="BS441" s="47">
        <v>218619</v>
      </c>
      <c r="BT441" s="1">
        <f t="shared" si="177"/>
        <v>1.9906848416969432</v>
      </c>
      <c r="BU441" s="30">
        <v>293</v>
      </c>
      <c r="BV441" s="30">
        <v>0</v>
      </c>
      <c r="BW441" s="47">
        <v>60424</v>
      </c>
      <c r="BX441" s="52">
        <f t="shared" si="178"/>
        <v>0.55020442356197807</v>
      </c>
      <c r="BY441" s="47">
        <v>440005</v>
      </c>
      <c r="BZ441" s="47">
        <v>0</v>
      </c>
      <c r="CA441" s="47">
        <v>490525</v>
      </c>
      <c r="CB441" s="47">
        <v>44761</v>
      </c>
      <c r="CC441" s="47">
        <v>975291</v>
      </c>
      <c r="CD441" s="55">
        <f t="shared" si="179"/>
        <v>8.8807331931051436</v>
      </c>
      <c r="CE441" s="3">
        <f t="shared" si="180"/>
        <v>31976.754098360656</v>
      </c>
      <c r="CF441" s="55">
        <f t="shared" si="181"/>
        <v>273.4205214465938</v>
      </c>
      <c r="CG441" s="55">
        <f t="shared" si="182"/>
        <v>2.6369621526332012</v>
      </c>
      <c r="CH441" s="55">
        <f t="shared" si="183"/>
        <v>4.2564004043564374</v>
      </c>
      <c r="CI441" s="30">
        <v>677</v>
      </c>
      <c r="CJ441" s="30">
        <v>54</v>
      </c>
      <c r="CK441" s="30">
        <v>63</v>
      </c>
      <c r="CL441" s="30">
        <v>794</v>
      </c>
      <c r="CM441" s="30">
        <v>33315</v>
      </c>
      <c r="CN441" s="30">
        <v>1661</v>
      </c>
      <c r="CO441" s="30">
        <v>1193</v>
      </c>
      <c r="CP441" s="30">
        <v>36169</v>
      </c>
      <c r="CQ441" s="1">
        <f t="shared" si="191"/>
        <v>0.32934502508627678</v>
      </c>
      <c r="CR441" s="47">
        <v>369854</v>
      </c>
      <c r="CS441" s="55">
        <f t="shared" si="184"/>
        <v>3.3677894027553927</v>
      </c>
      <c r="CT441" s="59">
        <v>74192</v>
      </c>
      <c r="CU441" s="29" t="s">
        <v>25</v>
      </c>
      <c r="CV441" s="29" t="s">
        <v>25</v>
      </c>
      <c r="CW441" s="29" t="s">
        <v>25</v>
      </c>
      <c r="CX441" s="35">
        <v>12.75</v>
      </c>
      <c r="CY441" s="49">
        <f>C441/CX441</f>
        <v>8613.4117647058829</v>
      </c>
      <c r="CZ441" s="35">
        <v>0</v>
      </c>
      <c r="DA441" s="35">
        <v>17.75</v>
      </c>
      <c r="DB441" s="35">
        <v>30.5</v>
      </c>
      <c r="DC441" s="49">
        <f t="shared" si="185"/>
        <v>3600.688524590164</v>
      </c>
      <c r="DD441" s="30">
        <v>7774</v>
      </c>
      <c r="DE441" s="31">
        <v>102046</v>
      </c>
      <c r="DF441" s="35">
        <v>40</v>
      </c>
      <c r="DG441" s="29" t="s">
        <v>25</v>
      </c>
      <c r="DH441" s="29" t="s">
        <v>25</v>
      </c>
      <c r="DI441" s="29" t="s">
        <v>25</v>
      </c>
      <c r="DJ441" s="47">
        <v>751</v>
      </c>
      <c r="DK441" s="47">
        <v>3606</v>
      </c>
      <c r="DL441" s="47">
        <v>56</v>
      </c>
      <c r="DM441" s="47">
        <v>73706</v>
      </c>
      <c r="DN441" s="47">
        <v>14742</v>
      </c>
      <c r="DO441" s="47">
        <v>2222</v>
      </c>
      <c r="DP441" s="29" t="s">
        <v>25</v>
      </c>
      <c r="DQ441" s="47">
        <v>-1</v>
      </c>
      <c r="DR441" s="47">
        <v>3567</v>
      </c>
      <c r="DS441" s="30">
        <v>52</v>
      </c>
      <c r="DT441" s="30">
        <v>71</v>
      </c>
      <c r="DU441" s="30">
        <v>71</v>
      </c>
      <c r="DV441" s="30">
        <v>71</v>
      </c>
      <c r="DX441" s="2">
        <f t="shared" si="186"/>
        <v>3567</v>
      </c>
      <c r="DY441" s="33" t="s">
        <v>2186</v>
      </c>
      <c r="DZ441" s="33" t="s">
        <v>1152</v>
      </c>
      <c r="EA441" s="33" t="s">
        <v>2030</v>
      </c>
      <c r="EB441" s="33" t="s">
        <v>2027</v>
      </c>
      <c r="EC441" s="36">
        <v>340</v>
      </c>
      <c r="ED441" s="29" t="s">
        <v>1150</v>
      </c>
      <c r="EE441" s="29" t="s">
        <v>280</v>
      </c>
      <c r="EF441" s="37">
        <v>41548</v>
      </c>
      <c r="EG441" s="37">
        <v>41912</v>
      </c>
      <c r="EH441" s="29" t="s">
        <v>1150</v>
      </c>
      <c r="EI441" s="55">
        <f t="shared" si="187"/>
        <v>4.0065652288724376</v>
      </c>
      <c r="EJ441" s="54">
        <f t="shared" si="188"/>
        <v>0</v>
      </c>
      <c r="EK441" s="55">
        <f t="shared" si="189"/>
        <v>4.4665865362726622</v>
      </c>
      <c r="EL441" s="54">
        <f t="shared" si="190"/>
        <v>0.4075814279600441</v>
      </c>
    </row>
    <row r="442" spans="1:142" ht="28.8" x14ac:dyDescent="0.3">
      <c r="A442" s="29" t="s">
        <v>1746</v>
      </c>
      <c r="B442" s="29"/>
      <c r="C442" s="30">
        <v>93</v>
      </c>
      <c r="D442" s="30">
        <v>0</v>
      </c>
      <c r="E442" s="30">
        <v>0</v>
      </c>
      <c r="F442" s="30">
        <v>4350</v>
      </c>
      <c r="H442" s="2">
        <f t="shared" ref="H442:H503" si="193">G442+F442</f>
        <v>4350</v>
      </c>
      <c r="I442" s="1">
        <f t="shared" si="192"/>
        <v>46.774193548387096</v>
      </c>
      <c r="J442" s="31">
        <v>31753</v>
      </c>
      <c r="K442" s="31">
        <v>252</v>
      </c>
      <c r="L442" s="31">
        <v>32005</v>
      </c>
      <c r="M442" s="45">
        <f t="shared" si="167"/>
        <v>344.13978494623655</v>
      </c>
      <c r="N442" s="31">
        <v>645</v>
      </c>
      <c r="O442" s="31">
        <v>2293</v>
      </c>
      <c r="P442" s="31">
        <v>969</v>
      </c>
      <c r="Q442" s="31">
        <v>3907</v>
      </c>
      <c r="R442" s="45">
        <f t="shared" si="168"/>
        <v>42.01075268817204</v>
      </c>
      <c r="S442" s="31">
        <v>39452</v>
      </c>
      <c r="T442" s="31">
        <v>75364</v>
      </c>
      <c r="U442" s="31">
        <v>0</v>
      </c>
      <c r="V442" s="31">
        <v>75364</v>
      </c>
      <c r="W442" s="45">
        <f t="shared" si="169"/>
        <v>810.36559139784947</v>
      </c>
      <c r="X442" s="4">
        <f t="shared" si="170"/>
        <v>0.42467225731118308</v>
      </c>
      <c r="Y442" s="4">
        <f t="shared" si="171"/>
        <v>5.1841728146064435E-2</v>
      </c>
      <c r="Z442" s="4">
        <f t="shared" si="172"/>
        <v>0.52348601454275245</v>
      </c>
      <c r="AA442" s="4">
        <f t="shared" si="173"/>
        <v>0</v>
      </c>
      <c r="AB442" s="31">
        <v>0</v>
      </c>
      <c r="AC442" s="31">
        <v>3907</v>
      </c>
      <c r="AD442" s="31">
        <v>58992</v>
      </c>
      <c r="AE442" s="31">
        <v>5150</v>
      </c>
      <c r="AF442" s="31">
        <v>5150</v>
      </c>
      <c r="AG442" s="31">
        <v>0</v>
      </c>
      <c r="AH442" s="31">
        <v>0</v>
      </c>
      <c r="AI442" s="31">
        <v>5150</v>
      </c>
      <c r="AJ442" s="45">
        <f t="shared" si="174"/>
        <v>55.376344086021504</v>
      </c>
      <c r="AK442" s="31">
        <v>0</v>
      </c>
      <c r="AL442" s="31">
        <v>0</v>
      </c>
      <c r="AM442" s="31">
        <v>0</v>
      </c>
      <c r="AN442" s="31">
        <v>0</v>
      </c>
      <c r="AO442" s="31">
        <v>9050</v>
      </c>
      <c r="AP442" s="31">
        <v>53313</v>
      </c>
      <c r="AQ442" s="31">
        <v>62363</v>
      </c>
      <c r="AR442" s="31">
        <v>67513</v>
      </c>
      <c r="AS442" s="46">
        <f t="shared" si="175"/>
        <v>725.94623655913983</v>
      </c>
      <c r="AT442" s="31">
        <v>0</v>
      </c>
      <c r="AU442" s="31">
        <v>0</v>
      </c>
      <c r="AV442" s="31">
        <v>0</v>
      </c>
      <c r="AW442" s="31">
        <v>0</v>
      </c>
      <c r="AX442" s="31">
        <v>0</v>
      </c>
      <c r="AY442" s="31">
        <v>0</v>
      </c>
      <c r="AZ442" s="31">
        <v>5000</v>
      </c>
      <c r="BA442" s="31">
        <v>0</v>
      </c>
      <c r="BB442" s="31">
        <v>5000</v>
      </c>
      <c r="BC442" s="33" t="s">
        <v>25</v>
      </c>
      <c r="BD442" s="47">
        <v>11449</v>
      </c>
      <c r="BE442" s="47">
        <v>11450</v>
      </c>
      <c r="BF442" s="45">
        <f t="shared" si="176"/>
        <v>123.11827956989248</v>
      </c>
      <c r="BG442" s="30">
        <v>513</v>
      </c>
      <c r="BH442" s="30">
        <v>515</v>
      </c>
      <c r="BI442" s="30">
        <v>20</v>
      </c>
      <c r="BJ442" s="30">
        <v>1459</v>
      </c>
      <c r="BK442" s="30">
        <v>1460</v>
      </c>
      <c r="BL442" s="30">
        <v>30</v>
      </c>
      <c r="BM442" s="30">
        <v>8954</v>
      </c>
      <c r="BN442" s="30">
        <v>0</v>
      </c>
      <c r="BO442" s="30">
        <v>51</v>
      </c>
      <c r="BP442" s="30">
        <v>0</v>
      </c>
      <c r="BQ442" s="30">
        <v>51</v>
      </c>
      <c r="BR442" s="47">
        <v>13421</v>
      </c>
      <c r="BS442" s="47">
        <v>22429</v>
      </c>
      <c r="BT442" s="1">
        <f t="shared" si="177"/>
        <v>241.1720430107527</v>
      </c>
      <c r="BU442" s="30">
        <v>0</v>
      </c>
      <c r="BV442" s="30">
        <v>0</v>
      </c>
      <c r="BW442" s="47">
        <v>102</v>
      </c>
      <c r="BX442" s="52">
        <f t="shared" si="178"/>
        <v>1.096774193548387</v>
      </c>
      <c r="BY442" s="47">
        <v>2372</v>
      </c>
      <c r="BZ442" s="47">
        <v>147</v>
      </c>
      <c r="CA442" s="47">
        <v>3187</v>
      </c>
      <c r="CB442" s="47">
        <v>211</v>
      </c>
      <c r="CC442" s="47">
        <v>5917</v>
      </c>
      <c r="CD442" s="55">
        <f t="shared" si="179"/>
        <v>63.623655913978496</v>
      </c>
      <c r="CE442" s="3">
        <f t="shared" si="180"/>
        <v>5379.090909090909</v>
      </c>
      <c r="CF442" s="55">
        <f t="shared" si="181"/>
        <v>4.9308333333333332</v>
      </c>
      <c r="CG442" s="55">
        <f t="shared" si="182"/>
        <v>0.2723841090088846</v>
      </c>
      <c r="CH442" s="55">
        <f t="shared" si="183"/>
        <v>0.24784876722100851</v>
      </c>
      <c r="CI442" s="30">
        <v>201</v>
      </c>
      <c r="CJ442" s="30">
        <v>4</v>
      </c>
      <c r="CK442" s="30">
        <v>148</v>
      </c>
      <c r="CL442" s="30">
        <v>353</v>
      </c>
      <c r="CM442" s="30">
        <v>5100</v>
      </c>
      <c r="CN442" s="30">
        <v>740</v>
      </c>
      <c r="CO442" s="30">
        <v>2832</v>
      </c>
      <c r="CP442" s="30">
        <v>8672</v>
      </c>
      <c r="CQ442" s="1">
        <f t="shared" si="191"/>
        <v>93.247311827956992</v>
      </c>
      <c r="CR442" s="47">
        <v>21723</v>
      </c>
      <c r="CS442" s="55">
        <f t="shared" si="184"/>
        <v>233.58064516129033</v>
      </c>
      <c r="CT442" s="59">
        <v>996</v>
      </c>
      <c r="CU442" s="29" t="s">
        <v>25</v>
      </c>
      <c r="CV442" s="29" t="s">
        <v>25</v>
      </c>
      <c r="CW442" s="29" t="s">
        <v>25</v>
      </c>
      <c r="CX442" s="35">
        <v>0</v>
      </c>
      <c r="CY442" s="49">
        <v>0</v>
      </c>
      <c r="CZ442" s="35">
        <v>0.5</v>
      </c>
      <c r="DA442" s="35">
        <v>0.6</v>
      </c>
      <c r="DB442" s="35">
        <v>1.1000000000000001</v>
      </c>
      <c r="DC442" s="49">
        <f t="shared" si="185"/>
        <v>84.545454545454533</v>
      </c>
      <c r="DD442" s="30">
        <v>894</v>
      </c>
      <c r="DE442" s="31">
        <v>13990</v>
      </c>
      <c r="DF442" s="35">
        <v>20</v>
      </c>
      <c r="DG442" s="29" t="s">
        <v>25</v>
      </c>
      <c r="DH442" s="29" t="s">
        <v>25</v>
      </c>
      <c r="DI442" s="29" t="s">
        <v>25</v>
      </c>
      <c r="DJ442" s="47">
        <v>0</v>
      </c>
      <c r="DK442" s="47">
        <v>0</v>
      </c>
      <c r="DL442" s="47">
        <v>7</v>
      </c>
      <c r="DM442" s="47">
        <v>1822</v>
      </c>
      <c r="DN442" s="47">
        <v>102</v>
      </c>
      <c r="DO442" s="47">
        <v>1825</v>
      </c>
      <c r="DP442" s="29" t="s">
        <v>2028</v>
      </c>
      <c r="DQ442" s="47">
        <v>0</v>
      </c>
      <c r="DR442" s="47">
        <v>1200</v>
      </c>
      <c r="DS442" s="30">
        <v>52</v>
      </c>
      <c r="DT442" s="30">
        <v>24</v>
      </c>
      <c r="DU442" s="30">
        <v>24</v>
      </c>
      <c r="DV442" s="30">
        <v>24</v>
      </c>
      <c r="DX442" s="2">
        <f t="shared" si="186"/>
        <v>1200</v>
      </c>
      <c r="DY442" s="33" t="s">
        <v>2186</v>
      </c>
      <c r="DZ442" s="33" t="s">
        <v>1747</v>
      </c>
      <c r="EA442" s="33" t="s">
        <v>2032</v>
      </c>
      <c r="EB442" s="33" t="s">
        <v>2027</v>
      </c>
      <c r="EC442" s="36">
        <v>605</v>
      </c>
      <c r="ED442" s="29" t="s">
        <v>1745</v>
      </c>
      <c r="EE442" s="29" t="s">
        <v>782</v>
      </c>
      <c r="EF442" s="37">
        <v>41640</v>
      </c>
      <c r="EG442" s="37">
        <v>42004</v>
      </c>
      <c r="EH442" s="29" t="s">
        <v>1745</v>
      </c>
      <c r="EI442" s="55">
        <f t="shared" si="187"/>
        <v>25.50537634408602</v>
      </c>
      <c r="EJ442" s="54">
        <f t="shared" si="188"/>
        <v>1.5806451612903225</v>
      </c>
      <c r="EK442" s="55">
        <f t="shared" si="189"/>
        <v>34.268817204301072</v>
      </c>
      <c r="EL442" s="54">
        <f t="shared" si="190"/>
        <v>2.2688172043010755</v>
      </c>
    </row>
    <row r="443" spans="1:142" ht="28.8" x14ac:dyDescent="0.3">
      <c r="A443" s="29" t="s">
        <v>1414</v>
      </c>
      <c r="B443" s="29"/>
      <c r="C443" s="30">
        <v>58043</v>
      </c>
      <c r="D443" s="30">
        <v>0</v>
      </c>
      <c r="E443" s="30">
        <v>0</v>
      </c>
      <c r="F443" s="30">
        <v>15600</v>
      </c>
      <c r="H443" s="2">
        <f t="shared" si="193"/>
        <v>15600</v>
      </c>
      <c r="I443" s="1">
        <f t="shared" si="192"/>
        <v>0.26876625949726929</v>
      </c>
      <c r="J443" s="31">
        <v>637595</v>
      </c>
      <c r="K443" s="31">
        <v>224909</v>
      </c>
      <c r="L443" s="31">
        <v>862504</v>
      </c>
      <c r="M443" s="45">
        <f t="shared" si="167"/>
        <v>14.859741915476457</v>
      </c>
      <c r="N443" s="31">
        <v>104936</v>
      </c>
      <c r="O443" s="31">
        <v>12647</v>
      </c>
      <c r="P443" s="31">
        <v>45527</v>
      </c>
      <c r="Q443" s="31">
        <v>163110</v>
      </c>
      <c r="R443" s="45">
        <f t="shared" si="168"/>
        <v>2.8101579863204864</v>
      </c>
      <c r="S443" s="31">
        <v>131742</v>
      </c>
      <c r="T443" s="31">
        <v>1157356</v>
      </c>
      <c r="U443" s="31">
        <v>0</v>
      </c>
      <c r="V443" s="31">
        <v>1157356</v>
      </c>
      <c r="W443" s="45">
        <f t="shared" si="169"/>
        <v>19.939630963251382</v>
      </c>
      <c r="X443" s="4">
        <f t="shared" si="170"/>
        <v>0.74523655642689024</v>
      </c>
      <c r="Y443" s="4">
        <f t="shared" si="171"/>
        <v>0.14093329969343918</v>
      </c>
      <c r="Z443" s="4">
        <f t="shared" si="172"/>
        <v>0.11383014387967055</v>
      </c>
      <c r="AA443" s="4">
        <f t="shared" si="173"/>
        <v>0</v>
      </c>
      <c r="AB443" s="31">
        <v>0</v>
      </c>
      <c r="AC443" s="31">
        <v>163110</v>
      </c>
      <c r="AD443" s="31">
        <v>1155863</v>
      </c>
      <c r="AE443" s="31">
        <v>1144950</v>
      </c>
      <c r="AF443" s="31">
        <v>1144950</v>
      </c>
      <c r="AG443" s="31">
        <v>0</v>
      </c>
      <c r="AH443" s="31">
        <v>0</v>
      </c>
      <c r="AI443" s="31">
        <v>1144950</v>
      </c>
      <c r="AJ443" s="45">
        <f t="shared" si="174"/>
        <v>19.725892872525542</v>
      </c>
      <c r="AK443" s="31">
        <v>0</v>
      </c>
      <c r="AL443" s="31">
        <v>0</v>
      </c>
      <c r="AM443" s="31">
        <v>0</v>
      </c>
      <c r="AN443" s="31">
        <v>0</v>
      </c>
      <c r="AO443" s="31">
        <v>4000</v>
      </c>
      <c r="AP443" s="31">
        <v>12155</v>
      </c>
      <c r="AQ443" s="31">
        <v>16155</v>
      </c>
      <c r="AR443" s="31">
        <v>1161105</v>
      </c>
      <c r="AS443" s="46">
        <f t="shared" si="175"/>
        <v>20.004221008562617</v>
      </c>
      <c r="AT443" s="31">
        <v>0</v>
      </c>
      <c r="AU443" s="31">
        <v>0</v>
      </c>
      <c r="AV443" s="31">
        <v>0</v>
      </c>
      <c r="AW443" s="31">
        <v>0</v>
      </c>
      <c r="AX443" s="31">
        <v>0</v>
      </c>
      <c r="AY443" s="31">
        <v>0</v>
      </c>
      <c r="AZ443" s="31">
        <v>0</v>
      </c>
      <c r="BA443" s="31">
        <v>0</v>
      </c>
      <c r="BB443" s="31">
        <v>0</v>
      </c>
      <c r="BC443" s="33" t="s">
        <v>25</v>
      </c>
      <c r="BD443" s="47">
        <v>67896</v>
      </c>
      <c r="BE443" s="47">
        <v>77559</v>
      </c>
      <c r="BF443" s="45">
        <f t="shared" si="176"/>
        <v>1.336233482073635</v>
      </c>
      <c r="BG443" s="30">
        <v>5855</v>
      </c>
      <c r="BH443" s="30">
        <v>6052</v>
      </c>
      <c r="BI443" s="30">
        <v>1646</v>
      </c>
      <c r="BJ443" s="30">
        <v>7809</v>
      </c>
      <c r="BK443" s="30">
        <v>9501</v>
      </c>
      <c r="BL443" s="30">
        <v>0</v>
      </c>
      <c r="BM443" s="30">
        <v>11729</v>
      </c>
      <c r="BN443" s="30">
        <v>6</v>
      </c>
      <c r="BO443" s="30">
        <v>51</v>
      </c>
      <c r="BP443" s="30">
        <v>0</v>
      </c>
      <c r="BQ443" s="30">
        <v>57</v>
      </c>
      <c r="BR443" s="47">
        <v>81560</v>
      </c>
      <c r="BS443" s="47">
        <v>106493</v>
      </c>
      <c r="BT443" s="1">
        <f t="shared" si="177"/>
        <v>1.8347259790155575</v>
      </c>
      <c r="BU443" s="30">
        <v>81</v>
      </c>
      <c r="BV443" s="30">
        <v>0</v>
      </c>
      <c r="BW443" s="47">
        <v>17788</v>
      </c>
      <c r="BX443" s="52">
        <f t="shared" si="178"/>
        <v>0.3064624502523991</v>
      </c>
      <c r="BY443" s="47">
        <v>130266</v>
      </c>
      <c r="BZ443" s="47">
        <v>1136</v>
      </c>
      <c r="CA443" s="47">
        <v>153916</v>
      </c>
      <c r="CB443" s="47">
        <v>8472</v>
      </c>
      <c r="CC443" s="47">
        <v>293790</v>
      </c>
      <c r="CD443" s="55">
        <f t="shared" si="179"/>
        <v>5.0615922678014575</v>
      </c>
      <c r="CE443" s="3">
        <f t="shared" si="180"/>
        <v>18682.988871224163</v>
      </c>
      <c r="CF443" s="55">
        <f t="shared" si="181"/>
        <v>97.056491575817645</v>
      </c>
      <c r="CG443" s="55">
        <f t="shared" si="182"/>
        <v>1.7501563756590117</v>
      </c>
      <c r="CH443" s="55">
        <f t="shared" si="183"/>
        <v>2.6685509845717559</v>
      </c>
      <c r="CI443" s="30">
        <v>399</v>
      </c>
      <c r="CJ443" s="30">
        <v>28</v>
      </c>
      <c r="CK443" s="30">
        <v>390</v>
      </c>
      <c r="CL443" s="30">
        <v>817</v>
      </c>
      <c r="CM443" s="30">
        <v>8482</v>
      </c>
      <c r="CN443" s="30">
        <v>449</v>
      </c>
      <c r="CO443" s="30">
        <v>1383</v>
      </c>
      <c r="CP443" s="30">
        <v>10314</v>
      </c>
      <c r="CQ443" s="1">
        <f t="shared" si="191"/>
        <v>0.17769584618300227</v>
      </c>
      <c r="CR443" s="47">
        <v>167865</v>
      </c>
      <c r="CS443" s="55">
        <f t="shared" si="184"/>
        <v>2.8920800096480197</v>
      </c>
      <c r="CT443" s="59">
        <v>32570</v>
      </c>
      <c r="CU443" s="29" t="s">
        <v>25</v>
      </c>
      <c r="CV443" s="29" t="s">
        <v>25</v>
      </c>
      <c r="CW443" s="29" t="s">
        <v>25</v>
      </c>
      <c r="CX443" s="35">
        <v>6.7</v>
      </c>
      <c r="CY443" s="49">
        <f>C443/CX443</f>
        <v>8663.1343283582082</v>
      </c>
      <c r="CZ443" s="35">
        <v>0</v>
      </c>
      <c r="DA443" s="35">
        <v>9.0250000000000004</v>
      </c>
      <c r="DB443" s="35">
        <v>15.725000000000001</v>
      </c>
      <c r="DC443" s="49">
        <f t="shared" si="185"/>
        <v>3691.128775834658</v>
      </c>
      <c r="DD443" s="30">
        <v>2609</v>
      </c>
      <c r="DE443" s="31">
        <v>90590</v>
      </c>
      <c r="DF443" s="35">
        <v>40</v>
      </c>
      <c r="DG443" s="29" t="s">
        <v>25</v>
      </c>
      <c r="DH443" s="29" t="s">
        <v>25</v>
      </c>
      <c r="DI443" s="29" t="s">
        <v>25</v>
      </c>
      <c r="DJ443" s="47">
        <v>710</v>
      </c>
      <c r="DK443" s="47">
        <v>706</v>
      </c>
      <c r="DL443" s="47">
        <v>20</v>
      </c>
      <c r="DM443" s="47">
        <v>19609</v>
      </c>
      <c r="DN443" s="47">
        <v>3634</v>
      </c>
      <c r="DO443" s="47">
        <v>10838</v>
      </c>
      <c r="DP443" s="29" t="s">
        <v>25</v>
      </c>
      <c r="DQ443" s="47">
        <v>30614</v>
      </c>
      <c r="DR443" s="47">
        <v>3027</v>
      </c>
      <c r="DS443" s="30">
        <v>52</v>
      </c>
      <c r="DT443" s="30">
        <v>60</v>
      </c>
      <c r="DU443" s="30">
        <v>60</v>
      </c>
      <c r="DV443" s="30">
        <v>60</v>
      </c>
      <c r="DX443" s="2">
        <f t="shared" si="186"/>
        <v>3027</v>
      </c>
      <c r="DY443" s="33" t="s">
        <v>2182</v>
      </c>
      <c r="DZ443" s="33" t="s">
        <v>1416</v>
      </c>
      <c r="EA443" s="33" t="s">
        <v>2030</v>
      </c>
      <c r="EB443" s="33" t="s">
        <v>2027</v>
      </c>
      <c r="EC443" s="36">
        <v>443</v>
      </c>
      <c r="ED443" s="29" t="s">
        <v>1415</v>
      </c>
      <c r="EE443" s="29" t="s">
        <v>269</v>
      </c>
      <c r="EF443" s="37">
        <v>41548</v>
      </c>
      <c r="EG443" s="37">
        <v>41912</v>
      </c>
      <c r="EH443" s="29" t="s">
        <v>1415</v>
      </c>
      <c r="EI443" s="55">
        <f t="shared" si="187"/>
        <v>2.2443016384404664</v>
      </c>
      <c r="EJ443" s="54">
        <f t="shared" si="188"/>
        <v>1.9571696845442171E-2</v>
      </c>
      <c r="EK443" s="55">
        <f t="shared" si="189"/>
        <v>2.6517581792808778</v>
      </c>
      <c r="EL443" s="54">
        <f t="shared" si="190"/>
        <v>0.14596075323467084</v>
      </c>
    </row>
    <row r="444" spans="1:142" ht="28.8" x14ac:dyDescent="0.3">
      <c r="A444" s="29" t="s">
        <v>1763</v>
      </c>
      <c r="B444" s="29"/>
      <c r="C444" s="30">
        <v>10275</v>
      </c>
      <c r="D444" s="30">
        <v>0</v>
      </c>
      <c r="E444" s="30">
        <v>0</v>
      </c>
      <c r="F444" s="30">
        <v>5000</v>
      </c>
      <c r="H444" s="2">
        <f t="shared" si="193"/>
        <v>5000</v>
      </c>
      <c r="I444" s="1">
        <f t="shared" si="192"/>
        <v>0.48661800486618007</v>
      </c>
      <c r="J444" s="31">
        <v>55821</v>
      </c>
      <c r="K444" s="31">
        <v>14037</v>
      </c>
      <c r="L444" s="31">
        <v>69858</v>
      </c>
      <c r="M444" s="45">
        <f t="shared" si="167"/>
        <v>6.7988321167883212</v>
      </c>
      <c r="N444" s="31">
        <v>10847</v>
      </c>
      <c r="O444" s="31">
        <v>3901</v>
      </c>
      <c r="P444" s="31">
        <v>2000</v>
      </c>
      <c r="Q444" s="31">
        <v>16748</v>
      </c>
      <c r="R444" s="45">
        <f t="shared" si="168"/>
        <v>1.6299756690997567</v>
      </c>
      <c r="S444" s="31">
        <v>9428</v>
      </c>
      <c r="T444" s="31">
        <v>96034</v>
      </c>
      <c r="U444" s="31">
        <v>0</v>
      </c>
      <c r="V444" s="31">
        <v>96034</v>
      </c>
      <c r="W444" s="45">
        <f t="shared" si="169"/>
        <v>9.3463746958637461</v>
      </c>
      <c r="X444" s="4">
        <f t="shared" si="170"/>
        <v>0.72742986858820835</v>
      </c>
      <c r="Y444" s="4">
        <f t="shared" si="171"/>
        <v>0.17439656788220839</v>
      </c>
      <c r="Z444" s="4">
        <f t="shared" si="172"/>
        <v>9.8173563529583271E-2</v>
      </c>
      <c r="AA444" s="4">
        <f t="shared" si="173"/>
        <v>0</v>
      </c>
      <c r="AB444" s="31">
        <v>0</v>
      </c>
      <c r="AC444" s="31">
        <v>15048</v>
      </c>
      <c r="AD444" s="31">
        <v>94334</v>
      </c>
      <c r="AE444" s="31">
        <v>94334</v>
      </c>
      <c r="AF444" s="31">
        <v>95519</v>
      </c>
      <c r="AG444" s="31">
        <v>0</v>
      </c>
      <c r="AH444" s="31">
        <v>0</v>
      </c>
      <c r="AI444" s="31">
        <v>95519</v>
      </c>
      <c r="AJ444" s="45">
        <f t="shared" si="174"/>
        <v>9.2962530413625313</v>
      </c>
      <c r="AK444" s="31">
        <v>0</v>
      </c>
      <c r="AL444" s="31">
        <v>0</v>
      </c>
      <c r="AM444" s="31">
        <v>0</v>
      </c>
      <c r="AN444" s="31">
        <v>0</v>
      </c>
      <c r="AO444" s="31">
        <v>0</v>
      </c>
      <c r="AP444" s="31">
        <v>0</v>
      </c>
      <c r="AQ444" s="31">
        <v>0</v>
      </c>
      <c r="AR444" s="31">
        <v>95519</v>
      </c>
      <c r="AS444" s="46">
        <f t="shared" si="175"/>
        <v>9.2962530413625313</v>
      </c>
      <c r="AT444" s="31">
        <v>0</v>
      </c>
      <c r="AU444" s="31">
        <v>0</v>
      </c>
      <c r="AV444" s="31">
        <v>0</v>
      </c>
      <c r="AW444" s="31">
        <v>0</v>
      </c>
      <c r="AX444" s="31">
        <v>0</v>
      </c>
      <c r="AY444" s="31">
        <v>0</v>
      </c>
      <c r="AZ444" s="31">
        <v>0</v>
      </c>
      <c r="BA444" s="31">
        <v>0</v>
      </c>
      <c r="BB444" s="31">
        <v>0</v>
      </c>
      <c r="BC444" s="33" t="s">
        <v>25</v>
      </c>
      <c r="BD444" s="47">
        <v>12917</v>
      </c>
      <c r="BE444" s="47">
        <v>13648</v>
      </c>
      <c r="BF444" s="45">
        <f t="shared" si="176"/>
        <v>1.328272506082725</v>
      </c>
      <c r="BG444" s="30">
        <v>224</v>
      </c>
      <c r="BH444" s="30">
        <v>233</v>
      </c>
      <c r="BI444" s="30">
        <v>322</v>
      </c>
      <c r="BJ444" s="30">
        <v>1228</v>
      </c>
      <c r="BK444" s="30">
        <v>1479</v>
      </c>
      <c r="BL444" s="30">
        <v>24</v>
      </c>
      <c r="BM444" s="30">
        <v>11211</v>
      </c>
      <c r="BN444" s="30">
        <v>2</v>
      </c>
      <c r="BO444" s="30">
        <v>51</v>
      </c>
      <c r="BP444" s="30">
        <v>0</v>
      </c>
      <c r="BQ444" s="30">
        <v>53</v>
      </c>
      <c r="BR444" s="47">
        <v>14369</v>
      </c>
      <c r="BS444" s="47">
        <v>26919</v>
      </c>
      <c r="BT444" s="1">
        <f t="shared" si="177"/>
        <v>2.6198540145985403</v>
      </c>
      <c r="BU444" s="30">
        <v>0</v>
      </c>
      <c r="BV444" s="30">
        <v>0</v>
      </c>
      <c r="BW444" s="47">
        <v>1272</v>
      </c>
      <c r="BX444" s="52">
        <f t="shared" si="178"/>
        <v>0.12379562043795621</v>
      </c>
      <c r="BY444" s="47">
        <v>7082</v>
      </c>
      <c r="BZ444" s="47">
        <v>88</v>
      </c>
      <c r="CA444" s="47">
        <v>13232</v>
      </c>
      <c r="CB444" s="47">
        <v>1270</v>
      </c>
      <c r="CC444" s="47">
        <v>21672</v>
      </c>
      <c r="CD444" s="55">
        <f t="shared" si="179"/>
        <v>2.1091970802919708</v>
      </c>
      <c r="CE444" s="3">
        <f t="shared" si="180"/>
        <v>11406.315789473685</v>
      </c>
      <c r="CF444" s="55">
        <f t="shared" si="181"/>
        <v>9.8509090909090915</v>
      </c>
      <c r="CG444" s="55">
        <f t="shared" si="182"/>
        <v>1.0384283660757068</v>
      </c>
      <c r="CH444" s="55">
        <f t="shared" si="183"/>
        <v>0.75463427318994014</v>
      </c>
      <c r="CI444" s="30">
        <v>64</v>
      </c>
      <c r="CJ444" s="30">
        <v>44</v>
      </c>
      <c r="CK444" s="30">
        <v>119</v>
      </c>
      <c r="CL444" s="30">
        <v>227</v>
      </c>
      <c r="CM444" s="30">
        <v>878</v>
      </c>
      <c r="CN444" s="30">
        <v>277</v>
      </c>
      <c r="CO444" s="30">
        <v>570</v>
      </c>
      <c r="CP444" s="30">
        <v>1725</v>
      </c>
      <c r="CQ444" s="1">
        <f t="shared" si="191"/>
        <v>0.16788321167883211</v>
      </c>
      <c r="CR444" s="47">
        <v>20870</v>
      </c>
      <c r="CS444" s="55">
        <f t="shared" si="184"/>
        <v>2.0311435523114354</v>
      </c>
      <c r="CT444" s="59">
        <v>7904</v>
      </c>
      <c r="CU444" s="29" t="s">
        <v>25</v>
      </c>
      <c r="CV444" s="29" t="s">
        <v>25</v>
      </c>
      <c r="CW444" s="29" t="s">
        <v>25</v>
      </c>
      <c r="CX444" s="35">
        <v>1</v>
      </c>
      <c r="CY444" s="49">
        <f>C444/CX444</f>
        <v>10275</v>
      </c>
      <c r="CZ444" s="35">
        <v>0</v>
      </c>
      <c r="DA444" s="35">
        <v>0.9</v>
      </c>
      <c r="DB444" s="35">
        <v>1.9</v>
      </c>
      <c r="DC444" s="49">
        <f t="shared" si="185"/>
        <v>5407.8947368421059</v>
      </c>
      <c r="DD444" s="30">
        <v>394</v>
      </c>
      <c r="DE444" s="31">
        <v>42000</v>
      </c>
      <c r="DF444" s="35">
        <v>40</v>
      </c>
      <c r="DG444" s="29" t="s">
        <v>25</v>
      </c>
      <c r="DH444" s="29" t="s">
        <v>25</v>
      </c>
      <c r="DI444" s="29" t="s">
        <v>26</v>
      </c>
      <c r="DJ444" s="47">
        <v>143</v>
      </c>
      <c r="DK444" s="47">
        <v>0</v>
      </c>
      <c r="DL444" s="47">
        <v>11</v>
      </c>
      <c r="DM444" s="47">
        <v>6961</v>
      </c>
      <c r="DN444" s="47">
        <v>72</v>
      </c>
      <c r="DO444" s="47">
        <v>962</v>
      </c>
      <c r="DP444" s="29" t="s">
        <v>2028</v>
      </c>
      <c r="DQ444" s="47">
        <v>0</v>
      </c>
      <c r="DR444" s="47">
        <v>2200</v>
      </c>
      <c r="DS444" s="30">
        <v>52</v>
      </c>
      <c r="DT444" s="30">
        <v>44</v>
      </c>
      <c r="DU444" s="30">
        <v>44</v>
      </c>
      <c r="DV444" s="30">
        <v>47</v>
      </c>
      <c r="DX444" s="2">
        <f t="shared" si="186"/>
        <v>2200</v>
      </c>
      <c r="DY444" s="33" t="s">
        <v>2182</v>
      </c>
      <c r="DZ444" s="33" t="s">
        <v>1764</v>
      </c>
      <c r="EA444" s="33" t="s">
        <v>2030</v>
      </c>
      <c r="EB444" s="33" t="s">
        <v>2027</v>
      </c>
      <c r="EC444" s="36">
        <v>615</v>
      </c>
      <c r="ED444" s="29" t="s">
        <v>1762</v>
      </c>
      <c r="EE444" s="29" t="s">
        <v>1144</v>
      </c>
      <c r="EF444" s="37">
        <v>41548</v>
      </c>
      <c r="EG444" s="37">
        <v>41912</v>
      </c>
      <c r="EH444" s="29" t="s">
        <v>1762</v>
      </c>
      <c r="EI444" s="55">
        <f t="shared" si="187"/>
        <v>0.68924574209245737</v>
      </c>
      <c r="EJ444" s="54">
        <f t="shared" si="188"/>
        <v>8.564476885644769E-3</v>
      </c>
      <c r="EK444" s="55">
        <f t="shared" si="189"/>
        <v>1.287785888077859</v>
      </c>
      <c r="EL444" s="54">
        <f t="shared" si="190"/>
        <v>0.12360097323600973</v>
      </c>
    </row>
    <row r="445" spans="1:142" ht="28.8" x14ac:dyDescent="0.3">
      <c r="A445" s="29" t="s">
        <v>1555</v>
      </c>
      <c r="B445" s="29"/>
      <c r="C445" s="30">
        <v>1924</v>
      </c>
      <c r="D445" s="30">
        <v>0</v>
      </c>
      <c r="E445" s="30">
        <v>0</v>
      </c>
      <c r="F445" s="30">
        <v>3200</v>
      </c>
      <c r="H445" s="2">
        <f t="shared" si="193"/>
        <v>3200</v>
      </c>
      <c r="I445" s="1">
        <f t="shared" si="192"/>
        <v>1.6632016632016633</v>
      </c>
      <c r="J445" s="31">
        <v>44343</v>
      </c>
      <c r="K445" s="31">
        <v>15071</v>
      </c>
      <c r="L445" s="31">
        <v>59414</v>
      </c>
      <c r="M445" s="45">
        <f t="shared" si="167"/>
        <v>30.880457380457379</v>
      </c>
      <c r="N445" s="31">
        <v>8656</v>
      </c>
      <c r="O445" s="31">
        <v>0</v>
      </c>
      <c r="P445" s="31">
        <v>942</v>
      </c>
      <c r="Q445" s="31">
        <v>9598</v>
      </c>
      <c r="R445" s="45">
        <f t="shared" si="168"/>
        <v>4.9885654885654889</v>
      </c>
      <c r="S445" s="31">
        <v>8874</v>
      </c>
      <c r="T445" s="31">
        <v>77886</v>
      </c>
      <c r="U445" s="31">
        <v>0</v>
      </c>
      <c r="V445" s="31">
        <v>77886</v>
      </c>
      <c r="W445" s="45">
        <f t="shared" si="169"/>
        <v>40.481288981288984</v>
      </c>
      <c r="X445" s="4">
        <f t="shared" si="170"/>
        <v>0.76283285828005032</v>
      </c>
      <c r="Y445" s="4">
        <f t="shared" si="171"/>
        <v>0.12323138946665639</v>
      </c>
      <c r="Z445" s="4">
        <f t="shared" si="172"/>
        <v>0.11393575225329328</v>
      </c>
      <c r="AA445" s="4">
        <f t="shared" si="173"/>
        <v>0</v>
      </c>
      <c r="AB445" s="31">
        <v>0</v>
      </c>
      <c r="AC445" s="31">
        <v>9598</v>
      </c>
      <c r="AD445" s="31">
        <v>72344</v>
      </c>
      <c r="AE445" s="31">
        <v>71756</v>
      </c>
      <c r="AF445" s="31">
        <v>0</v>
      </c>
      <c r="AG445" s="31">
        <v>75560</v>
      </c>
      <c r="AH445" s="31">
        <v>0</v>
      </c>
      <c r="AI445" s="31">
        <v>75560</v>
      </c>
      <c r="AJ445" s="45">
        <f t="shared" si="174"/>
        <v>39.272349272349274</v>
      </c>
      <c r="AK445" s="31">
        <v>0</v>
      </c>
      <c r="AL445" s="31">
        <v>0</v>
      </c>
      <c r="AM445" s="31">
        <v>0</v>
      </c>
      <c r="AN445" s="31">
        <v>0</v>
      </c>
      <c r="AO445" s="31">
        <v>0</v>
      </c>
      <c r="AP445" s="31">
        <v>2460</v>
      </c>
      <c r="AQ445" s="31">
        <v>2460</v>
      </c>
      <c r="AR445" s="31">
        <v>78020</v>
      </c>
      <c r="AS445" s="46">
        <f t="shared" si="175"/>
        <v>40.550935550935549</v>
      </c>
      <c r="AT445" s="31">
        <v>0</v>
      </c>
      <c r="AU445" s="31">
        <v>0</v>
      </c>
      <c r="AV445" s="31">
        <v>0</v>
      </c>
      <c r="AW445" s="31">
        <v>0</v>
      </c>
      <c r="AX445" s="31">
        <v>0</v>
      </c>
      <c r="AY445" s="31">
        <v>0</v>
      </c>
      <c r="AZ445" s="31">
        <v>0</v>
      </c>
      <c r="BA445" s="31">
        <v>0</v>
      </c>
      <c r="BB445" s="31">
        <v>0</v>
      </c>
      <c r="BC445" s="33" t="s">
        <v>25</v>
      </c>
      <c r="BD445" s="47">
        <v>8753</v>
      </c>
      <c r="BE445" s="47">
        <v>8815</v>
      </c>
      <c r="BF445" s="45">
        <f t="shared" si="176"/>
        <v>4.5816008316008316</v>
      </c>
      <c r="BG445" s="30">
        <v>28</v>
      </c>
      <c r="BH445" s="30">
        <v>28</v>
      </c>
      <c r="BI445" s="30">
        <v>0</v>
      </c>
      <c r="BJ445" s="30">
        <v>724</v>
      </c>
      <c r="BK445" s="30">
        <v>726</v>
      </c>
      <c r="BL445" s="30">
        <v>0</v>
      </c>
      <c r="BM445" s="30">
        <v>0</v>
      </c>
      <c r="BN445" s="30">
        <v>0</v>
      </c>
      <c r="BO445" s="30">
        <v>51</v>
      </c>
      <c r="BP445" s="30">
        <v>0</v>
      </c>
      <c r="BQ445" s="30">
        <v>51</v>
      </c>
      <c r="BR445" s="47">
        <v>9505</v>
      </c>
      <c r="BS445" s="47">
        <v>9569</v>
      </c>
      <c r="BT445" s="1">
        <f t="shared" si="177"/>
        <v>4.9734927234927238</v>
      </c>
      <c r="BU445" s="30">
        <v>39</v>
      </c>
      <c r="BV445" s="30">
        <v>3</v>
      </c>
      <c r="BW445" s="47">
        <v>492</v>
      </c>
      <c r="BX445" s="52">
        <f t="shared" si="178"/>
        <v>0.25571725571725573</v>
      </c>
      <c r="BY445" s="47">
        <v>4399</v>
      </c>
      <c r="BZ445" s="47">
        <v>0</v>
      </c>
      <c r="CA445" s="47">
        <v>3420</v>
      </c>
      <c r="CB445" s="47">
        <v>0</v>
      </c>
      <c r="CC445" s="47">
        <v>7819</v>
      </c>
      <c r="CD445" s="55">
        <f t="shared" si="179"/>
        <v>4.0639293139293136</v>
      </c>
      <c r="CE445" s="3">
        <f t="shared" si="180"/>
        <v>5044.5161290322576</v>
      </c>
      <c r="CF445" s="55">
        <f t="shared" si="181"/>
        <v>5.0674011665586516</v>
      </c>
      <c r="CG445" s="55">
        <f t="shared" si="182"/>
        <v>1.1733193277310925</v>
      </c>
      <c r="CH445" s="55">
        <f t="shared" si="183"/>
        <v>0.81711777615215797</v>
      </c>
      <c r="CI445" s="30">
        <v>194</v>
      </c>
      <c r="CJ445" s="30">
        <v>1</v>
      </c>
      <c r="CK445" s="30">
        <v>49</v>
      </c>
      <c r="CL445" s="30">
        <v>244</v>
      </c>
      <c r="CM445" s="30">
        <v>3837</v>
      </c>
      <c r="CN445" s="30">
        <v>16</v>
      </c>
      <c r="CO445" s="30">
        <v>346</v>
      </c>
      <c r="CP445" s="30">
        <v>4199</v>
      </c>
      <c r="CQ445" s="1">
        <f t="shared" si="191"/>
        <v>2.1824324324324325</v>
      </c>
      <c r="CR445" s="47">
        <v>6664</v>
      </c>
      <c r="CS445" s="55">
        <f t="shared" si="184"/>
        <v>3.4636174636174637</v>
      </c>
      <c r="CT445" s="59">
        <v>317</v>
      </c>
      <c r="CU445" s="29" t="s">
        <v>25</v>
      </c>
      <c r="CV445" s="29" t="s">
        <v>25</v>
      </c>
      <c r="CW445" s="29" t="s">
        <v>25</v>
      </c>
      <c r="CX445" s="35">
        <v>0</v>
      </c>
      <c r="CY445" s="49">
        <v>0</v>
      </c>
      <c r="CZ445" s="35">
        <v>1.55</v>
      </c>
      <c r="DA445" s="35">
        <v>0</v>
      </c>
      <c r="DB445" s="35">
        <v>1.55</v>
      </c>
      <c r="DC445" s="49">
        <f t="shared" si="185"/>
        <v>1241.2903225806451</v>
      </c>
      <c r="DD445" s="30">
        <v>105</v>
      </c>
      <c r="DE445" s="31">
        <v>27630</v>
      </c>
      <c r="DF445" s="35">
        <v>32</v>
      </c>
      <c r="DG445" s="29" t="s">
        <v>25</v>
      </c>
      <c r="DH445" s="29" t="s">
        <v>25</v>
      </c>
      <c r="DI445" s="29" t="s">
        <v>25</v>
      </c>
      <c r="DJ445" s="47">
        <v>71</v>
      </c>
      <c r="DK445" s="47">
        <v>35</v>
      </c>
      <c r="DL445" s="47">
        <v>7</v>
      </c>
      <c r="DM445" s="47">
        <v>2766</v>
      </c>
      <c r="DN445" s="47">
        <v>176</v>
      </c>
      <c r="DO445" s="47">
        <v>0</v>
      </c>
      <c r="DP445" s="29" t="s">
        <v>2028</v>
      </c>
      <c r="DQ445" s="47">
        <v>0</v>
      </c>
      <c r="DR445" s="47">
        <v>1543</v>
      </c>
      <c r="DS445" s="30">
        <v>52</v>
      </c>
      <c r="DT445" s="30">
        <v>32</v>
      </c>
      <c r="DU445" s="30">
        <v>32</v>
      </c>
      <c r="DV445" s="30">
        <v>32</v>
      </c>
      <c r="DX445" s="2">
        <f t="shared" si="186"/>
        <v>1543</v>
      </c>
      <c r="DY445" s="33" t="s">
        <v>2187</v>
      </c>
      <c r="DZ445" s="33" t="s">
        <v>1557</v>
      </c>
      <c r="EA445" s="33" t="s">
        <v>2030</v>
      </c>
      <c r="EB445" s="33" t="s">
        <v>2027</v>
      </c>
      <c r="EC445" s="36">
        <v>507</v>
      </c>
      <c r="ED445" s="29" t="s">
        <v>1556</v>
      </c>
      <c r="EE445" s="29" t="s">
        <v>748</v>
      </c>
      <c r="EF445" s="37">
        <v>41548</v>
      </c>
      <c r="EG445" s="37">
        <v>41912</v>
      </c>
      <c r="EH445" s="29" t="s">
        <v>1556</v>
      </c>
      <c r="EI445" s="55">
        <f t="shared" si="187"/>
        <v>2.2863825363825363</v>
      </c>
      <c r="EJ445" s="54">
        <f t="shared" si="188"/>
        <v>0</v>
      </c>
      <c r="EK445" s="55">
        <f t="shared" si="189"/>
        <v>1.7775467775467775</v>
      </c>
      <c r="EL445" s="54">
        <f t="shared" si="190"/>
        <v>0</v>
      </c>
    </row>
    <row r="446" spans="1:142" ht="28.8" x14ac:dyDescent="0.3">
      <c r="A446" s="29" t="s">
        <v>659</v>
      </c>
      <c r="B446" s="29"/>
      <c r="C446" s="30">
        <v>3723</v>
      </c>
      <c r="D446" s="30">
        <v>0</v>
      </c>
      <c r="E446" s="30">
        <v>0</v>
      </c>
      <c r="F446" s="30">
        <v>6000</v>
      </c>
      <c r="H446" s="2">
        <f t="shared" si="193"/>
        <v>6000</v>
      </c>
      <c r="I446" s="1">
        <f t="shared" si="192"/>
        <v>1.6116035455278002</v>
      </c>
      <c r="J446" s="31">
        <v>58250</v>
      </c>
      <c r="K446" s="31">
        <v>23000</v>
      </c>
      <c r="L446" s="31">
        <v>81250</v>
      </c>
      <c r="M446" s="45">
        <f t="shared" si="167"/>
        <v>21.823798012355628</v>
      </c>
      <c r="N446" s="31">
        <v>8800</v>
      </c>
      <c r="O446" s="31">
        <v>1350</v>
      </c>
      <c r="P446" s="31">
        <v>738</v>
      </c>
      <c r="Q446" s="31">
        <v>10888</v>
      </c>
      <c r="R446" s="45">
        <f t="shared" si="168"/>
        <v>2.9245232339511147</v>
      </c>
      <c r="S446" s="31">
        <v>12375</v>
      </c>
      <c r="T446" s="31">
        <v>104513</v>
      </c>
      <c r="U446" s="31">
        <v>0</v>
      </c>
      <c r="V446" s="31">
        <v>104513</v>
      </c>
      <c r="W446" s="45">
        <f t="shared" si="169"/>
        <v>28.072253558957829</v>
      </c>
      <c r="X446" s="4">
        <f t="shared" si="170"/>
        <v>0.77741524977753962</v>
      </c>
      <c r="Y446" s="4">
        <f t="shared" si="171"/>
        <v>0.1041784275640351</v>
      </c>
      <c r="Z446" s="4">
        <f t="shared" si="172"/>
        <v>0.11840632265842527</v>
      </c>
      <c r="AA446" s="4">
        <f t="shared" si="173"/>
        <v>0</v>
      </c>
      <c r="AB446" s="31">
        <v>8800</v>
      </c>
      <c r="AC446" s="31">
        <v>10750</v>
      </c>
      <c r="AD446" s="31">
        <v>104375</v>
      </c>
      <c r="AE446" s="31">
        <v>104375</v>
      </c>
      <c r="AF446" s="31">
        <v>104375</v>
      </c>
      <c r="AG446" s="31">
        <v>0</v>
      </c>
      <c r="AH446" s="31">
        <v>0</v>
      </c>
      <c r="AI446" s="31">
        <v>104375</v>
      </c>
      <c r="AJ446" s="45">
        <f t="shared" si="174"/>
        <v>28.035186677410689</v>
      </c>
      <c r="AK446" s="31">
        <v>0</v>
      </c>
      <c r="AL446" s="31">
        <v>0</v>
      </c>
      <c r="AM446" s="31">
        <v>0</v>
      </c>
      <c r="AN446" s="31">
        <v>0</v>
      </c>
      <c r="AO446" s="31">
        <v>0</v>
      </c>
      <c r="AP446" s="31">
        <v>0</v>
      </c>
      <c r="AQ446" s="31">
        <v>0</v>
      </c>
      <c r="AR446" s="31">
        <v>104375</v>
      </c>
      <c r="AS446" s="46">
        <f t="shared" si="175"/>
        <v>28.035186677410689</v>
      </c>
      <c r="AT446" s="31">
        <v>0</v>
      </c>
      <c r="AU446" s="31">
        <v>0</v>
      </c>
      <c r="AV446" s="31">
        <v>0</v>
      </c>
      <c r="AW446" s="31">
        <v>0</v>
      </c>
      <c r="AX446" s="31">
        <v>0</v>
      </c>
      <c r="AY446" s="31">
        <v>0</v>
      </c>
      <c r="AZ446" s="31">
        <v>59330</v>
      </c>
      <c r="BA446" s="31">
        <v>0</v>
      </c>
      <c r="BB446" s="31">
        <v>59330</v>
      </c>
      <c r="BC446" s="33" t="s">
        <v>25</v>
      </c>
      <c r="BD446" s="47">
        <v>23910</v>
      </c>
      <c r="BE446" s="47">
        <v>24810</v>
      </c>
      <c r="BF446" s="45">
        <f t="shared" si="176"/>
        <v>6.6639806607574537</v>
      </c>
      <c r="BG446" s="30">
        <v>120</v>
      </c>
      <c r="BH446" s="30">
        <v>120</v>
      </c>
      <c r="BI446" s="30">
        <v>0</v>
      </c>
      <c r="BJ446" s="30">
        <v>432</v>
      </c>
      <c r="BK446" s="30">
        <v>435</v>
      </c>
      <c r="BL446" s="30">
        <v>143</v>
      </c>
      <c r="BM446" s="30">
        <v>600</v>
      </c>
      <c r="BN446" s="30">
        <v>0</v>
      </c>
      <c r="BO446" s="30">
        <v>51</v>
      </c>
      <c r="BP446" s="30">
        <v>0</v>
      </c>
      <c r="BQ446" s="30">
        <v>51</v>
      </c>
      <c r="BR446" s="47">
        <v>24462</v>
      </c>
      <c r="BS446" s="47">
        <v>26108</v>
      </c>
      <c r="BT446" s="1">
        <f t="shared" si="177"/>
        <v>7.0126242277733013</v>
      </c>
      <c r="BU446" s="30">
        <v>8</v>
      </c>
      <c r="BV446" s="30">
        <v>0</v>
      </c>
      <c r="BW446" s="47">
        <v>8568</v>
      </c>
      <c r="BX446" s="52">
        <f t="shared" si="178"/>
        <v>2.3013698630136985</v>
      </c>
      <c r="BY446" s="47">
        <v>3804</v>
      </c>
      <c r="BZ446" s="47">
        <v>401</v>
      </c>
      <c r="CA446" s="47">
        <v>10247</v>
      </c>
      <c r="CB446" s="47">
        <v>132</v>
      </c>
      <c r="CC446" s="47">
        <v>14584</v>
      </c>
      <c r="CD446" s="55">
        <f t="shared" si="179"/>
        <v>3.9172710179962396</v>
      </c>
      <c r="CE446" s="3">
        <f t="shared" si="180"/>
        <v>7292</v>
      </c>
      <c r="CF446" s="55">
        <f t="shared" si="181"/>
        <v>7.4408163265306122</v>
      </c>
      <c r="CG446" s="55">
        <f t="shared" si="182"/>
        <v>0.61791373612405731</v>
      </c>
      <c r="CH446" s="55">
        <f t="shared" si="183"/>
        <v>0.53818752872682707</v>
      </c>
      <c r="CI446" s="30">
        <v>48</v>
      </c>
      <c r="CJ446" s="30">
        <v>9</v>
      </c>
      <c r="CK446" s="30">
        <v>176</v>
      </c>
      <c r="CL446" s="30">
        <v>233</v>
      </c>
      <c r="CM446" s="30">
        <v>1392</v>
      </c>
      <c r="CN446" s="30">
        <v>332</v>
      </c>
      <c r="CO446" s="30">
        <v>320</v>
      </c>
      <c r="CP446" s="30">
        <v>2044</v>
      </c>
      <c r="CQ446" s="1">
        <f t="shared" si="191"/>
        <v>0.5490196078431373</v>
      </c>
      <c r="CR446" s="47">
        <v>23602</v>
      </c>
      <c r="CS446" s="55">
        <f t="shared" si="184"/>
        <v>6.3395111469245231</v>
      </c>
      <c r="CT446" s="59">
        <v>3805</v>
      </c>
      <c r="CU446" s="29" t="s">
        <v>25</v>
      </c>
      <c r="CV446" s="29" t="s">
        <v>25</v>
      </c>
      <c r="CW446" s="29" t="s">
        <v>25</v>
      </c>
      <c r="CX446" s="35">
        <v>0</v>
      </c>
      <c r="CY446" s="49">
        <v>0</v>
      </c>
      <c r="CZ446" s="35">
        <v>1</v>
      </c>
      <c r="DA446" s="35">
        <v>1</v>
      </c>
      <c r="DB446" s="35">
        <v>2</v>
      </c>
      <c r="DC446" s="49">
        <f t="shared" si="185"/>
        <v>1861.5</v>
      </c>
      <c r="DD446" s="30">
        <v>4213</v>
      </c>
      <c r="DE446" s="31">
        <v>39000</v>
      </c>
      <c r="DF446" s="35">
        <v>40</v>
      </c>
      <c r="DG446" s="29" t="s">
        <v>25</v>
      </c>
      <c r="DH446" s="29" t="s">
        <v>26</v>
      </c>
      <c r="DI446" s="29" t="s">
        <v>26</v>
      </c>
      <c r="DJ446" s="47">
        <v>0</v>
      </c>
      <c r="DK446" s="47">
        <v>0</v>
      </c>
      <c r="DL446" s="47">
        <v>12</v>
      </c>
      <c r="DM446" s="47">
        <v>13587</v>
      </c>
      <c r="DN446" s="47">
        <v>3651</v>
      </c>
      <c r="DO446" s="47">
        <v>4785</v>
      </c>
      <c r="DP446" s="29" t="s">
        <v>2028</v>
      </c>
      <c r="DQ446" s="47">
        <v>0</v>
      </c>
      <c r="DR446" s="47">
        <v>1960</v>
      </c>
      <c r="DS446" s="30">
        <v>50</v>
      </c>
      <c r="DT446" s="30">
        <v>38</v>
      </c>
      <c r="DU446" s="30">
        <v>38</v>
      </c>
      <c r="DV446" s="30">
        <v>40</v>
      </c>
      <c r="DX446" s="2">
        <f t="shared" si="186"/>
        <v>1960</v>
      </c>
      <c r="DY446" s="33" t="s">
        <v>2182</v>
      </c>
      <c r="DZ446" s="33" t="s">
        <v>1154</v>
      </c>
      <c r="EA446" s="33" t="s">
        <v>2030</v>
      </c>
      <c r="EB446" s="33" t="s">
        <v>2027</v>
      </c>
      <c r="EC446" s="36">
        <v>341</v>
      </c>
      <c r="ED446" s="29" t="s">
        <v>1153</v>
      </c>
      <c r="EE446" s="29" t="s">
        <v>58</v>
      </c>
      <c r="EF446" s="37">
        <v>41548</v>
      </c>
      <c r="EG446" s="37">
        <v>41912</v>
      </c>
      <c r="EH446" s="29" t="s">
        <v>1153</v>
      </c>
      <c r="EI446" s="55">
        <f t="shared" si="187"/>
        <v>1.0217566478646254</v>
      </c>
      <c r="EJ446" s="54">
        <f t="shared" si="188"/>
        <v>0.10770883695944131</v>
      </c>
      <c r="EK446" s="55">
        <f t="shared" si="189"/>
        <v>2.7523502551705614</v>
      </c>
      <c r="EL446" s="54">
        <f t="shared" si="190"/>
        <v>3.5455278001611606E-2</v>
      </c>
    </row>
    <row r="447" spans="1:142" ht="28.8" x14ac:dyDescent="0.3">
      <c r="A447" s="29" t="s">
        <v>1662</v>
      </c>
      <c r="B447" s="29"/>
      <c r="C447" s="30">
        <v>2258</v>
      </c>
      <c r="D447" s="30">
        <v>0</v>
      </c>
      <c r="E447" s="30">
        <v>0</v>
      </c>
      <c r="F447" s="30">
        <v>4000</v>
      </c>
      <c r="H447" s="2">
        <f t="shared" si="193"/>
        <v>4000</v>
      </c>
      <c r="I447" s="1">
        <f t="shared" si="192"/>
        <v>1.7714791851195748</v>
      </c>
      <c r="J447" s="31">
        <v>599</v>
      </c>
      <c r="K447" s="31">
        <v>0</v>
      </c>
      <c r="L447" s="31">
        <v>599</v>
      </c>
      <c r="M447" s="45">
        <f t="shared" si="167"/>
        <v>0.26527900797165632</v>
      </c>
      <c r="N447" s="31">
        <v>5575</v>
      </c>
      <c r="O447" s="31">
        <v>0</v>
      </c>
      <c r="P447" s="31">
        <v>0</v>
      </c>
      <c r="Q447" s="31">
        <v>5575</v>
      </c>
      <c r="R447" s="45">
        <f t="shared" si="168"/>
        <v>2.4689991142604075</v>
      </c>
      <c r="S447" s="31">
        <v>12308</v>
      </c>
      <c r="T447" s="31">
        <v>18482</v>
      </c>
      <c r="U447" s="31">
        <v>300</v>
      </c>
      <c r="V447" s="31">
        <v>18782</v>
      </c>
      <c r="W447" s="45">
        <f t="shared" si="169"/>
        <v>8.3179805137289637</v>
      </c>
      <c r="X447" s="4">
        <f t="shared" si="170"/>
        <v>3.189223724842935E-2</v>
      </c>
      <c r="Y447" s="4">
        <f t="shared" si="171"/>
        <v>0.29682674901501438</v>
      </c>
      <c r="Z447" s="4">
        <f t="shared" si="172"/>
        <v>0.65530827387924606</v>
      </c>
      <c r="AA447" s="4">
        <f t="shared" si="173"/>
        <v>1.5972739857310191E-2</v>
      </c>
      <c r="AB447" s="31">
        <v>0</v>
      </c>
      <c r="AC447" s="31">
        <v>5575</v>
      </c>
      <c r="AD447" s="31">
        <v>18782</v>
      </c>
      <c r="AE447" s="31">
        <v>11849</v>
      </c>
      <c r="AF447" s="31">
        <v>8549</v>
      </c>
      <c r="AG447" s="31">
        <v>3000</v>
      </c>
      <c r="AH447" s="31">
        <v>0</v>
      </c>
      <c r="AI447" s="31">
        <v>11549</v>
      </c>
      <c r="AJ447" s="45">
        <f t="shared" si="174"/>
        <v>5.1147032772364929</v>
      </c>
      <c r="AK447" s="31">
        <v>0</v>
      </c>
      <c r="AL447" s="31">
        <v>0</v>
      </c>
      <c r="AM447" s="31">
        <v>0</v>
      </c>
      <c r="AN447" s="31">
        <v>0</v>
      </c>
      <c r="AO447" s="31">
        <v>0</v>
      </c>
      <c r="AP447" s="31">
        <v>2055</v>
      </c>
      <c r="AQ447" s="31">
        <v>2055</v>
      </c>
      <c r="AR447" s="31">
        <v>13604</v>
      </c>
      <c r="AS447" s="46">
        <f t="shared" si="175"/>
        <v>6.0248007085916742</v>
      </c>
      <c r="AT447" s="31">
        <v>0</v>
      </c>
      <c r="AU447" s="31">
        <v>0</v>
      </c>
      <c r="AV447" s="31">
        <v>0</v>
      </c>
      <c r="AW447" s="31">
        <v>0</v>
      </c>
      <c r="AX447" s="31">
        <v>0</v>
      </c>
      <c r="AY447" s="31">
        <v>0</v>
      </c>
      <c r="AZ447" s="31">
        <v>0</v>
      </c>
      <c r="BA447" s="31">
        <v>0</v>
      </c>
      <c r="BB447" s="31">
        <v>0</v>
      </c>
      <c r="BC447" s="33" t="s">
        <v>25</v>
      </c>
      <c r="BD447" s="47">
        <v>12155</v>
      </c>
      <c r="BE447" s="47">
        <v>12155</v>
      </c>
      <c r="BF447" s="45">
        <f t="shared" si="176"/>
        <v>5.3830823737821083</v>
      </c>
      <c r="BG447" s="30">
        <v>120</v>
      </c>
      <c r="BH447" s="30">
        <v>120</v>
      </c>
      <c r="BI447" s="30">
        <v>0</v>
      </c>
      <c r="BJ447" s="30">
        <v>149</v>
      </c>
      <c r="BK447" s="30">
        <v>149</v>
      </c>
      <c r="BL447" s="30">
        <v>0</v>
      </c>
      <c r="BM447" s="30">
        <v>0</v>
      </c>
      <c r="BN447" s="30">
        <v>0</v>
      </c>
      <c r="BO447" s="30">
        <v>51</v>
      </c>
      <c r="BP447" s="30">
        <v>0</v>
      </c>
      <c r="BQ447" s="30">
        <v>51</v>
      </c>
      <c r="BR447" s="47">
        <v>12424</v>
      </c>
      <c r="BS447" s="47">
        <v>12424</v>
      </c>
      <c r="BT447" s="1">
        <f t="shared" si="177"/>
        <v>5.5022143489813997</v>
      </c>
      <c r="BU447" s="30">
        <v>3</v>
      </c>
      <c r="BV447" s="30">
        <v>0</v>
      </c>
      <c r="BW447" s="47">
        <v>9</v>
      </c>
      <c r="BX447" s="52">
        <f t="shared" si="178"/>
        <v>3.9858281665190436E-3</v>
      </c>
      <c r="BY447" s="47">
        <v>308</v>
      </c>
      <c r="BZ447" s="47">
        <v>0</v>
      </c>
      <c r="CA447" s="47">
        <v>4102</v>
      </c>
      <c r="CB447" s="47">
        <v>0</v>
      </c>
      <c r="CC447" s="47">
        <v>4410</v>
      </c>
      <c r="CD447" s="55">
        <f t="shared" si="179"/>
        <v>1.9530558015943313</v>
      </c>
      <c r="CE447" s="3">
        <v>0</v>
      </c>
      <c r="CF447" s="55">
        <f t="shared" si="181"/>
        <v>4.6964856230031948</v>
      </c>
      <c r="CG447" s="55">
        <f t="shared" si="182"/>
        <v>1.1235668789808917</v>
      </c>
      <c r="CH447" s="55">
        <f t="shared" si="183"/>
        <v>0.35495814552479071</v>
      </c>
      <c r="CI447" s="30">
        <v>0</v>
      </c>
      <c r="CJ447" s="30">
        <v>0</v>
      </c>
      <c r="CK447" s="30">
        <v>11</v>
      </c>
      <c r="CL447" s="30">
        <v>11</v>
      </c>
      <c r="CM447" s="30">
        <v>0</v>
      </c>
      <c r="CN447" s="30">
        <v>0</v>
      </c>
      <c r="CO447" s="30">
        <v>186</v>
      </c>
      <c r="CP447" s="30">
        <v>186</v>
      </c>
      <c r="CQ447" s="1">
        <f t="shared" si="191"/>
        <v>8.2373782108060234E-2</v>
      </c>
      <c r="CR447" s="47">
        <v>3925</v>
      </c>
      <c r="CS447" s="55">
        <f t="shared" si="184"/>
        <v>1.7382639503985828</v>
      </c>
      <c r="CT447" s="59">
        <v>1810</v>
      </c>
      <c r="CU447" s="29" t="s">
        <v>25</v>
      </c>
      <c r="CV447" s="29" t="s">
        <v>25</v>
      </c>
      <c r="CW447" s="29" t="s">
        <v>25</v>
      </c>
      <c r="CX447" s="35">
        <v>0</v>
      </c>
      <c r="CY447" s="49">
        <v>0</v>
      </c>
      <c r="CZ447" s="35">
        <v>0</v>
      </c>
      <c r="DA447" s="35">
        <v>0</v>
      </c>
      <c r="DB447" s="35">
        <v>0</v>
      </c>
      <c r="DC447" s="49">
        <v>0</v>
      </c>
      <c r="DD447" s="30">
        <v>939</v>
      </c>
      <c r="DE447" s="31">
        <v>0</v>
      </c>
      <c r="DF447" s="35">
        <v>20</v>
      </c>
      <c r="DG447" s="29" t="s">
        <v>25</v>
      </c>
      <c r="DH447" s="29" t="s">
        <v>26</v>
      </c>
      <c r="DI447" s="29" t="s">
        <v>26</v>
      </c>
      <c r="DJ447" s="47">
        <v>0</v>
      </c>
      <c r="DK447" s="47">
        <v>1</v>
      </c>
      <c r="DL447" s="47">
        <v>16</v>
      </c>
      <c r="DM447" s="47">
        <v>1033</v>
      </c>
      <c r="DN447" s="47">
        <v>2</v>
      </c>
      <c r="DO447" s="47">
        <v>26</v>
      </c>
      <c r="DP447" s="29" t="s">
        <v>2028</v>
      </c>
      <c r="DQ447" s="47">
        <v>0</v>
      </c>
      <c r="DR447" s="47">
        <v>939</v>
      </c>
      <c r="DS447" s="30">
        <v>51</v>
      </c>
      <c r="DT447" s="30">
        <v>20</v>
      </c>
      <c r="DU447" s="30">
        <v>20</v>
      </c>
      <c r="DV447" s="30">
        <v>20</v>
      </c>
      <c r="DX447" s="2">
        <f t="shared" si="186"/>
        <v>939</v>
      </c>
      <c r="DY447" s="33" t="s">
        <v>2187</v>
      </c>
      <c r="DZ447" s="33" t="s">
        <v>1664</v>
      </c>
      <c r="EA447" s="33" t="s">
        <v>2030</v>
      </c>
      <c r="EB447" s="33" t="s">
        <v>2027</v>
      </c>
      <c r="EC447" s="36">
        <v>565</v>
      </c>
      <c r="ED447" s="29" t="s">
        <v>1663</v>
      </c>
      <c r="EE447" s="29" t="s">
        <v>1294</v>
      </c>
      <c r="EF447" s="37">
        <v>41548</v>
      </c>
      <c r="EG447" s="37">
        <v>41912</v>
      </c>
      <c r="EH447" s="29" t="s">
        <v>1663</v>
      </c>
      <c r="EI447" s="55">
        <f t="shared" si="187"/>
        <v>0.13640389725420726</v>
      </c>
      <c r="EJ447" s="54">
        <f t="shared" si="188"/>
        <v>0</v>
      </c>
      <c r="EK447" s="55">
        <f t="shared" si="189"/>
        <v>1.8166519043401239</v>
      </c>
      <c r="EL447" s="54">
        <f t="shared" si="190"/>
        <v>0</v>
      </c>
    </row>
    <row r="448" spans="1:142" ht="28.8" x14ac:dyDescent="0.3">
      <c r="A448" s="29" t="s">
        <v>1417</v>
      </c>
      <c r="B448" s="29"/>
      <c r="C448" s="30">
        <v>22026</v>
      </c>
      <c r="D448" s="30">
        <v>0</v>
      </c>
      <c r="E448" s="30">
        <v>0</v>
      </c>
      <c r="F448" s="30">
        <v>10000</v>
      </c>
      <c r="H448" s="2">
        <f t="shared" si="193"/>
        <v>10000</v>
      </c>
      <c r="I448" s="1">
        <f t="shared" si="192"/>
        <v>0.45400889857441207</v>
      </c>
      <c r="J448" s="31">
        <v>167194</v>
      </c>
      <c r="K448" s="31">
        <v>35851</v>
      </c>
      <c r="L448" s="31">
        <v>203045</v>
      </c>
      <c r="M448" s="45">
        <f t="shared" si="167"/>
        <v>9.2184236811041504</v>
      </c>
      <c r="N448" s="31">
        <v>42567</v>
      </c>
      <c r="O448" s="31">
        <v>16182</v>
      </c>
      <c r="P448" s="31">
        <v>0</v>
      </c>
      <c r="Q448" s="31">
        <v>58749</v>
      </c>
      <c r="R448" s="45">
        <f t="shared" si="168"/>
        <v>2.6672568782348134</v>
      </c>
      <c r="S448" s="31">
        <v>58603</v>
      </c>
      <c r="T448" s="31">
        <v>320397</v>
      </c>
      <c r="U448" s="31">
        <v>0</v>
      </c>
      <c r="V448" s="31">
        <v>320397</v>
      </c>
      <c r="W448" s="45">
        <f t="shared" si="169"/>
        <v>14.54630890765459</v>
      </c>
      <c r="X448" s="4">
        <f t="shared" si="170"/>
        <v>0.63372940445759485</v>
      </c>
      <c r="Y448" s="4">
        <f t="shared" si="171"/>
        <v>0.1833631401043081</v>
      </c>
      <c r="Z448" s="4">
        <f t="shared" si="172"/>
        <v>0.18290745543809711</v>
      </c>
      <c r="AA448" s="4">
        <f t="shared" si="173"/>
        <v>0</v>
      </c>
      <c r="AB448" s="31">
        <v>0</v>
      </c>
      <c r="AC448" s="31">
        <v>44765</v>
      </c>
      <c r="AD448" s="31">
        <v>302088</v>
      </c>
      <c r="AE448" s="31">
        <v>294966</v>
      </c>
      <c r="AF448" s="31">
        <v>294966</v>
      </c>
      <c r="AG448" s="31">
        <v>0</v>
      </c>
      <c r="AH448" s="31">
        <v>0</v>
      </c>
      <c r="AI448" s="31">
        <v>294966</v>
      </c>
      <c r="AJ448" s="45">
        <f t="shared" si="174"/>
        <v>13.391718877690003</v>
      </c>
      <c r="AK448" s="31">
        <v>0</v>
      </c>
      <c r="AL448" s="31">
        <v>0</v>
      </c>
      <c r="AM448" s="31">
        <v>0</v>
      </c>
      <c r="AN448" s="31">
        <v>0</v>
      </c>
      <c r="AO448" s="31">
        <v>25999</v>
      </c>
      <c r="AP448" s="31">
        <v>6152</v>
      </c>
      <c r="AQ448" s="31">
        <v>32151</v>
      </c>
      <c r="AR448" s="31">
        <v>327117</v>
      </c>
      <c r="AS448" s="46">
        <f t="shared" si="175"/>
        <v>14.851402887496596</v>
      </c>
      <c r="AT448" s="31">
        <v>0</v>
      </c>
      <c r="AU448" s="31">
        <v>0</v>
      </c>
      <c r="AV448" s="31">
        <v>0</v>
      </c>
      <c r="AW448" s="31">
        <v>0</v>
      </c>
      <c r="AX448" s="31">
        <v>0</v>
      </c>
      <c r="AY448" s="31">
        <v>0</v>
      </c>
      <c r="AZ448" s="31">
        <v>0</v>
      </c>
      <c r="BA448" s="31">
        <v>0</v>
      </c>
      <c r="BB448" s="31">
        <v>0</v>
      </c>
      <c r="BC448" s="33" t="s">
        <v>25</v>
      </c>
      <c r="BD448" s="47">
        <v>40541</v>
      </c>
      <c r="BE448" s="47">
        <v>43246</v>
      </c>
      <c r="BF448" s="45">
        <f t="shared" si="176"/>
        <v>1.9634068827749025</v>
      </c>
      <c r="BG448" s="30">
        <v>1106</v>
      </c>
      <c r="BH448" s="30">
        <v>1106</v>
      </c>
      <c r="BI448" s="30">
        <v>0</v>
      </c>
      <c r="BJ448" s="30">
        <v>5374</v>
      </c>
      <c r="BK448" s="30">
        <v>5374</v>
      </c>
      <c r="BL448" s="30">
        <v>0</v>
      </c>
      <c r="BM448" s="30">
        <v>1035</v>
      </c>
      <c r="BN448" s="30">
        <v>0</v>
      </c>
      <c r="BO448" s="30">
        <v>51</v>
      </c>
      <c r="BP448" s="30">
        <v>0</v>
      </c>
      <c r="BQ448" s="30">
        <v>51</v>
      </c>
      <c r="BR448" s="47">
        <v>47021</v>
      </c>
      <c r="BS448" s="47">
        <v>50761</v>
      </c>
      <c r="BT448" s="1">
        <f t="shared" si="177"/>
        <v>2.304594570053573</v>
      </c>
      <c r="BU448" s="30">
        <v>32</v>
      </c>
      <c r="BV448" s="30">
        <v>0</v>
      </c>
      <c r="BW448" s="47">
        <v>4675</v>
      </c>
      <c r="BX448" s="52">
        <f t="shared" si="178"/>
        <v>0.21224916008353764</v>
      </c>
      <c r="BY448" s="47">
        <v>53277</v>
      </c>
      <c r="BZ448" s="47">
        <v>384</v>
      </c>
      <c r="CA448" s="47">
        <v>45507</v>
      </c>
      <c r="CB448" s="47">
        <v>1869</v>
      </c>
      <c r="CC448" s="47">
        <v>101037</v>
      </c>
      <c r="CD448" s="55">
        <f t="shared" si="179"/>
        <v>4.5871697085262868</v>
      </c>
      <c r="CE448" s="3">
        <f t="shared" si="180"/>
        <v>22452.666666666668</v>
      </c>
      <c r="CF448" s="55">
        <f t="shared" si="181"/>
        <v>44.19816272965879</v>
      </c>
      <c r="CG448" s="55">
        <f t="shared" si="182"/>
        <v>2.5240319760179863</v>
      </c>
      <c r="CH448" s="55">
        <f t="shared" si="183"/>
        <v>1.946060952305904</v>
      </c>
      <c r="CI448" s="30">
        <v>75</v>
      </c>
      <c r="CJ448" s="30">
        <v>16</v>
      </c>
      <c r="CK448" s="30">
        <v>19</v>
      </c>
      <c r="CL448" s="30">
        <v>110</v>
      </c>
      <c r="CM448" s="30">
        <v>5417</v>
      </c>
      <c r="CN448" s="30">
        <v>198</v>
      </c>
      <c r="CO448" s="30">
        <v>148</v>
      </c>
      <c r="CP448" s="30">
        <v>5763</v>
      </c>
      <c r="CQ448" s="1">
        <f t="shared" si="191"/>
        <v>0.26164532824843367</v>
      </c>
      <c r="CR448" s="47">
        <v>40030</v>
      </c>
      <c r="CS448" s="55">
        <f t="shared" si="184"/>
        <v>1.8173976209933715</v>
      </c>
      <c r="CT448" s="59">
        <v>10852</v>
      </c>
      <c r="CU448" s="29" t="s">
        <v>25</v>
      </c>
      <c r="CV448" s="29" t="s">
        <v>25</v>
      </c>
      <c r="CW448" s="29" t="s">
        <v>25</v>
      </c>
      <c r="CX448" s="35">
        <v>2</v>
      </c>
      <c r="CY448" s="49">
        <f>C448/CX448</f>
        <v>11013</v>
      </c>
      <c r="CZ448" s="35">
        <v>0</v>
      </c>
      <c r="DA448" s="35">
        <v>2.5</v>
      </c>
      <c r="DB448" s="35">
        <v>4.5</v>
      </c>
      <c r="DC448" s="49">
        <f t="shared" si="185"/>
        <v>4894.666666666667</v>
      </c>
      <c r="DD448" s="30">
        <v>1078</v>
      </c>
      <c r="DE448" s="31">
        <v>60343</v>
      </c>
      <c r="DF448" s="35">
        <v>40</v>
      </c>
      <c r="DG448" s="29" t="s">
        <v>25</v>
      </c>
      <c r="DH448" s="29" t="s">
        <v>25</v>
      </c>
      <c r="DI448" s="29" t="s">
        <v>25</v>
      </c>
      <c r="DJ448" s="47">
        <v>306</v>
      </c>
      <c r="DK448" s="47">
        <v>0</v>
      </c>
      <c r="DL448" s="47">
        <v>9</v>
      </c>
      <c r="DM448" s="47">
        <v>7435</v>
      </c>
      <c r="DN448" s="47">
        <v>1000</v>
      </c>
      <c r="DO448" s="47">
        <v>7435</v>
      </c>
      <c r="DP448" s="29" t="s">
        <v>25</v>
      </c>
      <c r="DQ448" s="47">
        <v>17112</v>
      </c>
      <c r="DR448" s="47">
        <v>2286</v>
      </c>
      <c r="DS448" s="30">
        <v>52</v>
      </c>
      <c r="DT448" s="30">
        <v>44</v>
      </c>
      <c r="DU448" s="30">
        <v>44</v>
      </c>
      <c r="DV448" s="30">
        <v>44</v>
      </c>
      <c r="DX448" s="2">
        <f t="shared" si="186"/>
        <v>2286</v>
      </c>
      <c r="DY448" s="33" t="s">
        <v>2182</v>
      </c>
      <c r="DZ448" s="33" t="s">
        <v>1419</v>
      </c>
      <c r="EA448" s="33" t="s">
        <v>2030</v>
      </c>
      <c r="EB448" s="33" t="s">
        <v>2027</v>
      </c>
      <c r="EC448" s="36">
        <v>444</v>
      </c>
      <c r="ED448" s="29" t="s">
        <v>1418</v>
      </c>
      <c r="EE448" s="29" t="s">
        <v>269</v>
      </c>
      <c r="EF448" s="37">
        <v>41548</v>
      </c>
      <c r="EG448" s="37">
        <v>41912</v>
      </c>
      <c r="EH448" s="29" t="s">
        <v>1418</v>
      </c>
      <c r="EI448" s="55">
        <f t="shared" si="187"/>
        <v>2.4188232089348953</v>
      </c>
      <c r="EJ448" s="54">
        <f t="shared" si="188"/>
        <v>1.7433941705257423E-2</v>
      </c>
      <c r="EK448" s="55">
        <f t="shared" si="189"/>
        <v>2.066058294742577</v>
      </c>
      <c r="EL448" s="54">
        <f t="shared" si="190"/>
        <v>8.4854263143557609E-2</v>
      </c>
    </row>
    <row r="449" spans="1:142" ht="28.8" x14ac:dyDescent="0.3">
      <c r="A449" s="29" t="s">
        <v>1155</v>
      </c>
      <c r="B449" s="29"/>
      <c r="C449" s="30">
        <v>21257</v>
      </c>
      <c r="D449" s="30">
        <v>0</v>
      </c>
      <c r="E449" s="30">
        <v>0</v>
      </c>
      <c r="F449" s="30">
        <v>11534</v>
      </c>
      <c r="H449" s="2">
        <f t="shared" si="193"/>
        <v>11534</v>
      </c>
      <c r="I449" s="1">
        <f t="shared" si="192"/>
        <v>0.54259773251164323</v>
      </c>
      <c r="J449" s="31">
        <v>300600</v>
      </c>
      <c r="K449" s="31">
        <v>111311</v>
      </c>
      <c r="L449" s="31">
        <v>411911</v>
      </c>
      <c r="M449" s="45">
        <f t="shared" si="167"/>
        <v>19.377663828385945</v>
      </c>
      <c r="N449" s="31">
        <v>35134</v>
      </c>
      <c r="O449" s="31">
        <v>11785</v>
      </c>
      <c r="P449" s="31">
        <v>7865</v>
      </c>
      <c r="Q449" s="31">
        <v>54784</v>
      </c>
      <c r="R449" s="45">
        <f t="shared" si="168"/>
        <v>2.5772216211130452</v>
      </c>
      <c r="S449" s="31">
        <v>65877</v>
      </c>
      <c r="T449" s="31">
        <v>532572</v>
      </c>
      <c r="U449" s="31">
        <v>0</v>
      </c>
      <c r="V449" s="31">
        <v>532572</v>
      </c>
      <c r="W449" s="45">
        <f t="shared" si="169"/>
        <v>25.053958695958979</v>
      </c>
      <c r="X449" s="4">
        <f t="shared" si="170"/>
        <v>0.77343720661243931</v>
      </c>
      <c r="Y449" s="4">
        <f t="shared" si="171"/>
        <v>0.10286684241755105</v>
      </c>
      <c r="Z449" s="4">
        <f t="shared" si="172"/>
        <v>0.12369595097000968</v>
      </c>
      <c r="AA449" s="4">
        <f t="shared" si="173"/>
        <v>0</v>
      </c>
      <c r="AB449" s="31">
        <v>0</v>
      </c>
      <c r="AC449" s="31">
        <v>54784</v>
      </c>
      <c r="AD449" s="31">
        <v>532572</v>
      </c>
      <c r="AE449" s="31">
        <v>496478</v>
      </c>
      <c r="AF449" s="31">
        <v>496478</v>
      </c>
      <c r="AG449" s="31">
        <v>0</v>
      </c>
      <c r="AH449" s="31">
        <v>0</v>
      </c>
      <c r="AI449" s="31">
        <v>496478</v>
      </c>
      <c r="AJ449" s="45">
        <f t="shared" si="174"/>
        <v>23.355976854683163</v>
      </c>
      <c r="AK449" s="31">
        <v>0</v>
      </c>
      <c r="AL449" s="31">
        <v>0</v>
      </c>
      <c r="AM449" s="31">
        <v>0</v>
      </c>
      <c r="AN449" s="31">
        <v>0</v>
      </c>
      <c r="AO449" s="31">
        <v>5000</v>
      </c>
      <c r="AP449" s="31">
        <v>120909</v>
      </c>
      <c r="AQ449" s="31">
        <v>125909</v>
      </c>
      <c r="AR449" s="31">
        <v>622387</v>
      </c>
      <c r="AS449" s="46">
        <f t="shared" si="175"/>
        <v>29.279155101848804</v>
      </c>
      <c r="AT449" s="31">
        <v>0</v>
      </c>
      <c r="AU449" s="31">
        <v>0</v>
      </c>
      <c r="AV449" s="31">
        <v>0</v>
      </c>
      <c r="AW449" s="31">
        <v>0</v>
      </c>
      <c r="AX449" s="31">
        <v>0</v>
      </c>
      <c r="AY449" s="31">
        <v>0</v>
      </c>
      <c r="AZ449" s="31">
        <v>0</v>
      </c>
      <c r="BA449" s="31">
        <v>0</v>
      </c>
      <c r="BB449" s="31">
        <v>0</v>
      </c>
      <c r="BC449" s="33" t="s">
        <v>25</v>
      </c>
      <c r="BD449" s="47">
        <v>47460</v>
      </c>
      <c r="BE449" s="47">
        <v>52021</v>
      </c>
      <c r="BF449" s="45">
        <f t="shared" si="176"/>
        <v>2.4472409088770757</v>
      </c>
      <c r="BG449" s="30">
        <v>1870</v>
      </c>
      <c r="BH449" s="30">
        <v>2452</v>
      </c>
      <c r="BI449" s="30">
        <v>4747</v>
      </c>
      <c r="BJ449" s="30">
        <v>3114</v>
      </c>
      <c r="BK449" s="30">
        <v>3250</v>
      </c>
      <c r="BL449" s="30">
        <v>0</v>
      </c>
      <c r="BM449" s="30">
        <v>9167</v>
      </c>
      <c r="BN449" s="30">
        <v>9</v>
      </c>
      <c r="BO449" s="30">
        <v>51</v>
      </c>
      <c r="BP449" s="30">
        <v>0</v>
      </c>
      <c r="BQ449" s="30">
        <v>60</v>
      </c>
      <c r="BR449" s="47">
        <v>52444</v>
      </c>
      <c r="BS449" s="47">
        <v>71646</v>
      </c>
      <c r="BT449" s="1">
        <f t="shared" si="177"/>
        <v>3.3704661993696194</v>
      </c>
      <c r="BU449" s="30">
        <v>38</v>
      </c>
      <c r="BV449" s="30">
        <v>84</v>
      </c>
      <c r="BW449" s="47">
        <v>15834</v>
      </c>
      <c r="BX449" s="52">
        <f t="shared" si="178"/>
        <v>0.74488403819918148</v>
      </c>
      <c r="BY449" s="47">
        <v>42812</v>
      </c>
      <c r="BZ449" s="47">
        <v>0</v>
      </c>
      <c r="CA449" s="47">
        <v>41989</v>
      </c>
      <c r="CB449" s="47">
        <v>4149</v>
      </c>
      <c r="CC449" s="47">
        <v>88950</v>
      </c>
      <c r="CD449" s="55">
        <f t="shared" si="179"/>
        <v>4.1845039281177963</v>
      </c>
      <c r="CE449" s="3">
        <f t="shared" si="180"/>
        <v>9774.7252747252751</v>
      </c>
      <c r="CF449" s="55">
        <f t="shared" si="181"/>
        <v>35.466507177033492</v>
      </c>
      <c r="CG449" s="55">
        <f t="shared" si="182"/>
        <v>0.65380374862183022</v>
      </c>
      <c r="CH449" s="55">
        <f t="shared" si="183"/>
        <v>1.1836110878485888</v>
      </c>
      <c r="CI449" s="30">
        <v>207</v>
      </c>
      <c r="CJ449" s="30">
        <v>67</v>
      </c>
      <c r="CK449" s="30">
        <v>635</v>
      </c>
      <c r="CL449" s="30">
        <v>909</v>
      </c>
      <c r="CM449" s="30">
        <v>26812</v>
      </c>
      <c r="CN449" s="30">
        <v>924</v>
      </c>
      <c r="CO449" s="30">
        <v>18410</v>
      </c>
      <c r="CP449" s="30">
        <v>46146</v>
      </c>
      <c r="CQ449" s="1">
        <f t="shared" si="191"/>
        <v>2.1708613633156135</v>
      </c>
      <c r="CR449" s="47">
        <v>136050</v>
      </c>
      <c r="CS449" s="55">
        <f t="shared" si="184"/>
        <v>6.4002446252999015</v>
      </c>
      <c r="CT449" s="59">
        <v>8248</v>
      </c>
      <c r="CU449" s="29" t="s">
        <v>25</v>
      </c>
      <c r="CV449" s="29" t="s">
        <v>25</v>
      </c>
      <c r="CW449" s="29" t="s">
        <v>25</v>
      </c>
      <c r="CX449" s="35">
        <v>1</v>
      </c>
      <c r="CY449" s="49">
        <f>C449/CX449</f>
        <v>21257</v>
      </c>
      <c r="CZ449" s="35">
        <v>5.4249999999999998</v>
      </c>
      <c r="DA449" s="35">
        <v>2.6749999999999998</v>
      </c>
      <c r="DB449" s="35">
        <v>9.1</v>
      </c>
      <c r="DC449" s="49">
        <f t="shared" si="185"/>
        <v>2335.934065934066</v>
      </c>
      <c r="DD449" s="30">
        <v>172</v>
      </c>
      <c r="DE449" s="31">
        <v>71231</v>
      </c>
      <c r="DF449" s="35">
        <v>40</v>
      </c>
      <c r="DG449" s="29" t="s">
        <v>25</v>
      </c>
      <c r="DH449" s="29" t="s">
        <v>25</v>
      </c>
      <c r="DI449" s="29" t="s">
        <v>25</v>
      </c>
      <c r="DJ449" s="47">
        <v>1263</v>
      </c>
      <c r="DK449" s="47">
        <v>1987</v>
      </c>
      <c r="DL449" s="47">
        <v>36</v>
      </c>
      <c r="DM449" s="47">
        <v>17031</v>
      </c>
      <c r="DN449" s="47">
        <v>983</v>
      </c>
      <c r="DO449" s="47">
        <v>4543</v>
      </c>
      <c r="DP449" s="29" t="s">
        <v>25</v>
      </c>
      <c r="DQ449" s="47">
        <v>38046</v>
      </c>
      <c r="DR449" s="47">
        <v>2508</v>
      </c>
      <c r="DS449" s="30">
        <v>52</v>
      </c>
      <c r="DT449" s="30">
        <v>49</v>
      </c>
      <c r="DU449" s="30">
        <v>49</v>
      </c>
      <c r="DV449" s="30">
        <v>49</v>
      </c>
      <c r="DX449" s="2">
        <f t="shared" si="186"/>
        <v>2508</v>
      </c>
      <c r="DY449" s="33" t="s">
        <v>2181</v>
      </c>
      <c r="DZ449" s="33" t="s">
        <v>1157</v>
      </c>
      <c r="EA449" s="33" t="s">
        <v>2030</v>
      </c>
      <c r="EB449" s="33" t="s">
        <v>2027</v>
      </c>
      <c r="EC449" s="36">
        <v>342</v>
      </c>
      <c r="ED449" s="29" t="s">
        <v>1156</v>
      </c>
      <c r="EE449" s="29" t="s">
        <v>91</v>
      </c>
      <c r="EF449" s="37">
        <v>41548</v>
      </c>
      <c r="EG449" s="37">
        <v>41912</v>
      </c>
      <c r="EH449" s="29" t="s">
        <v>1156</v>
      </c>
      <c r="EI449" s="55">
        <f t="shared" si="187"/>
        <v>2.0140189114174154</v>
      </c>
      <c r="EJ449" s="54">
        <f t="shared" si="188"/>
        <v>0</v>
      </c>
      <c r="EK449" s="55">
        <f t="shared" si="189"/>
        <v>1.9753022533753588</v>
      </c>
      <c r="EL449" s="54">
        <f t="shared" si="190"/>
        <v>0.19518276332502235</v>
      </c>
    </row>
    <row r="450" spans="1:142" ht="28.8" x14ac:dyDescent="0.3">
      <c r="A450" s="29" t="s">
        <v>2063</v>
      </c>
      <c r="B450" s="29"/>
      <c r="C450" s="30">
        <v>1026</v>
      </c>
      <c r="D450" s="30">
        <v>0</v>
      </c>
      <c r="E450" s="30">
        <v>0</v>
      </c>
      <c r="F450" s="30">
        <v>2500</v>
      </c>
      <c r="H450" s="2">
        <f t="shared" si="193"/>
        <v>2500</v>
      </c>
      <c r="I450" s="1">
        <f t="shared" si="192"/>
        <v>2.4366471734892787</v>
      </c>
      <c r="J450" s="31">
        <v>5778</v>
      </c>
      <c r="K450" s="31">
        <v>606</v>
      </c>
      <c r="L450" s="31">
        <v>6384</v>
      </c>
      <c r="M450" s="45">
        <f t="shared" si="167"/>
        <v>6.2222222222222223</v>
      </c>
      <c r="N450" s="31">
        <v>1000</v>
      </c>
      <c r="O450" s="31">
        <v>625</v>
      </c>
      <c r="P450" s="31">
        <v>800</v>
      </c>
      <c r="Q450" s="31">
        <v>2425</v>
      </c>
      <c r="R450" s="45">
        <f t="shared" si="168"/>
        <v>2.3635477582846005</v>
      </c>
      <c r="S450" s="31">
        <v>6972</v>
      </c>
      <c r="T450" s="31">
        <v>15781</v>
      </c>
      <c r="U450" s="31">
        <v>0</v>
      </c>
      <c r="V450" s="31">
        <v>15781</v>
      </c>
      <c r="W450" s="45">
        <f t="shared" si="169"/>
        <v>15.381091617933723</v>
      </c>
      <c r="X450" s="4">
        <f t="shared" si="170"/>
        <v>0.40453710157784678</v>
      </c>
      <c r="Y450" s="4">
        <f t="shared" si="171"/>
        <v>0.15366580064634688</v>
      </c>
      <c r="Z450" s="4">
        <f t="shared" si="172"/>
        <v>0.44179709777580634</v>
      </c>
      <c r="AA450" s="4">
        <f t="shared" si="173"/>
        <v>0</v>
      </c>
      <c r="AB450" s="31">
        <v>0</v>
      </c>
      <c r="AC450" s="31">
        <v>2425</v>
      </c>
      <c r="AD450" s="31">
        <v>14981</v>
      </c>
      <c r="AE450" s="31">
        <v>9000</v>
      </c>
      <c r="AF450" s="31">
        <v>9000</v>
      </c>
      <c r="AG450" s="31">
        <v>0</v>
      </c>
      <c r="AH450" s="31">
        <v>0</v>
      </c>
      <c r="AI450" s="31">
        <v>9000</v>
      </c>
      <c r="AJ450" s="45">
        <f t="shared" si="174"/>
        <v>8.7719298245614041</v>
      </c>
      <c r="AK450" s="31">
        <v>0</v>
      </c>
      <c r="AL450" s="31">
        <v>0</v>
      </c>
      <c r="AM450" s="31">
        <v>0</v>
      </c>
      <c r="AN450" s="31">
        <v>0</v>
      </c>
      <c r="AO450" s="31">
        <v>0</v>
      </c>
      <c r="AP450" s="31">
        <v>10144</v>
      </c>
      <c r="AQ450" s="31">
        <v>10144</v>
      </c>
      <c r="AR450" s="31">
        <v>19144</v>
      </c>
      <c r="AS450" s="46">
        <f t="shared" si="175"/>
        <v>18.658869395711502</v>
      </c>
      <c r="AT450" s="31">
        <v>0</v>
      </c>
      <c r="AU450" s="31">
        <v>0</v>
      </c>
      <c r="AV450" s="31">
        <v>0</v>
      </c>
      <c r="AW450" s="31">
        <v>0</v>
      </c>
      <c r="AX450" s="31">
        <v>0</v>
      </c>
      <c r="AY450" s="31">
        <v>0</v>
      </c>
      <c r="AZ450" s="31">
        <v>0</v>
      </c>
      <c r="BA450" s="31">
        <v>0</v>
      </c>
      <c r="BB450" s="31">
        <v>0</v>
      </c>
      <c r="BC450" s="33" t="s">
        <v>25</v>
      </c>
      <c r="BD450" s="47">
        <v>12766</v>
      </c>
      <c r="BE450" s="47">
        <v>12786</v>
      </c>
      <c r="BF450" s="45">
        <f t="shared" si="176"/>
        <v>12.461988304093568</v>
      </c>
      <c r="BG450" s="30">
        <v>104</v>
      </c>
      <c r="BH450" s="30">
        <v>106</v>
      </c>
      <c r="BI450" s="30">
        <v>0</v>
      </c>
      <c r="BJ450" s="30">
        <v>1327</v>
      </c>
      <c r="BK450" s="30">
        <v>0</v>
      </c>
      <c r="BL450" s="30">
        <v>0</v>
      </c>
      <c r="BM450" s="30">
        <v>430</v>
      </c>
      <c r="BN450" s="30">
        <v>1</v>
      </c>
      <c r="BO450" s="30">
        <v>0</v>
      </c>
      <c r="BP450" s="30">
        <v>0</v>
      </c>
      <c r="BQ450" s="30">
        <v>1</v>
      </c>
      <c r="BR450" s="47">
        <v>14197</v>
      </c>
      <c r="BS450" s="47">
        <v>13323</v>
      </c>
      <c r="BT450" s="1">
        <f t="shared" si="177"/>
        <v>12.985380116959064</v>
      </c>
      <c r="BU450" s="30">
        <v>0</v>
      </c>
      <c r="BV450" s="30">
        <v>0</v>
      </c>
      <c r="BW450" s="47">
        <v>510</v>
      </c>
      <c r="BX450" s="52">
        <f t="shared" si="178"/>
        <v>0.49707602339181284</v>
      </c>
      <c r="BY450" s="47">
        <v>442</v>
      </c>
      <c r="BZ450" s="47">
        <v>31</v>
      </c>
      <c r="CA450" s="47">
        <v>2294</v>
      </c>
      <c r="CB450" s="47">
        <v>352</v>
      </c>
      <c r="CC450" s="47">
        <v>3119</v>
      </c>
      <c r="CD450" s="55">
        <f t="shared" si="179"/>
        <v>3.039961013645224</v>
      </c>
      <c r="CE450" s="3">
        <f t="shared" si="180"/>
        <v>3119</v>
      </c>
      <c r="CF450" s="55">
        <f t="shared" si="181"/>
        <v>2.2650689905591865</v>
      </c>
      <c r="CG450" s="55">
        <f t="shared" si="182"/>
        <v>2.4462745098039216</v>
      </c>
      <c r="CH450" s="55">
        <f t="shared" si="183"/>
        <v>0.20535915334384147</v>
      </c>
      <c r="CI450" s="30">
        <v>6</v>
      </c>
      <c r="CJ450" s="30">
        <v>6</v>
      </c>
      <c r="CK450" s="30">
        <v>4</v>
      </c>
      <c r="CL450" s="30">
        <v>16</v>
      </c>
      <c r="CM450" s="30">
        <v>68</v>
      </c>
      <c r="CN450" s="30">
        <v>35</v>
      </c>
      <c r="CO450" s="30">
        <v>143</v>
      </c>
      <c r="CP450" s="30">
        <v>246</v>
      </c>
      <c r="CQ450" s="1">
        <f t="shared" si="191"/>
        <v>0.23976608187134502</v>
      </c>
      <c r="CR450" s="47">
        <v>1275</v>
      </c>
      <c r="CS450" s="55">
        <f t="shared" si="184"/>
        <v>1.2426900584795322</v>
      </c>
      <c r="CT450" s="59">
        <v>809</v>
      </c>
      <c r="CU450" s="29" t="s">
        <v>25</v>
      </c>
      <c r="CV450" s="29" t="s">
        <v>25</v>
      </c>
      <c r="CW450" s="29" t="s">
        <v>25</v>
      </c>
      <c r="CX450" s="35">
        <v>0</v>
      </c>
      <c r="CY450" s="49">
        <v>0</v>
      </c>
      <c r="CZ450" s="35">
        <v>0.5</v>
      </c>
      <c r="DA450" s="35">
        <v>0.5</v>
      </c>
      <c r="DB450" s="35">
        <v>1</v>
      </c>
      <c r="DC450" s="49">
        <f t="shared" si="185"/>
        <v>1026</v>
      </c>
      <c r="DD450" s="30">
        <v>2040</v>
      </c>
      <c r="DE450" s="31">
        <v>7395</v>
      </c>
      <c r="DF450" s="35">
        <v>20</v>
      </c>
      <c r="DG450" s="29" t="s">
        <v>25</v>
      </c>
      <c r="DH450" s="29" t="s">
        <v>25</v>
      </c>
      <c r="DI450" s="29" t="s">
        <v>25</v>
      </c>
      <c r="DJ450" s="47">
        <v>32</v>
      </c>
      <c r="DK450" s="47">
        <v>23</v>
      </c>
      <c r="DL450" s="47">
        <v>5</v>
      </c>
      <c r="DM450" s="47">
        <v>978</v>
      </c>
      <c r="DN450" s="47">
        <v>67</v>
      </c>
      <c r="DO450" s="47">
        <v>0</v>
      </c>
      <c r="DP450" s="29" t="s">
        <v>2028</v>
      </c>
      <c r="DQ450" s="47">
        <v>0</v>
      </c>
      <c r="DR450" s="47">
        <v>1377</v>
      </c>
      <c r="DS450" s="30">
        <v>51</v>
      </c>
      <c r="DT450" s="30">
        <v>26</v>
      </c>
      <c r="DU450" s="30">
        <v>26</v>
      </c>
      <c r="DV450" s="30">
        <v>26</v>
      </c>
      <c r="DX450" s="2">
        <f t="shared" si="186"/>
        <v>1377</v>
      </c>
      <c r="DY450" s="33" t="s">
        <v>2181</v>
      </c>
      <c r="DZ450" s="33" t="s">
        <v>2191</v>
      </c>
      <c r="EA450" s="33" t="s">
        <v>2032</v>
      </c>
      <c r="EB450" s="33" t="s">
        <v>2026</v>
      </c>
      <c r="EC450" s="36">
        <v>637</v>
      </c>
      <c r="ED450" s="29" t="s">
        <v>2202</v>
      </c>
      <c r="EE450" s="29" t="s">
        <v>188</v>
      </c>
      <c r="EF450" s="37">
        <v>41548</v>
      </c>
      <c r="EG450" s="37">
        <v>41912</v>
      </c>
      <c r="EH450" s="29" t="s">
        <v>2202</v>
      </c>
      <c r="EI450" s="55">
        <f t="shared" si="187"/>
        <v>0.43079922027290446</v>
      </c>
      <c r="EJ450" s="54">
        <f t="shared" si="188"/>
        <v>3.0214424951267055E-2</v>
      </c>
      <c r="EK450" s="55">
        <f t="shared" si="189"/>
        <v>2.2358674463937622</v>
      </c>
      <c r="EL450" s="54">
        <f t="shared" si="190"/>
        <v>0.34307992202729043</v>
      </c>
    </row>
    <row r="451" spans="1:142" ht="28.8" x14ac:dyDescent="0.3">
      <c r="A451" s="29" t="s">
        <v>1517</v>
      </c>
      <c r="B451" s="29"/>
      <c r="C451" s="30">
        <v>7659</v>
      </c>
      <c r="D451" s="30">
        <v>0</v>
      </c>
      <c r="E451" s="30">
        <v>0</v>
      </c>
      <c r="F451" s="30">
        <v>7200</v>
      </c>
      <c r="H451" s="2">
        <f t="shared" si="193"/>
        <v>7200</v>
      </c>
      <c r="I451" s="1">
        <f t="shared" si="192"/>
        <v>0.9400705052878966</v>
      </c>
      <c r="J451" s="31">
        <v>146119</v>
      </c>
      <c r="K451" s="31">
        <v>2251</v>
      </c>
      <c r="L451" s="31">
        <v>148370</v>
      </c>
      <c r="M451" s="45">
        <f t="shared" si="167"/>
        <v>19.371980676328501</v>
      </c>
      <c r="N451" s="31">
        <v>19603</v>
      </c>
      <c r="O451" s="31">
        <v>4297</v>
      </c>
      <c r="P451" s="31">
        <v>6206</v>
      </c>
      <c r="Q451" s="31">
        <v>30106</v>
      </c>
      <c r="R451" s="45">
        <f t="shared" si="168"/>
        <v>3.9308003655829742</v>
      </c>
      <c r="S451" s="31">
        <v>65599</v>
      </c>
      <c r="T451" s="31">
        <v>244075</v>
      </c>
      <c r="U451" s="31">
        <v>0</v>
      </c>
      <c r="V451" s="31">
        <v>244075</v>
      </c>
      <c r="W451" s="45">
        <f t="shared" si="169"/>
        <v>31.86773730251991</v>
      </c>
      <c r="X451" s="4">
        <f t="shared" si="170"/>
        <v>0.60788692000409705</v>
      </c>
      <c r="Y451" s="4">
        <f t="shared" si="171"/>
        <v>0.12334733176277783</v>
      </c>
      <c r="Z451" s="4">
        <f t="shared" si="172"/>
        <v>0.26876574823312505</v>
      </c>
      <c r="AA451" s="4">
        <f t="shared" si="173"/>
        <v>0</v>
      </c>
      <c r="AB451" s="31">
        <v>0</v>
      </c>
      <c r="AC451" s="31">
        <v>30106</v>
      </c>
      <c r="AD451" s="31">
        <v>244075</v>
      </c>
      <c r="AE451" s="31">
        <v>244075</v>
      </c>
      <c r="AF451" s="31">
        <v>299126</v>
      </c>
      <c r="AG451" s="31">
        <v>0</v>
      </c>
      <c r="AH451" s="31">
        <v>0</v>
      </c>
      <c r="AI451" s="31">
        <v>299126</v>
      </c>
      <c r="AJ451" s="45">
        <f t="shared" si="174"/>
        <v>39.055490272881578</v>
      </c>
      <c r="AK451" s="31">
        <v>0</v>
      </c>
      <c r="AL451" s="31">
        <v>0</v>
      </c>
      <c r="AM451" s="31">
        <v>0</v>
      </c>
      <c r="AN451" s="31">
        <v>0</v>
      </c>
      <c r="AO451" s="31">
        <v>0</v>
      </c>
      <c r="AP451" s="31">
        <v>10854</v>
      </c>
      <c r="AQ451" s="31">
        <v>10854</v>
      </c>
      <c r="AR451" s="31">
        <v>309980</v>
      </c>
      <c r="AS451" s="46">
        <f t="shared" si="175"/>
        <v>40.472646559603085</v>
      </c>
      <c r="AT451" s="31">
        <v>0</v>
      </c>
      <c r="AU451" s="31">
        <v>0</v>
      </c>
      <c r="AV451" s="31">
        <v>0</v>
      </c>
      <c r="AW451" s="31">
        <v>0</v>
      </c>
      <c r="AX451" s="31">
        <v>0</v>
      </c>
      <c r="AY451" s="31">
        <v>0</v>
      </c>
      <c r="AZ451" s="31">
        <v>0</v>
      </c>
      <c r="BA451" s="31">
        <v>0</v>
      </c>
      <c r="BB451" s="31">
        <v>0</v>
      </c>
      <c r="BC451" s="33" t="s">
        <v>25</v>
      </c>
      <c r="BD451" s="47">
        <v>18197</v>
      </c>
      <c r="BE451" s="47">
        <v>18681</v>
      </c>
      <c r="BF451" s="45">
        <f t="shared" si="176"/>
        <v>2.4390912651782215</v>
      </c>
      <c r="BG451" s="30">
        <v>1521</v>
      </c>
      <c r="BH451" s="30">
        <v>1542</v>
      </c>
      <c r="BI451" s="30">
        <v>2558</v>
      </c>
      <c r="BJ451" s="30">
        <v>3406</v>
      </c>
      <c r="BK451" s="30">
        <v>3461</v>
      </c>
      <c r="BL451" s="30">
        <v>76</v>
      </c>
      <c r="BM451" s="30">
        <v>12113</v>
      </c>
      <c r="BN451" s="30">
        <v>0</v>
      </c>
      <c r="BO451" s="30">
        <v>51</v>
      </c>
      <c r="BP451" s="30">
        <v>3</v>
      </c>
      <c r="BQ451" s="30">
        <v>54</v>
      </c>
      <c r="BR451" s="47">
        <v>23124</v>
      </c>
      <c r="BS451" s="47">
        <v>38431</v>
      </c>
      <c r="BT451" s="1">
        <f t="shared" si="177"/>
        <v>5.017756887322105</v>
      </c>
      <c r="BU451" s="30">
        <v>39</v>
      </c>
      <c r="BV451" s="30">
        <v>2</v>
      </c>
      <c r="BW451" s="47">
        <v>988</v>
      </c>
      <c r="BX451" s="52">
        <f t="shared" si="178"/>
        <v>0.12899856378117247</v>
      </c>
      <c r="BY451" s="47">
        <v>14004</v>
      </c>
      <c r="BZ451" s="47">
        <v>160</v>
      </c>
      <c r="CA451" s="47">
        <v>27340</v>
      </c>
      <c r="CB451" s="47">
        <v>2322</v>
      </c>
      <c r="CC451" s="47">
        <v>43826</v>
      </c>
      <c r="CD451" s="55">
        <f t="shared" si="179"/>
        <v>5.7221569395482437</v>
      </c>
      <c r="CE451" s="3">
        <f t="shared" si="180"/>
        <v>12173.888888888891</v>
      </c>
      <c r="CF451" s="55">
        <f t="shared" si="181"/>
        <v>18.476391231028668</v>
      </c>
      <c r="CG451" s="55">
        <f t="shared" si="182"/>
        <v>1.3329075425790755</v>
      </c>
      <c r="CH451" s="55">
        <f t="shared" si="183"/>
        <v>1.0757981837579038</v>
      </c>
      <c r="CI451" s="30">
        <v>67</v>
      </c>
      <c r="CJ451" s="30">
        <v>27</v>
      </c>
      <c r="CK451" s="30">
        <v>52</v>
      </c>
      <c r="CL451" s="30">
        <v>146</v>
      </c>
      <c r="CM451" s="30">
        <v>1228</v>
      </c>
      <c r="CN451" s="30">
        <v>160</v>
      </c>
      <c r="CO451" s="30">
        <v>596</v>
      </c>
      <c r="CP451" s="30">
        <v>1984</v>
      </c>
      <c r="CQ451" s="1">
        <f t="shared" si="191"/>
        <v>0.25904165034599819</v>
      </c>
      <c r="CR451" s="47">
        <v>32880</v>
      </c>
      <c r="CS451" s="55">
        <f t="shared" si="184"/>
        <v>4.2929886408147278</v>
      </c>
      <c r="CT451" s="59">
        <v>6996</v>
      </c>
      <c r="CU451" s="29" t="s">
        <v>25</v>
      </c>
      <c r="CV451" s="29" t="s">
        <v>25</v>
      </c>
      <c r="CW451" s="29" t="s">
        <v>25</v>
      </c>
      <c r="CX451" s="35">
        <v>1.2</v>
      </c>
      <c r="CY451" s="49">
        <f>C451/CX451</f>
        <v>6382.5</v>
      </c>
      <c r="CZ451" s="35">
        <v>1.2</v>
      </c>
      <c r="DA451" s="35">
        <v>1.2</v>
      </c>
      <c r="DB451" s="35">
        <v>3.5999999999999996</v>
      </c>
      <c r="DC451" s="49">
        <f t="shared" si="185"/>
        <v>2127.5</v>
      </c>
      <c r="DD451" s="30">
        <v>565</v>
      </c>
      <c r="DE451" s="31">
        <v>51240</v>
      </c>
      <c r="DF451" s="35">
        <v>40</v>
      </c>
      <c r="DG451" s="29" t="s">
        <v>25</v>
      </c>
      <c r="DH451" s="29" t="s">
        <v>25</v>
      </c>
      <c r="DI451" s="29" t="s">
        <v>25</v>
      </c>
      <c r="DJ451" s="47">
        <v>105</v>
      </c>
      <c r="DK451" s="47">
        <v>54</v>
      </c>
      <c r="DL451" s="47">
        <v>28</v>
      </c>
      <c r="DM451" s="47">
        <v>5851</v>
      </c>
      <c r="DN451" s="47">
        <v>200</v>
      </c>
      <c r="DO451" s="47">
        <v>0</v>
      </c>
      <c r="DP451" s="29" t="s">
        <v>2028</v>
      </c>
      <c r="DQ451" s="47">
        <v>0</v>
      </c>
      <c r="DR451" s="47">
        <v>2372</v>
      </c>
      <c r="DS451" s="30">
        <v>51</v>
      </c>
      <c r="DT451" s="30">
        <v>47</v>
      </c>
      <c r="DU451" s="30">
        <v>47</v>
      </c>
      <c r="DV451" s="30">
        <v>47</v>
      </c>
      <c r="DX451" s="2">
        <f t="shared" si="186"/>
        <v>2372</v>
      </c>
      <c r="DY451" s="33" t="s">
        <v>2186</v>
      </c>
      <c r="DZ451" s="33" t="s">
        <v>1519</v>
      </c>
      <c r="EA451" s="33" t="s">
        <v>2033</v>
      </c>
      <c r="EB451" s="33" t="s">
        <v>2027</v>
      </c>
      <c r="EC451" s="36">
        <v>488</v>
      </c>
      <c r="ED451" s="29" t="s">
        <v>1518</v>
      </c>
      <c r="EE451" s="29" t="s">
        <v>128</v>
      </c>
      <c r="EF451" s="37">
        <v>41518</v>
      </c>
      <c r="EG451" s="37">
        <v>41882</v>
      </c>
      <c r="EH451" s="29" t="s">
        <v>1518</v>
      </c>
      <c r="EI451" s="55">
        <f t="shared" si="187"/>
        <v>1.8284371327849589</v>
      </c>
      <c r="EJ451" s="54">
        <f t="shared" si="188"/>
        <v>2.089045567306437E-2</v>
      </c>
      <c r="EK451" s="55">
        <f t="shared" si="189"/>
        <v>3.5696566131348741</v>
      </c>
      <c r="EL451" s="54">
        <f t="shared" si="190"/>
        <v>0.30317273795534666</v>
      </c>
    </row>
    <row r="452" spans="1:142" ht="43.2" x14ac:dyDescent="0.3">
      <c r="A452" s="29" t="s">
        <v>1160</v>
      </c>
      <c r="B452" s="29"/>
      <c r="C452" s="30">
        <v>114954</v>
      </c>
      <c r="D452" s="30">
        <v>2</v>
      </c>
      <c r="E452" s="30">
        <v>0</v>
      </c>
      <c r="F452" s="30">
        <v>85000</v>
      </c>
      <c r="G452">
        <v>7776</v>
      </c>
      <c r="H452" s="2">
        <f t="shared" si="193"/>
        <v>92776</v>
      </c>
      <c r="I452" s="1">
        <f t="shared" si="192"/>
        <v>0.80707065434869596</v>
      </c>
      <c r="J452" s="31">
        <v>1050897</v>
      </c>
      <c r="K452" s="31">
        <v>347494</v>
      </c>
      <c r="L452" s="31">
        <v>1398391</v>
      </c>
      <c r="M452" s="45">
        <f t="shared" ref="M452:M515" si="194">L452/C452</f>
        <v>12.164787654192112</v>
      </c>
      <c r="N452" s="31">
        <v>272047</v>
      </c>
      <c r="O452" s="31">
        <v>149350</v>
      </c>
      <c r="P452" s="31">
        <v>71068</v>
      </c>
      <c r="Q452" s="31">
        <v>492465</v>
      </c>
      <c r="R452" s="45">
        <f t="shared" ref="R452:R515" si="195">Q452/C452</f>
        <v>4.2840179550080899</v>
      </c>
      <c r="S452" s="31">
        <v>391773</v>
      </c>
      <c r="T452" s="31">
        <v>2282629</v>
      </c>
      <c r="U452" s="31">
        <v>0</v>
      </c>
      <c r="V452" s="31">
        <v>2282629</v>
      </c>
      <c r="W452" s="45">
        <f t="shared" ref="W452:W515" si="196">V452/C452</f>
        <v>19.856890582319885</v>
      </c>
      <c r="X452" s="4">
        <f t="shared" ref="X452:X515" si="197">L452/V452</f>
        <v>0.61262298866789133</v>
      </c>
      <c r="Y452" s="4">
        <f t="shared" ref="Y452:Y515" si="198">Q452/V452</f>
        <v>0.21574465232852119</v>
      </c>
      <c r="Z452" s="4">
        <f t="shared" ref="Z452:Z515" si="199">S452/V452</f>
        <v>0.17163235900358753</v>
      </c>
      <c r="AA452" s="4">
        <f t="shared" ref="AA452:AA515" si="200">U452/V452</f>
        <v>0</v>
      </c>
      <c r="AB452" s="31">
        <v>126614</v>
      </c>
      <c r="AC452" s="31">
        <v>492465</v>
      </c>
      <c r="AD452" s="31">
        <v>2265657</v>
      </c>
      <c r="AE452" s="31">
        <v>2169063</v>
      </c>
      <c r="AF452" s="31">
        <v>0</v>
      </c>
      <c r="AG452" s="31">
        <v>2326096</v>
      </c>
      <c r="AH452" s="31">
        <v>0</v>
      </c>
      <c r="AI452" s="31">
        <v>2326096</v>
      </c>
      <c r="AJ452" s="45">
        <f t="shared" ref="AJ452:AJ515" si="201">AI452/C452</f>
        <v>20.235015745428605</v>
      </c>
      <c r="AK452" s="31">
        <v>0</v>
      </c>
      <c r="AL452" s="31">
        <v>0</v>
      </c>
      <c r="AM452" s="31">
        <v>0</v>
      </c>
      <c r="AN452" s="31">
        <v>0</v>
      </c>
      <c r="AO452" s="31">
        <v>0</v>
      </c>
      <c r="AP452" s="31">
        <v>129197</v>
      </c>
      <c r="AQ452" s="31">
        <v>129197</v>
      </c>
      <c r="AR452" s="31">
        <v>2455293</v>
      </c>
      <c r="AS452" s="46">
        <f t="shared" ref="AS452:AS515" si="202">AR452/C452</f>
        <v>21.358917480035494</v>
      </c>
      <c r="AT452" s="31">
        <v>0</v>
      </c>
      <c r="AU452" s="31">
        <v>0</v>
      </c>
      <c r="AV452" s="31">
        <v>0</v>
      </c>
      <c r="AW452" s="31">
        <v>0</v>
      </c>
      <c r="AX452" s="31">
        <v>0</v>
      </c>
      <c r="AY452" s="31">
        <v>0</v>
      </c>
      <c r="AZ452" s="31">
        <v>0</v>
      </c>
      <c r="BA452" s="31">
        <v>0</v>
      </c>
      <c r="BB452" s="31">
        <v>0</v>
      </c>
      <c r="BC452" s="33" t="s">
        <v>25</v>
      </c>
      <c r="BD452" s="47">
        <v>222099</v>
      </c>
      <c r="BE452" s="47">
        <v>255680</v>
      </c>
      <c r="BF452" s="45">
        <f t="shared" ref="BF452:BF515" si="203">BE452/C452</f>
        <v>2.2241940254362613</v>
      </c>
      <c r="BG452" s="30">
        <v>9501</v>
      </c>
      <c r="BH452" s="30">
        <v>10169</v>
      </c>
      <c r="BI452" s="30">
        <v>10479</v>
      </c>
      <c r="BJ452" s="30">
        <v>3929</v>
      </c>
      <c r="BK452" s="30">
        <v>4577</v>
      </c>
      <c r="BL452" s="30">
        <v>0</v>
      </c>
      <c r="BM452" s="30">
        <v>5977</v>
      </c>
      <c r="BN452" s="30">
        <v>30</v>
      </c>
      <c r="BO452" s="30">
        <v>53</v>
      </c>
      <c r="BP452" s="30">
        <v>0</v>
      </c>
      <c r="BQ452" s="30">
        <v>83</v>
      </c>
      <c r="BR452" s="47">
        <v>235529</v>
      </c>
      <c r="BS452" s="47">
        <v>286912</v>
      </c>
      <c r="BT452" s="1">
        <f t="shared" ref="BT452:BT515" si="204">BS452/C452</f>
        <v>2.4958853106459977</v>
      </c>
      <c r="BU452" s="30">
        <v>360</v>
      </c>
      <c r="BV452" s="30">
        <v>0</v>
      </c>
      <c r="BW452" s="47">
        <v>110988</v>
      </c>
      <c r="BX452" s="52">
        <f t="shared" ref="BX452:BX515" si="205">BW452/C452</f>
        <v>0.96549924317553104</v>
      </c>
      <c r="BY452" s="47">
        <v>153187</v>
      </c>
      <c r="BZ452" s="47">
        <v>21000</v>
      </c>
      <c r="CA452" s="47">
        <v>248178</v>
      </c>
      <c r="CB452" s="47">
        <v>33629</v>
      </c>
      <c r="CC452" s="47">
        <v>455994</v>
      </c>
      <c r="CD452" s="55">
        <f t="shared" ref="CD452:CD515" si="206">CC452/C452</f>
        <v>3.9667519181585678</v>
      </c>
      <c r="CE452" s="3">
        <f t="shared" ref="CE452:CE515" si="207">CC452/DB452</f>
        <v>14249.8125</v>
      </c>
      <c r="CF452" s="55">
        <f t="shared" ref="CF452:CF515" si="208">CC452/DX452</f>
        <v>66.316753926701566</v>
      </c>
      <c r="CG452" s="55">
        <f t="shared" ref="CG452:CG515" si="209">CC452/CR452</f>
        <v>1.2986657173371305</v>
      </c>
      <c r="CH452" s="55">
        <f t="shared" ref="CH452:CH515" si="210">(BY452+CA452)/BS452</f>
        <v>1.3989132556323891</v>
      </c>
      <c r="CI452" s="30">
        <v>525</v>
      </c>
      <c r="CJ452" s="30">
        <v>60</v>
      </c>
      <c r="CK452" s="30">
        <v>348</v>
      </c>
      <c r="CL452" s="30">
        <v>933</v>
      </c>
      <c r="CM452" s="30">
        <v>13010</v>
      </c>
      <c r="CN452" s="30">
        <v>875</v>
      </c>
      <c r="CO452" s="30">
        <v>9850</v>
      </c>
      <c r="CP452" s="30">
        <v>23735</v>
      </c>
      <c r="CQ452" s="1">
        <f t="shared" si="191"/>
        <v>0.20647389390538826</v>
      </c>
      <c r="CR452" s="47">
        <v>351125</v>
      </c>
      <c r="CS452" s="55">
        <f t="shared" ref="CS452:CS515" si="211">CR452/C452</f>
        <v>3.0544826626302695</v>
      </c>
      <c r="CT452" s="59">
        <v>48570</v>
      </c>
      <c r="CU452" s="29" t="s">
        <v>25</v>
      </c>
      <c r="CV452" s="29" t="s">
        <v>25</v>
      </c>
      <c r="CW452" s="29" t="s">
        <v>25</v>
      </c>
      <c r="CX452" s="35">
        <v>8</v>
      </c>
      <c r="CY452" s="49">
        <f>C452/CX452</f>
        <v>14369.25</v>
      </c>
      <c r="CZ452" s="35">
        <v>12</v>
      </c>
      <c r="DA452" s="35">
        <v>12</v>
      </c>
      <c r="DB452" s="35">
        <v>32</v>
      </c>
      <c r="DC452" s="49">
        <f t="shared" ref="DC452:DC515" si="212">C452/DB452</f>
        <v>3592.3125</v>
      </c>
      <c r="DD452" s="30">
        <v>5328</v>
      </c>
      <c r="DE452" s="31">
        <v>64922</v>
      </c>
      <c r="DF452" s="35">
        <v>40</v>
      </c>
      <c r="DG452" s="29" t="s">
        <v>25</v>
      </c>
      <c r="DH452" s="29" t="s">
        <v>25</v>
      </c>
      <c r="DI452" s="29" t="s">
        <v>25</v>
      </c>
      <c r="DJ452" s="47">
        <v>2210</v>
      </c>
      <c r="DK452" s="47">
        <v>1989</v>
      </c>
      <c r="DL452" s="47">
        <v>82</v>
      </c>
      <c r="DM452" s="47">
        <v>62962</v>
      </c>
      <c r="DN452" s="47">
        <v>17514</v>
      </c>
      <c r="DO452" s="47">
        <v>-1</v>
      </c>
      <c r="DP452" s="29" t="s">
        <v>25</v>
      </c>
      <c r="DQ452" s="47">
        <v>166881</v>
      </c>
      <c r="DR452" s="47">
        <v>3260</v>
      </c>
      <c r="DS452" s="30">
        <v>52</v>
      </c>
      <c r="DT452" s="30">
        <v>65</v>
      </c>
      <c r="DU452" s="30">
        <v>65</v>
      </c>
      <c r="DV452" s="30">
        <v>65</v>
      </c>
      <c r="DW452">
        <f>VLOOKUP(EC452,branch!$I$4:$K$77,3,0)</f>
        <v>3616</v>
      </c>
      <c r="DX452" s="2">
        <f t="shared" ref="DX452:DX515" si="213">DR452+DW452</f>
        <v>6876</v>
      </c>
      <c r="DY452" s="33" t="s">
        <v>2179</v>
      </c>
      <c r="DZ452" s="33" t="s">
        <v>1161</v>
      </c>
      <c r="EA452" s="33" t="s">
        <v>2031</v>
      </c>
      <c r="EB452" s="33" t="s">
        <v>2027</v>
      </c>
      <c r="EC452" s="36">
        <v>343</v>
      </c>
      <c r="ED452" s="29" t="s">
        <v>1158</v>
      </c>
      <c r="EE452" s="29" t="s">
        <v>1159</v>
      </c>
      <c r="EF452" s="37">
        <v>41548</v>
      </c>
      <c r="EG452" s="37">
        <v>41912</v>
      </c>
      <c r="EH452" s="29" t="s">
        <v>1158</v>
      </c>
      <c r="EI452" s="55">
        <f t="shared" ref="EI452:EI515" si="214">BY452/C452</f>
        <v>1.3325939071280686</v>
      </c>
      <c r="EJ452" s="54">
        <f t="shared" ref="EJ452:EJ515" si="215">BZ452/C452</f>
        <v>0.18268176835951772</v>
      </c>
      <c r="EK452" s="55">
        <f t="shared" ref="EK452:EK515" si="216">CA452/C452</f>
        <v>2.1589331384727806</v>
      </c>
      <c r="EL452" s="54">
        <f t="shared" ref="EL452:EL515" si="217">CB452/C452</f>
        <v>0.29254310419820101</v>
      </c>
    </row>
    <row r="453" spans="1:142" ht="28.8" x14ac:dyDescent="0.3">
      <c r="A453" s="29" t="s">
        <v>1163</v>
      </c>
      <c r="B453" s="29"/>
      <c r="C453" s="30">
        <v>1682012</v>
      </c>
      <c r="D453" s="30">
        <v>26</v>
      </c>
      <c r="E453" s="30">
        <v>0</v>
      </c>
      <c r="F453" s="30">
        <v>238000</v>
      </c>
      <c r="G453">
        <v>324951</v>
      </c>
      <c r="H453" s="2">
        <f t="shared" si="193"/>
        <v>562951</v>
      </c>
      <c r="I453" s="1">
        <f t="shared" si="192"/>
        <v>0.33468905096990986</v>
      </c>
      <c r="J453" s="31">
        <v>16109120</v>
      </c>
      <c r="K453" s="31">
        <v>5154959</v>
      </c>
      <c r="L453" s="31">
        <v>21264079</v>
      </c>
      <c r="M453" s="45">
        <f t="shared" si="194"/>
        <v>12.642049521644317</v>
      </c>
      <c r="N453" s="31">
        <v>1897740</v>
      </c>
      <c r="O453" s="31">
        <v>1403712</v>
      </c>
      <c r="P453" s="31">
        <v>978128</v>
      </c>
      <c r="Q453" s="31">
        <v>4279580</v>
      </c>
      <c r="R453" s="45">
        <f t="shared" si="195"/>
        <v>2.5443219192253088</v>
      </c>
      <c r="S453" s="31">
        <v>8288849</v>
      </c>
      <c r="T453" s="31">
        <v>33832508</v>
      </c>
      <c r="U453" s="31">
        <v>0</v>
      </c>
      <c r="V453" s="31">
        <v>33832508</v>
      </c>
      <c r="W453" s="45">
        <f t="shared" si="196"/>
        <v>20.114308340249654</v>
      </c>
      <c r="X453" s="4">
        <f t="shared" si="197"/>
        <v>0.6285102777482533</v>
      </c>
      <c r="Y453" s="4">
        <f t="shared" si="198"/>
        <v>0.12649313494583375</v>
      </c>
      <c r="Z453" s="4">
        <f t="shared" si="199"/>
        <v>0.24499658730591301</v>
      </c>
      <c r="AA453" s="4">
        <f t="shared" si="200"/>
        <v>0</v>
      </c>
      <c r="AB453" s="31">
        <v>5338000</v>
      </c>
      <c r="AC453" s="31">
        <v>4279580</v>
      </c>
      <c r="AD453" s="31">
        <v>33777508</v>
      </c>
      <c r="AE453" s="31">
        <v>33673358</v>
      </c>
      <c r="AF453" s="31">
        <v>29889329</v>
      </c>
      <c r="AG453" s="31">
        <v>3784029</v>
      </c>
      <c r="AH453" s="31">
        <v>0</v>
      </c>
      <c r="AI453" s="31">
        <v>33673358</v>
      </c>
      <c r="AJ453" s="45">
        <f t="shared" si="201"/>
        <v>20.019689514700254</v>
      </c>
      <c r="AK453" s="31">
        <v>0</v>
      </c>
      <c r="AL453" s="31">
        <v>0</v>
      </c>
      <c r="AM453" s="31">
        <v>0</v>
      </c>
      <c r="AN453" s="31">
        <v>0</v>
      </c>
      <c r="AO453" s="31">
        <v>0</v>
      </c>
      <c r="AP453" s="31">
        <v>1055664</v>
      </c>
      <c r="AQ453" s="31">
        <v>1055664</v>
      </c>
      <c r="AR453" s="31">
        <v>34729022</v>
      </c>
      <c r="AS453" s="46">
        <f t="shared" si="202"/>
        <v>20.647309293869483</v>
      </c>
      <c r="AT453" s="31">
        <v>5388000</v>
      </c>
      <c r="AU453" s="31">
        <v>0</v>
      </c>
      <c r="AV453" s="31">
        <v>0</v>
      </c>
      <c r="AW453" s="31">
        <v>0</v>
      </c>
      <c r="AX453" s="31">
        <v>0</v>
      </c>
      <c r="AY453" s="31">
        <v>0</v>
      </c>
      <c r="AZ453" s="31">
        <v>0</v>
      </c>
      <c r="BA453" s="31">
        <v>0</v>
      </c>
      <c r="BB453" s="31">
        <v>5388000</v>
      </c>
      <c r="BC453" s="33" t="s">
        <v>25</v>
      </c>
      <c r="BD453" s="47">
        <v>400692</v>
      </c>
      <c r="BE453" s="47">
        <v>1687560</v>
      </c>
      <c r="BF453" s="45">
        <f t="shared" si="203"/>
        <v>1.0032984306889605</v>
      </c>
      <c r="BG453" s="30">
        <v>36502</v>
      </c>
      <c r="BH453" s="30">
        <v>131590</v>
      </c>
      <c r="BI453" s="30">
        <v>18881</v>
      </c>
      <c r="BJ453" s="30">
        <v>28878</v>
      </c>
      <c r="BK453" s="30">
        <v>199564</v>
      </c>
      <c r="BL453" s="30">
        <v>1090</v>
      </c>
      <c r="BM453" s="30">
        <v>41374</v>
      </c>
      <c r="BN453" s="30">
        <v>23</v>
      </c>
      <c r="BO453" s="30">
        <v>51</v>
      </c>
      <c r="BP453" s="30">
        <v>0</v>
      </c>
      <c r="BQ453" s="30">
        <v>74</v>
      </c>
      <c r="BR453" s="47">
        <v>466072</v>
      </c>
      <c r="BS453" s="47">
        <v>2080082</v>
      </c>
      <c r="BT453" s="1">
        <f t="shared" si="204"/>
        <v>1.2366629964590026</v>
      </c>
      <c r="BU453" s="30">
        <v>1872</v>
      </c>
      <c r="BV453" s="30">
        <v>121</v>
      </c>
      <c r="BW453" s="47">
        <v>1678034</v>
      </c>
      <c r="BX453" s="52">
        <f t="shared" si="205"/>
        <v>0.99763497525582456</v>
      </c>
      <c r="BY453" s="47">
        <v>2614152</v>
      </c>
      <c r="BZ453" s="47">
        <v>30290</v>
      </c>
      <c r="CA453" s="47">
        <v>3890129</v>
      </c>
      <c r="CB453" s="47">
        <v>628191</v>
      </c>
      <c r="CC453" s="47">
        <v>7162762</v>
      </c>
      <c r="CD453" s="55">
        <f t="shared" si="206"/>
        <v>4.2584488101155049</v>
      </c>
      <c r="CE453" s="3">
        <f t="shared" si="207"/>
        <v>17642.270935960591</v>
      </c>
      <c r="CF453" s="55">
        <f t="shared" si="208"/>
        <v>90.812713948829781</v>
      </c>
      <c r="CG453" s="55">
        <f t="shared" si="209"/>
        <v>1.3293005731418914</v>
      </c>
      <c r="CH453" s="55">
        <f t="shared" si="210"/>
        <v>3.1269348996818396</v>
      </c>
      <c r="CI453" s="30">
        <v>7742</v>
      </c>
      <c r="CJ453" s="30">
        <v>3235</v>
      </c>
      <c r="CK453" s="30">
        <v>2722</v>
      </c>
      <c r="CL453" s="30">
        <v>13699</v>
      </c>
      <c r="CM453" s="30">
        <v>231103</v>
      </c>
      <c r="CN453" s="30">
        <v>42166</v>
      </c>
      <c r="CO453" s="30">
        <v>43396</v>
      </c>
      <c r="CP453" s="30">
        <v>316665</v>
      </c>
      <c r="CQ453" s="1">
        <f t="shared" ref="CQ453:CQ516" si="218">CP453/C453</f>
        <v>0.18826560095885167</v>
      </c>
      <c r="CR453" s="47">
        <v>5388369</v>
      </c>
      <c r="CS453" s="55">
        <f t="shared" si="211"/>
        <v>3.2035258963669699</v>
      </c>
      <c r="CT453" s="59">
        <v>887993</v>
      </c>
      <c r="CU453" s="29" t="s">
        <v>25</v>
      </c>
      <c r="CV453" s="29" t="s">
        <v>25</v>
      </c>
      <c r="CW453" s="29" t="s">
        <v>25</v>
      </c>
      <c r="CX453" s="35">
        <v>131</v>
      </c>
      <c r="CY453" s="49">
        <f>C453/CX453</f>
        <v>12839.786259541985</v>
      </c>
      <c r="CZ453" s="35">
        <v>0</v>
      </c>
      <c r="DA453" s="35">
        <v>275</v>
      </c>
      <c r="DB453" s="35">
        <v>406</v>
      </c>
      <c r="DC453" s="49">
        <f t="shared" si="212"/>
        <v>4142.8866995073895</v>
      </c>
      <c r="DD453" s="30">
        <v>25106</v>
      </c>
      <c r="DE453" s="31">
        <v>161816</v>
      </c>
      <c r="DF453" s="35">
        <v>40</v>
      </c>
      <c r="DG453" s="29" t="s">
        <v>25</v>
      </c>
      <c r="DH453" s="29" t="s">
        <v>25</v>
      </c>
      <c r="DI453" s="29" t="s">
        <v>25</v>
      </c>
      <c r="DJ453" s="47">
        <v>12505</v>
      </c>
      <c r="DK453" s="47">
        <v>13913</v>
      </c>
      <c r="DL453" s="47">
        <v>694</v>
      </c>
      <c r="DM453" s="47">
        <v>1200442</v>
      </c>
      <c r="DN453" s="47">
        <v>0</v>
      </c>
      <c r="DO453" s="47">
        <v>1720699</v>
      </c>
      <c r="DP453" s="29" t="s">
        <v>25</v>
      </c>
      <c r="DQ453" s="47">
        <v>3565804</v>
      </c>
      <c r="DR453" s="47">
        <v>3516</v>
      </c>
      <c r="DS453" s="30">
        <v>52</v>
      </c>
      <c r="DT453" s="30">
        <v>74</v>
      </c>
      <c r="DU453" s="30">
        <v>70</v>
      </c>
      <c r="DV453" s="30">
        <v>70</v>
      </c>
      <c r="DW453">
        <f>VLOOKUP(EC453,branch!$I$4:$K$77,3,0)</f>
        <v>75358</v>
      </c>
      <c r="DX453" s="2">
        <f t="shared" si="213"/>
        <v>78874</v>
      </c>
      <c r="DY453" s="33" t="s">
        <v>2187</v>
      </c>
      <c r="DZ453" s="33" t="s">
        <v>1164</v>
      </c>
      <c r="EA453" s="33" t="s">
        <v>2030</v>
      </c>
      <c r="EB453" s="33" t="s">
        <v>2027</v>
      </c>
      <c r="EC453" s="36">
        <v>344</v>
      </c>
      <c r="ED453" s="29" t="s">
        <v>1162</v>
      </c>
      <c r="EE453" s="29" t="s">
        <v>814</v>
      </c>
      <c r="EF453" s="37">
        <v>41548</v>
      </c>
      <c r="EG453" s="37">
        <v>41912</v>
      </c>
      <c r="EH453" s="29" t="s">
        <v>1162</v>
      </c>
      <c r="EI453" s="55">
        <f t="shared" si="214"/>
        <v>1.5541815397274217</v>
      </c>
      <c r="EJ453" s="54">
        <f t="shared" si="215"/>
        <v>1.8008194947479565E-2</v>
      </c>
      <c r="EK453" s="55">
        <f t="shared" si="216"/>
        <v>2.3127831430453529</v>
      </c>
      <c r="EL453" s="54">
        <f t="shared" si="217"/>
        <v>0.37347593239525045</v>
      </c>
    </row>
    <row r="454" spans="1:142" ht="28.8" x14ac:dyDescent="0.3">
      <c r="A454" s="29" t="s">
        <v>2064</v>
      </c>
      <c r="B454" s="29"/>
      <c r="C454" s="30">
        <v>77713</v>
      </c>
      <c r="D454" s="30">
        <v>1</v>
      </c>
      <c r="E454" s="30">
        <v>0</v>
      </c>
      <c r="F454" s="30">
        <v>4883</v>
      </c>
      <c r="G454">
        <v>170</v>
      </c>
      <c r="H454" s="2">
        <f t="shared" si="193"/>
        <v>5053</v>
      </c>
      <c r="I454" s="1">
        <f t="shared" si="192"/>
        <v>6.5021296308210977E-2</v>
      </c>
      <c r="J454" s="31">
        <v>467975</v>
      </c>
      <c r="K454" s="31">
        <v>124606</v>
      </c>
      <c r="L454" s="31">
        <v>592581</v>
      </c>
      <c r="M454" s="45">
        <f t="shared" si="194"/>
        <v>7.6252493147864575</v>
      </c>
      <c r="N454" s="31">
        <v>0</v>
      </c>
      <c r="O454" s="31">
        <v>443434</v>
      </c>
      <c r="P454" s="31">
        <v>0</v>
      </c>
      <c r="Q454" s="31">
        <v>443434</v>
      </c>
      <c r="R454" s="45">
        <f t="shared" si="195"/>
        <v>5.7060466073887248</v>
      </c>
      <c r="S454" s="31">
        <v>174620</v>
      </c>
      <c r="T454" s="31">
        <v>1210635</v>
      </c>
      <c r="U454" s="31">
        <v>0</v>
      </c>
      <c r="V454" s="31">
        <v>1210635</v>
      </c>
      <c r="W454" s="45">
        <f t="shared" si="196"/>
        <v>15.578281625982783</v>
      </c>
      <c r="X454" s="4">
        <f t="shared" si="197"/>
        <v>0.48947948803726971</v>
      </c>
      <c r="Y454" s="4">
        <f t="shared" si="198"/>
        <v>0.36628215771062295</v>
      </c>
      <c r="Z454" s="4">
        <f t="shared" si="199"/>
        <v>0.14423835425210738</v>
      </c>
      <c r="AA454" s="4">
        <f t="shared" si="200"/>
        <v>0</v>
      </c>
      <c r="AB454" s="31">
        <v>29400</v>
      </c>
      <c r="AC454" s="31">
        <v>443434</v>
      </c>
      <c r="AD454" s="31">
        <v>1210635</v>
      </c>
      <c r="AE454" s="31">
        <v>1210635</v>
      </c>
      <c r="AF454" s="31">
        <v>0</v>
      </c>
      <c r="AG454" s="31">
        <v>1210635</v>
      </c>
      <c r="AH454" s="31">
        <v>0</v>
      </c>
      <c r="AI454" s="31">
        <v>1210635</v>
      </c>
      <c r="AJ454" s="45">
        <f t="shared" si="201"/>
        <v>15.578281625982783</v>
      </c>
      <c r="AK454" s="31">
        <v>0</v>
      </c>
      <c r="AL454" s="31">
        <v>0</v>
      </c>
      <c r="AM454" s="31">
        <v>0</v>
      </c>
      <c r="AN454" s="31">
        <v>0</v>
      </c>
      <c r="AO454" s="31">
        <v>120000</v>
      </c>
      <c r="AP454" s="31">
        <v>0</v>
      </c>
      <c r="AQ454" s="31">
        <v>120000</v>
      </c>
      <c r="AR454" s="31">
        <v>1330635</v>
      </c>
      <c r="AS454" s="46">
        <f t="shared" si="202"/>
        <v>17.122424819528263</v>
      </c>
      <c r="AT454" s="31">
        <v>0</v>
      </c>
      <c r="AU454" s="31">
        <v>29400</v>
      </c>
      <c r="AV454" s="31">
        <v>0</v>
      </c>
      <c r="AW454" s="31">
        <v>0</v>
      </c>
      <c r="AX454" s="31">
        <v>0</v>
      </c>
      <c r="AY454" s="31">
        <v>0</v>
      </c>
      <c r="AZ454" s="31">
        <v>0</v>
      </c>
      <c r="BA454" s="31">
        <v>0</v>
      </c>
      <c r="BB454" s="31">
        <v>29400</v>
      </c>
      <c r="BC454" s="33" t="s">
        <v>25</v>
      </c>
      <c r="BD454" s="47">
        <v>0</v>
      </c>
      <c r="BE454" s="47">
        <v>0</v>
      </c>
      <c r="BF454" s="45">
        <f t="shared" si="203"/>
        <v>0</v>
      </c>
      <c r="BG454" s="30">
        <v>0</v>
      </c>
      <c r="BH454" s="30">
        <v>0</v>
      </c>
      <c r="BI454" s="30">
        <v>178570</v>
      </c>
      <c r="BJ454" s="30">
        <v>0</v>
      </c>
      <c r="BK454" s="30">
        <v>0</v>
      </c>
      <c r="BL454" s="30">
        <v>4707</v>
      </c>
      <c r="BM454" s="30">
        <v>26084</v>
      </c>
      <c r="BN454" s="30">
        <v>6</v>
      </c>
      <c r="BO454" s="30">
        <v>0</v>
      </c>
      <c r="BP454" s="30">
        <v>0</v>
      </c>
      <c r="BQ454" s="30">
        <v>6</v>
      </c>
      <c r="BR454" s="47">
        <v>0</v>
      </c>
      <c r="BS454" s="47">
        <v>209367</v>
      </c>
      <c r="BT454" s="1">
        <f t="shared" si="204"/>
        <v>2.6941052333586399</v>
      </c>
      <c r="BU454" s="30">
        <v>0</v>
      </c>
      <c r="BV454" s="30">
        <v>118</v>
      </c>
      <c r="BW454" s="47">
        <v>1347</v>
      </c>
      <c r="BX454" s="52">
        <f t="shared" si="205"/>
        <v>1.733300734754803E-2</v>
      </c>
      <c r="BY454" s="47">
        <v>0</v>
      </c>
      <c r="BZ454" s="47">
        <v>21739</v>
      </c>
      <c r="CA454" s="47">
        <v>0</v>
      </c>
      <c r="CB454" s="47">
        <v>68110</v>
      </c>
      <c r="CC454" s="47">
        <v>89849</v>
      </c>
      <c r="CD454" s="55">
        <f t="shared" si="206"/>
        <v>1.156164348307233</v>
      </c>
      <c r="CE454" s="3">
        <f t="shared" si="207"/>
        <v>4526.3979848866493</v>
      </c>
      <c r="CF454" s="55">
        <f t="shared" si="208"/>
        <v>24.205010775862068</v>
      </c>
      <c r="CG454" s="55">
        <f t="shared" si="209"/>
        <v>0.8347175771088815</v>
      </c>
      <c r="CH454" s="55">
        <f t="shared" si="210"/>
        <v>0</v>
      </c>
      <c r="CI454" s="30">
        <v>115</v>
      </c>
      <c r="CJ454" s="30">
        <v>97</v>
      </c>
      <c r="CK454" s="30">
        <v>130</v>
      </c>
      <c r="CL454" s="30">
        <v>342</v>
      </c>
      <c r="CM454" s="30">
        <v>2992</v>
      </c>
      <c r="CN454" s="30">
        <v>4694</v>
      </c>
      <c r="CO454" s="30">
        <v>1644</v>
      </c>
      <c r="CP454" s="30">
        <v>9330</v>
      </c>
      <c r="CQ454" s="1">
        <f t="shared" si="218"/>
        <v>0.12005713329816119</v>
      </c>
      <c r="CR454" s="47">
        <v>107640</v>
      </c>
      <c r="CS454" s="55">
        <f t="shared" si="211"/>
        <v>1.3850964446102969</v>
      </c>
      <c r="CT454" s="59">
        <v>34771</v>
      </c>
      <c r="CU454" s="29" t="s">
        <v>25</v>
      </c>
      <c r="CV454" s="29" t="s">
        <v>25</v>
      </c>
      <c r="CW454" s="29" t="s">
        <v>25</v>
      </c>
      <c r="CX454" s="35">
        <v>1</v>
      </c>
      <c r="CY454" s="49">
        <f>C454/CX454</f>
        <v>77713</v>
      </c>
      <c r="CZ454" s="35">
        <v>0</v>
      </c>
      <c r="DA454" s="35">
        <v>18.850000000000001</v>
      </c>
      <c r="DB454" s="35">
        <v>19.850000000000001</v>
      </c>
      <c r="DC454" s="49">
        <f t="shared" si="212"/>
        <v>3915.0125944584379</v>
      </c>
      <c r="DD454" s="30">
        <v>300</v>
      </c>
      <c r="DE454" s="31">
        <v>54216</v>
      </c>
      <c r="DF454" s="35">
        <v>40</v>
      </c>
      <c r="DG454" s="29" t="s">
        <v>25</v>
      </c>
      <c r="DH454" s="29" t="s">
        <v>26</v>
      </c>
      <c r="DI454" s="29" t="s">
        <v>26</v>
      </c>
      <c r="DJ454" s="47">
        <v>0</v>
      </c>
      <c r="DK454" s="47">
        <v>0</v>
      </c>
      <c r="DL454" s="47">
        <v>108</v>
      </c>
      <c r="DM454" s="47">
        <v>64707</v>
      </c>
      <c r="DN454" s="47">
        <v>478</v>
      </c>
      <c r="DO454" s="47">
        <v>21569</v>
      </c>
      <c r="DP454" s="29" t="s">
        <v>25</v>
      </c>
      <c r="DQ454" s="47">
        <v>143575</v>
      </c>
      <c r="DR454" s="47">
        <v>2912</v>
      </c>
      <c r="DS454" s="30">
        <v>52</v>
      </c>
      <c r="DT454" s="30">
        <v>72</v>
      </c>
      <c r="DU454" s="30">
        <v>56</v>
      </c>
      <c r="DV454" s="30">
        <v>56</v>
      </c>
      <c r="DW454">
        <f>VLOOKUP(EC454,branch!$I$4:$K$77,3,0)</f>
        <v>800</v>
      </c>
      <c r="DX454" s="2">
        <f t="shared" si="213"/>
        <v>3712</v>
      </c>
      <c r="DY454" s="33" t="s">
        <v>2187</v>
      </c>
      <c r="DZ454" s="33" t="s">
        <v>2192</v>
      </c>
      <c r="EA454" s="33" t="s">
        <v>2031</v>
      </c>
      <c r="EB454" s="33" t="s">
        <v>2027</v>
      </c>
      <c r="EC454" s="36">
        <v>649</v>
      </c>
      <c r="ED454" s="29" t="s">
        <v>1815</v>
      </c>
      <c r="EE454" s="29" t="s">
        <v>814</v>
      </c>
      <c r="EF454" s="37">
        <v>41548</v>
      </c>
      <c r="EG454" s="37">
        <v>41912</v>
      </c>
      <c r="EH454" s="29" t="s">
        <v>1815</v>
      </c>
      <c r="EI454" s="55">
        <f t="shared" si="214"/>
        <v>0</v>
      </c>
      <c r="EJ454" s="54">
        <f t="shared" si="215"/>
        <v>0.2797344073707102</v>
      </c>
      <c r="EK454" s="55">
        <f t="shared" si="216"/>
        <v>0</v>
      </c>
      <c r="EL454" s="54">
        <f t="shared" si="217"/>
        <v>0.87642994093652282</v>
      </c>
    </row>
    <row r="455" spans="1:142" ht="28.8" x14ac:dyDescent="0.3">
      <c r="A455" s="29" t="s">
        <v>1166</v>
      </c>
      <c r="B455" s="29"/>
      <c r="C455" s="30">
        <v>8769</v>
      </c>
      <c r="D455" s="30">
        <v>0</v>
      </c>
      <c r="E455" s="30">
        <v>0</v>
      </c>
      <c r="F455" s="30">
        <v>5360</v>
      </c>
      <c r="H455" s="2">
        <f t="shared" si="193"/>
        <v>5360</v>
      </c>
      <c r="I455" s="1">
        <f t="shared" si="192"/>
        <v>0.61124415554795297</v>
      </c>
      <c r="J455" s="31">
        <v>94209</v>
      </c>
      <c r="K455" s="31">
        <v>35099</v>
      </c>
      <c r="L455" s="31">
        <v>129308</v>
      </c>
      <c r="M455" s="45">
        <f t="shared" si="194"/>
        <v>14.746037176416923</v>
      </c>
      <c r="N455" s="31">
        <v>10772</v>
      </c>
      <c r="O455" s="31">
        <v>3922</v>
      </c>
      <c r="P455" s="31">
        <v>3280</v>
      </c>
      <c r="Q455" s="31">
        <v>17974</v>
      </c>
      <c r="R455" s="45">
        <f t="shared" si="195"/>
        <v>2.0497206066826319</v>
      </c>
      <c r="S455" s="31">
        <v>32449</v>
      </c>
      <c r="T455" s="31">
        <v>179731</v>
      </c>
      <c r="U455" s="31">
        <v>0</v>
      </c>
      <c r="V455" s="31">
        <v>179731</v>
      </c>
      <c r="W455" s="45">
        <f t="shared" si="196"/>
        <v>20.496179724027826</v>
      </c>
      <c r="X455" s="4">
        <f t="shared" si="197"/>
        <v>0.71945296025727334</v>
      </c>
      <c r="Y455" s="4">
        <f t="shared" si="198"/>
        <v>0.10000500748340575</v>
      </c>
      <c r="Z455" s="4">
        <f t="shared" si="199"/>
        <v>0.18054203225932086</v>
      </c>
      <c r="AA455" s="4">
        <f t="shared" si="200"/>
        <v>0</v>
      </c>
      <c r="AB455" s="31">
        <v>16681</v>
      </c>
      <c r="AC455" s="31">
        <v>17974</v>
      </c>
      <c r="AD455" s="31">
        <v>164051</v>
      </c>
      <c r="AE455" s="31">
        <v>161562</v>
      </c>
      <c r="AF455" s="31">
        <v>161017</v>
      </c>
      <c r="AG455" s="31">
        <v>1575</v>
      </c>
      <c r="AH455" s="31">
        <v>0</v>
      </c>
      <c r="AI455" s="31">
        <v>162592</v>
      </c>
      <c r="AJ455" s="45">
        <f t="shared" si="201"/>
        <v>18.541680921427758</v>
      </c>
      <c r="AK455" s="31">
        <v>0</v>
      </c>
      <c r="AL455" s="31">
        <v>0</v>
      </c>
      <c r="AM455" s="31">
        <v>0</v>
      </c>
      <c r="AN455" s="31">
        <v>0</v>
      </c>
      <c r="AO455" s="31">
        <v>0</v>
      </c>
      <c r="AP455" s="31">
        <v>16889</v>
      </c>
      <c r="AQ455" s="31">
        <v>16889</v>
      </c>
      <c r="AR455" s="31">
        <v>179481</v>
      </c>
      <c r="AS455" s="46">
        <f t="shared" si="202"/>
        <v>20.467670201847419</v>
      </c>
      <c r="AT455" s="31">
        <v>0</v>
      </c>
      <c r="AU455" s="31">
        <v>0</v>
      </c>
      <c r="AV455" s="31">
        <v>0</v>
      </c>
      <c r="AW455" s="31">
        <v>0</v>
      </c>
      <c r="AX455" s="31">
        <v>0</v>
      </c>
      <c r="AY455" s="31">
        <v>0</v>
      </c>
      <c r="AZ455" s="31">
        <v>10000</v>
      </c>
      <c r="BA455" s="31">
        <v>0</v>
      </c>
      <c r="BB455" s="31">
        <v>10000</v>
      </c>
      <c r="BC455" s="33" t="s">
        <v>25</v>
      </c>
      <c r="BD455" s="47">
        <v>20868</v>
      </c>
      <c r="BE455" s="47">
        <v>21881</v>
      </c>
      <c r="BF455" s="45">
        <f t="shared" si="203"/>
        <v>2.4952674193180524</v>
      </c>
      <c r="BG455" s="30">
        <v>676</v>
      </c>
      <c r="BH455" s="30">
        <v>683</v>
      </c>
      <c r="BI455" s="30">
        <v>0</v>
      </c>
      <c r="BJ455" s="30">
        <v>1759</v>
      </c>
      <c r="BK455" s="30">
        <v>1762</v>
      </c>
      <c r="BL455" s="30">
        <v>0</v>
      </c>
      <c r="BM455" s="30">
        <v>190</v>
      </c>
      <c r="BN455" s="30">
        <v>1</v>
      </c>
      <c r="BO455" s="30">
        <v>51</v>
      </c>
      <c r="BP455" s="30">
        <v>0</v>
      </c>
      <c r="BQ455" s="30">
        <v>52</v>
      </c>
      <c r="BR455" s="47">
        <v>23303</v>
      </c>
      <c r="BS455" s="47">
        <v>24517</v>
      </c>
      <c r="BT455" s="1">
        <f t="shared" si="204"/>
        <v>2.7958718211882769</v>
      </c>
      <c r="BU455" s="30">
        <v>33</v>
      </c>
      <c r="BV455" s="30">
        <v>0</v>
      </c>
      <c r="BW455" s="47">
        <v>156</v>
      </c>
      <c r="BX455" s="52">
        <f t="shared" si="205"/>
        <v>1.7789941840574752E-2</v>
      </c>
      <c r="BY455" s="47">
        <v>3237</v>
      </c>
      <c r="BZ455" s="47">
        <v>47</v>
      </c>
      <c r="CA455" s="47">
        <v>15976</v>
      </c>
      <c r="CB455" s="47">
        <v>902</v>
      </c>
      <c r="CC455" s="47">
        <v>20162</v>
      </c>
      <c r="CD455" s="55">
        <f t="shared" si="206"/>
        <v>2.2992359448055653</v>
      </c>
      <c r="CE455" s="3">
        <f t="shared" si="207"/>
        <v>4634.9425287356325</v>
      </c>
      <c r="CF455" s="55">
        <f t="shared" si="208"/>
        <v>8.4501257334450965</v>
      </c>
      <c r="CG455" s="55">
        <f t="shared" si="209"/>
        <v>1.1941483060886047</v>
      </c>
      <c r="CH455" s="55">
        <f t="shared" si="210"/>
        <v>0.78366031733083164</v>
      </c>
      <c r="CI455" s="30">
        <v>4</v>
      </c>
      <c r="CJ455" s="30">
        <v>0</v>
      </c>
      <c r="CK455" s="30">
        <v>3</v>
      </c>
      <c r="CL455" s="30">
        <v>7</v>
      </c>
      <c r="CM455" s="30">
        <v>928</v>
      </c>
      <c r="CN455" s="30">
        <v>0</v>
      </c>
      <c r="CO455" s="30">
        <v>283</v>
      </c>
      <c r="CP455" s="30">
        <v>1211</v>
      </c>
      <c r="CQ455" s="1">
        <f t="shared" si="218"/>
        <v>0.13810012544189759</v>
      </c>
      <c r="CR455" s="47">
        <v>16884</v>
      </c>
      <c r="CS455" s="55">
        <f t="shared" si="211"/>
        <v>1.9254190899760519</v>
      </c>
      <c r="CT455" s="59">
        <v>5082</v>
      </c>
      <c r="CU455" s="29" t="s">
        <v>25</v>
      </c>
      <c r="CV455" s="29" t="s">
        <v>25</v>
      </c>
      <c r="CW455" s="29" t="s">
        <v>25</v>
      </c>
      <c r="CX455" s="35">
        <v>0</v>
      </c>
      <c r="CY455" s="49">
        <v>0</v>
      </c>
      <c r="CZ455" s="35">
        <v>3</v>
      </c>
      <c r="DA455" s="35">
        <v>1.35</v>
      </c>
      <c r="DB455" s="35">
        <v>4.3499999999999996</v>
      </c>
      <c r="DC455" s="49">
        <f t="shared" si="212"/>
        <v>2015.8620689655174</v>
      </c>
      <c r="DD455" s="30">
        <v>214</v>
      </c>
      <c r="DE455" s="31">
        <v>30968</v>
      </c>
      <c r="DF455" s="35">
        <v>40</v>
      </c>
      <c r="DG455" s="29" t="s">
        <v>25</v>
      </c>
      <c r="DH455" s="29" t="s">
        <v>26</v>
      </c>
      <c r="DI455" s="29" t="s">
        <v>26</v>
      </c>
      <c r="DJ455" s="47">
        <v>0</v>
      </c>
      <c r="DK455" s="47">
        <v>0</v>
      </c>
      <c r="DL455" s="47">
        <v>11</v>
      </c>
      <c r="DM455" s="47">
        <v>8857</v>
      </c>
      <c r="DN455" s="47">
        <v>74</v>
      </c>
      <c r="DO455" s="47">
        <v>0</v>
      </c>
      <c r="DP455" s="29" t="s">
        <v>25</v>
      </c>
      <c r="DQ455" s="47">
        <v>7106</v>
      </c>
      <c r="DR455" s="47">
        <v>2386</v>
      </c>
      <c r="DS455" s="30">
        <v>52</v>
      </c>
      <c r="DT455" s="30">
        <v>48</v>
      </c>
      <c r="DU455" s="30">
        <v>48</v>
      </c>
      <c r="DV455" s="30">
        <v>48</v>
      </c>
      <c r="DX455" s="2">
        <f t="shared" si="213"/>
        <v>2386</v>
      </c>
      <c r="DY455" s="33" t="s">
        <v>2185</v>
      </c>
      <c r="DZ455" s="33" t="s">
        <v>1167</v>
      </c>
      <c r="EA455" s="33" t="s">
        <v>2030</v>
      </c>
      <c r="EB455" s="33" t="s">
        <v>2027</v>
      </c>
      <c r="EC455" s="36">
        <v>345</v>
      </c>
      <c r="ED455" s="29" t="s">
        <v>1165</v>
      </c>
      <c r="EE455" s="29" t="s">
        <v>1166</v>
      </c>
      <c r="EF455" s="37">
        <v>41456</v>
      </c>
      <c r="EG455" s="37">
        <v>41820</v>
      </c>
      <c r="EH455" s="29" t="s">
        <v>1165</v>
      </c>
      <c r="EI455" s="55">
        <f t="shared" si="214"/>
        <v>0.36914129319192612</v>
      </c>
      <c r="EJ455" s="54">
        <f t="shared" si="215"/>
        <v>5.3597901699167522E-3</v>
      </c>
      <c r="EK455" s="55">
        <f t="shared" si="216"/>
        <v>1.8218725054168092</v>
      </c>
      <c r="EL455" s="54">
        <f t="shared" si="217"/>
        <v>0.10286235602691299</v>
      </c>
    </row>
    <row r="456" spans="1:142" ht="28.8" x14ac:dyDescent="0.3">
      <c r="A456" s="29" t="s">
        <v>1169</v>
      </c>
      <c r="B456" s="29"/>
      <c r="C456" s="30">
        <v>34359</v>
      </c>
      <c r="D456" s="30">
        <v>0</v>
      </c>
      <c r="E456" s="30">
        <v>0</v>
      </c>
      <c r="F456" s="30">
        <v>8565</v>
      </c>
      <c r="H456" s="2">
        <f t="shared" si="193"/>
        <v>8565</v>
      </c>
      <c r="I456" s="1">
        <f t="shared" si="192"/>
        <v>0.24927966471666813</v>
      </c>
      <c r="J456" s="31">
        <v>145053</v>
      </c>
      <c r="K456" s="31">
        <v>37263</v>
      </c>
      <c r="L456" s="31">
        <v>182316</v>
      </c>
      <c r="M456" s="45">
        <f t="shared" si="194"/>
        <v>5.3062079804418056</v>
      </c>
      <c r="N456" s="31">
        <v>13387</v>
      </c>
      <c r="O456" s="31">
        <v>0</v>
      </c>
      <c r="P456" s="31">
        <v>0</v>
      </c>
      <c r="Q456" s="31">
        <v>13387</v>
      </c>
      <c r="R456" s="45">
        <f t="shared" si="195"/>
        <v>0.38962135102884249</v>
      </c>
      <c r="S456" s="31">
        <v>85135</v>
      </c>
      <c r="T456" s="31">
        <v>280838</v>
      </c>
      <c r="U456" s="31">
        <v>0</v>
      </c>
      <c r="V456" s="31">
        <v>280838</v>
      </c>
      <c r="W456" s="45">
        <f t="shared" si="196"/>
        <v>8.173637183852847</v>
      </c>
      <c r="X456" s="4">
        <f t="shared" si="197"/>
        <v>0.64918565151439622</v>
      </c>
      <c r="Y456" s="4">
        <f t="shared" si="198"/>
        <v>4.7668050619930354E-2</v>
      </c>
      <c r="Z456" s="4">
        <f t="shared" si="199"/>
        <v>0.30314629786567343</v>
      </c>
      <c r="AA456" s="4">
        <f t="shared" si="200"/>
        <v>0</v>
      </c>
      <c r="AB456" s="31">
        <v>0</v>
      </c>
      <c r="AC456" s="31">
        <v>13387</v>
      </c>
      <c r="AD456" s="31">
        <v>280838</v>
      </c>
      <c r="AE456" s="31">
        <v>280838</v>
      </c>
      <c r="AF456" s="31">
        <v>280838</v>
      </c>
      <c r="AG456" s="31">
        <v>0</v>
      </c>
      <c r="AH456" s="31">
        <v>0</v>
      </c>
      <c r="AI456" s="31">
        <v>280838</v>
      </c>
      <c r="AJ456" s="45">
        <f t="shared" si="201"/>
        <v>8.173637183852847</v>
      </c>
      <c r="AK456" s="31">
        <v>0</v>
      </c>
      <c r="AL456" s="31">
        <v>0</v>
      </c>
      <c r="AM456" s="31">
        <v>0</v>
      </c>
      <c r="AN456" s="31">
        <v>0</v>
      </c>
      <c r="AO456" s="31">
        <v>0</v>
      </c>
      <c r="AP456" s="31">
        <v>0</v>
      </c>
      <c r="AQ456" s="31">
        <v>0</v>
      </c>
      <c r="AR456" s="31">
        <v>280838</v>
      </c>
      <c r="AS456" s="46">
        <f t="shared" si="202"/>
        <v>8.173637183852847</v>
      </c>
      <c r="AT456" s="31">
        <v>0</v>
      </c>
      <c r="AU456" s="31">
        <v>0</v>
      </c>
      <c r="AV456" s="31">
        <v>0</v>
      </c>
      <c r="AW456" s="31">
        <v>0</v>
      </c>
      <c r="AX456" s="31">
        <v>0</v>
      </c>
      <c r="AY456" s="31">
        <v>0</v>
      </c>
      <c r="AZ456" s="31">
        <v>0</v>
      </c>
      <c r="BA456" s="31">
        <v>0</v>
      </c>
      <c r="BB456" s="31">
        <v>0</v>
      </c>
      <c r="BC456" s="33" t="s">
        <v>25</v>
      </c>
      <c r="BD456" s="47">
        <v>34320</v>
      </c>
      <c r="BE456" s="47">
        <v>36976</v>
      </c>
      <c r="BF456" s="45">
        <f t="shared" si="203"/>
        <v>1.0761663610698797</v>
      </c>
      <c r="BG456" s="30">
        <v>0</v>
      </c>
      <c r="BH456" s="30">
        <v>0</v>
      </c>
      <c r="BI456" s="30">
        <v>0</v>
      </c>
      <c r="BJ456" s="30">
        <v>2378</v>
      </c>
      <c r="BK456" s="30">
        <v>2963</v>
      </c>
      <c r="BL456" s="30">
        <v>0</v>
      </c>
      <c r="BM456" s="30">
        <v>0</v>
      </c>
      <c r="BN456" s="30">
        <v>0</v>
      </c>
      <c r="BO456" s="30">
        <v>51</v>
      </c>
      <c r="BP456" s="30">
        <v>0</v>
      </c>
      <c r="BQ456" s="30">
        <v>51</v>
      </c>
      <c r="BR456" s="47">
        <v>36698</v>
      </c>
      <c r="BS456" s="47">
        <v>39939</v>
      </c>
      <c r="BT456" s="1">
        <f t="shared" si="204"/>
        <v>1.1624028638784598</v>
      </c>
      <c r="BU456" s="30">
        <v>52</v>
      </c>
      <c r="BV456" s="30">
        <v>0</v>
      </c>
      <c r="BW456" s="47">
        <v>43288</v>
      </c>
      <c r="BX456" s="52">
        <f t="shared" si="205"/>
        <v>1.259873686661428</v>
      </c>
      <c r="BY456" s="47">
        <v>20407</v>
      </c>
      <c r="BZ456" s="47">
        <v>0</v>
      </c>
      <c r="CA456" s="47">
        <v>30142</v>
      </c>
      <c r="CB456" s="47">
        <v>0</v>
      </c>
      <c r="CC456" s="47">
        <v>50549</v>
      </c>
      <c r="CD456" s="55">
        <f t="shared" si="206"/>
        <v>1.471201140894671</v>
      </c>
      <c r="CE456" s="3">
        <f t="shared" si="207"/>
        <v>9190.7272727272721</v>
      </c>
      <c r="CF456" s="55">
        <f t="shared" si="208"/>
        <v>23.176983035304907</v>
      </c>
      <c r="CG456" s="55">
        <f t="shared" si="209"/>
        <v>0.56320750512523399</v>
      </c>
      <c r="CH456" s="55">
        <f t="shared" si="210"/>
        <v>1.265655124064198</v>
      </c>
      <c r="CI456" s="30">
        <v>119</v>
      </c>
      <c r="CJ456" s="30">
        <v>0</v>
      </c>
      <c r="CK456" s="30">
        <v>19</v>
      </c>
      <c r="CL456" s="30">
        <v>138</v>
      </c>
      <c r="CM456" s="30">
        <v>1830</v>
      </c>
      <c r="CN456" s="30">
        <v>0</v>
      </c>
      <c r="CO456" s="30">
        <v>200</v>
      </c>
      <c r="CP456" s="30">
        <v>2030</v>
      </c>
      <c r="CQ456" s="1">
        <f t="shared" si="218"/>
        <v>5.9082045461160103E-2</v>
      </c>
      <c r="CR456" s="47">
        <v>89752</v>
      </c>
      <c r="CS456" s="55">
        <f t="shared" si="211"/>
        <v>2.6121831252364736</v>
      </c>
      <c r="CT456" s="59">
        <v>32438</v>
      </c>
      <c r="CU456" s="29" t="s">
        <v>25</v>
      </c>
      <c r="CV456" s="29" t="s">
        <v>25</v>
      </c>
      <c r="CW456" s="29" t="s">
        <v>25</v>
      </c>
      <c r="CX456" s="35">
        <v>1</v>
      </c>
      <c r="CY456" s="49">
        <f>C456/CX456</f>
        <v>34359</v>
      </c>
      <c r="CZ456" s="35">
        <v>1</v>
      </c>
      <c r="DA456" s="35">
        <v>3.5</v>
      </c>
      <c r="DB456" s="35">
        <v>5.5</v>
      </c>
      <c r="DC456" s="49">
        <f t="shared" si="212"/>
        <v>6247.090909090909</v>
      </c>
      <c r="DD456" s="30">
        <v>1286</v>
      </c>
      <c r="DE456" s="31">
        <v>48400</v>
      </c>
      <c r="DF456" s="35">
        <v>40</v>
      </c>
      <c r="DG456" s="29" t="s">
        <v>25</v>
      </c>
      <c r="DH456" s="29" t="s">
        <v>25</v>
      </c>
      <c r="DI456" s="29" t="s">
        <v>25</v>
      </c>
      <c r="DJ456" s="47">
        <v>58</v>
      </c>
      <c r="DK456" s="47">
        <v>11</v>
      </c>
      <c r="DL456" s="47">
        <v>28</v>
      </c>
      <c r="DM456" s="47">
        <v>31324</v>
      </c>
      <c r="DN456" s="47">
        <v>300</v>
      </c>
      <c r="DO456" s="47">
        <v>13500</v>
      </c>
      <c r="DP456" s="29" t="s">
        <v>2028</v>
      </c>
      <c r="DQ456" s="47">
        <v>0</v>
      </c>
      <c r="DR456" s="47">
        <v>2181</v>
      </c>
      <c r="DS456" s="30">
        <v>52</v>
      </c>
      <c r="DT456" s="30">
        <v>48</v>
      </c>
      <c r="DU456" s="30">
        <v>48</v>
      </c>
      <c r="DV456" s="30">
        <v>48</v>
      </c>
      <c r="DX456" s="2">
        <f t="shared" si="213"/>
        <v>2181</v>
      </c>
      <c r="DY456" s="33" t="s">
        <v>2180</v>
      </c>
      <c r="DZ456" s="33" t="s">
        <v>1170</v>
      </c>
      <c r="EA456" s="33" t="s">
        <v>2030</v>
      </c>
      <c r="EB456" s="33" t="s">
        <v>2027</v>
      </c>
      <c r="EC456" s="36">
        <v>346</v>
      </c>
      <c r="ED456" s="29" t="s">
        <v>1168</v>
      </c>
      <c r="EE456" s="29" t="s">
        <v>214</v>
      </c>
      <c r="EF456" s="37">
        <v>41548</v>
      </c>
      <c r="EG456" s="37">
        <v>41912</v>
      </c>
      <c r="EH456" s="29" t="s">
        <v>1168</v>
      </c>
      <c r="EI456" s="55">
        <f t="shared" si="214"/>
        <v>0.59393463139206615</v>
      </c>
      <c r="EJ456" s="54">
        <f t="shared" si="215"/>
        <v>0</v>
      </c>
      <c r="EK456" s="55">
        <f t="shared" si="216"/>
        <v>0.87726650950260487</v>
      </c>
      <c r="EL456" s="54">
        <f t="shared" si="217"/>
        <v>0</v>
      </c>
    </row>
    <row r="457" spans="1:142" ht="28.8" x14ac:dyDescent="0.3">
      <c r="A457" s="29" t="s">
        <v>1181</v>
      </c>
      <c r="B457" s="29"/>
      <c r="C457" s="30">
        <v>903</v>
      </c>
      <c r="D457" s="30">
        <v>0</v>
      </c>
      <c r="E457" s="30">
        <v>0</v>
      </c>
      <c r="F457" s="30">
        <v>3200</v>
      </c>
      <c r="H457" s="2">
        <f t="shared" si="193"/>
        <v>3200</v>
      </c>
      <c r="I457" s="1">
        <f t="shared" si="192"/>
        <v>3.5437430786267994</v>
      </c>
      <c r="J457" s="31">
        <v>27091</v>
      </c>
      <c r="K457" s="31">
        <v>6325</v>
      </c>
      <c r="L457" s="31">
        <v>33416</v>
      </c>
      <c r="M457" s="45">
        <f t="shared" si="194"/>
        <v>37.005537098560353</v>
      </c>
      <c r="N457" s="31">
        <v>7462</v>
      </c>
      <c r="O457" s="31">
        <v>0</v>
      </c>
      <c r="P457" s="31">
        <v>2652</v>
      </c>
      <c r="Q457" s="31">
        <v>10114</v>
      </c>
      <c r="R457" s="45">
        <f t="shared" si="195"/>
        <v>11.200442967884829</v>
      </c>
      <c r="S457" s="31">
        <v>9255</v>
      </c>
      <c r="T457" s="31">
        <v>52785</v>
      </c>
      <c r="U457" s="31">
        <v>0</v>
      </c>
      <c r="V457" s="31">
        <v>52785</v>
      </c>
      <c r="W457" s="45">
        <f t="shared" si="196"/>
        <v>58.455149501661133</v>
      </c>
      <c r="X457" s="4">
        <f t="shared" si="197"/>
        <v>0.63305863408165197</v>
      </c>
      <c r="Y457" s="4">
        <f t="shared" si="198"/>
        <v>0.19160746424173533</v>
      </c>
      <c r="Z457" s="4">
        <f t="shared" si="199"/>
        <v>0.17533390167661267</v>
      </c>
      <c r="AA457" s="4">
        <f t="shared" si="200"/>
        <v>0</v>
      </c>
      <c r="AB457" s="31">
        <v>0</v>
      </c>
      <c r="AC457" s="31">
        <v>10114</v>
      </c>
      <c r="AD457" s="31">
        <v>52785</v>
      </c>
      <c r="AE457" s="31">
        <v>52785</v>
      </c>
      <c r="AF457" s="31">
        <v>0</v>
      </c>
      <c r="AG457" s="31">
        <v>58339</v>
      </c>
      <c r="AH457" s="31">
        <v>0</v>
      </c>
      <c r="AI457" s="31">
        <v>58339</v>
      </c>
      <c r="AJ457" s="45">
        <f t="shared" si="201"/>
        <v>64.605758582502773</v>
      </c>
      <c r="AK457" s="31">
        <v>0</v>
      </c>
      <c r="AL457" s="31">
        <v>0</v>
      </c>
      <c r="AM457" s="31">
        <v>0</v>
      </c>
      <c r="AN457" s="31">
        <v>0</v>
      </c>
      <c r="AO457" s="31">
        <v>0</v>
      </c>
      <c r="AP457" s="31">
        <v>3471</v>
      </c>
      <c r="AQ457" s="31">
        <v>3471</v>
      </c>
      <c r="AR457" s="31">
        <v>61810</v>
      </c>
      <c r="AS457" s="46">
        <f t="shared" si="202"/>
        <v>68.449612403100772</v>
      </c>
      <c r="AT457" s="31">
        <v>0</v>
      </c>
      <c r="AU457" s="31">
        <v>0</v>
      </c>
      <c r="AV457" s="31">
        <v>0</v>
      </c>
      <c r="AW457" s="31">
        <v>0</v>
      </c>
      <c r="AX457" s="31">
        <v>0</v>
      </c>
      <c r="AY457" s="31">
        <v>0</v>
      </c>
      <c r="AZ457" s="31">
        <v>0</v>
      </c>
      <c r="BA457" s="31">
        <v>0</v>
      </c>
      <c r="BB457" s="31">
        <v>0</v>
      </c>
      <c r="BC457" s="33" t="s">
        <v>25</v>
      </c>
      <c r="BD457" s="47">
        <v>21478</v>
      </c>
      <c r="BE457" s="47">
        <v>21798</v>
      </c>
      <c r="BF457" s="45">
        <f t="shared" si="203"/>
        <v>24.13953488372093</v>
      </c>
      <c r="BG457" s="30">
        <v>214</v>
      </c>
      <c r="BH457" s="30">
        <v>214</v>
      </c>
      <c r="BI457" s="30">
        <v>0</v>
      </c>
      <c r="BJ457" s="30">
        <v>1807</v>
      </c>
      <c r="BK457" s="30">
        <v>1809</v>
      </c>
      <c r="BL457" s="30">
        <v>0</v>
      </c>
      <c r="BM457" s="30">
        <v>0</v>
      </c>
      <c r="BN457" s="30">
        <v>0</v>
      </c>
      <c r="BO457" s="30">
        <v>51</v>
      </c>
      <c r="BP457" s="30">
        <v>0</v>
      </c>
      <c r="BQ457" s="30">
        <v>51</v>
      </c>
      <c r="BR457" s="47">
        <v>23499</v>
      </c>
      <c r="BS457" s="47">
        <v>23821</v>
      </c>
      <c r="BT457" s="1">
        <f t="shared" si="204"/>
        <v>26.379844961240309</v>
      </c>
      <c r="BU457" s="30">
        <v>31</v>
      </c>
      <c r="BV457" s="30">
        <v>0</v>
      </c>
      <c r="BW457" s="47">
        <v>170</v>
      </c>
      <c r="BX457" s="52">
        <f t="shared" si="205"/>
        <v>0.18826135105204872</v>
      </c>
      <c r="BY457" s="47">
        <v>940</v>
      </c>
      <c r="BZ457" s="47">
        <v>0</v>
      </c>
      <c r="CA457" s="47">
        <v>10229</v>
      </c>
      <c r="CB457" s="47">
        <v>0</v>
      </c>
      <c r="CC457" s="47">
        <v>11169</v>
      </c>
      <c r="CD457" s="55">
        <f t="shared" si="206"/>
        <v>12.368770764119601</v>
      </c>
      <c r="CE457" s="3">
        <f t="shared" si="207"/>
        <v>9505.531914893616</v>
      </c>
      <c r="CF457" s="55">
        <f t="shared" si="208"/>
        <v>7.8710359408033828</v>
      </c>
      <c r="CG457" s="55">
        <f t="shared" si="209"/>
        <v>1.7661290322580645</v>
      </c>
      <c r="CH457" s="55">
        <f t="shared" si="210"/>
        <v>0.46887200369421939</v>
      </c>
      <c r="CI457" s="30">
        <v>0</v>
      </c>
      <c r="CJ457" s="30">
        <v>0</v>
      </c>
      <c r="CK457" s="30">
        <v>0</v>
      </c>
      <c r="CL457" s="30">
        <v>0</v>
      </c>
      <c r="CM457" s="30">
        <v>0</v>
      </c>
      <c r="CN457" s="30">
        <v>0</v>
      </c>
      <c r="CO457" s="30">
        <v>0</v>
      </c>
      <c r="CP457" s="30">
        <v>0</v>
      </c>
      <c r="CQ457" s="1">
        <f t="shared" si="218"/>
        <v>0</v>
      </c>
      <c r="CR457" s="47">
        <v>6324</v>
      </c>
      <c r="CS457" s="55">
        <f t="shared" si="211"/>
        <v>7.0033222591362128</v>
      </c>
      <c r="CT457" s="59">
        <v>386</v>
      </c>
      <c r="CU457" s="29" t="s">
        <v>25</v>
      </c>
      <c r="CV457" s="29" t="s">
        <v>25</v>
      </c>
      <c r="CW457" s="29" t="s">
        <v>25</v>
      </c>
      <c r="CX457" s="35">
        <v>0</v>
      </c>
      <c r="CY457" s="49">
        <v>0</v>
      </c>
      <c r="CZ457" s="35">
        <v>0.625</v>
      </c>
      <c r="DA457" s="35">
        <v>0.55000000000000004</v>
      </c>
      <c r="DB457" s="35">
        <v>1.175</v>
      </c>
      <c r="DC457" s="49">
        <f t="shared" si="212"/>
        <v>768.51063829787233</v>
      </c>
      <c r="DD457" s="30">
        <v>52</v>
      </c>
      <c r="DE457" s="31">
        <v>16329</v>
      </c>
      <c r="DF457" s="35">
        <v>25</v>
      </c>
      <c r="DG457" s="29" t="s">
        <v>25</v>
      </c>
      <c r="DH457" s="29" t="s">
        <v>25</v>
      </c>
      <c r="DI457" s="29" t="s">
        <v>25</v>
      </c>
      <c r="DJ457" s="47">
        <v>126</v>
      </c>
      <c r="DK457" s="47">
        <v>87</v>
      </c>
      <c r="DL457" s="47">
        <v>5</v>
      </c>
      <c r="DM457" s="47">
        <v>1598</v>
      </c>
      <c r="DN457" s="47">
        <v>178</v>
      </c>
      <c r="DO457" s="47">
        <v>402</v>
      </c>
      <c r="DP457" s="29" t="s">
        <v>2028</v>
      </c>
      <c r="DQ457" s="47">
        <v>0</v>
      </c>
      <c r="DR457" s="47">
        <v>1419</v>
      </c>
      <c r="DS457" s="30">
        <v>52</v>
      </c>
      <c r="DT457" s="30">
        <v>28</v>
      </c>
      <c r="DU457" s="30">
        <v>28</v>
      </c>
      <c r="DV457" s="30">
        <v>28</v>
      </c>
      <c r="DX457" s="2">
        <f t="shared" si="213"/>
        <v>1419</v>
      </c>
      <c r="DY457" s="33" t="s">
        <v>2183</v>
      </c>
      <c r="DZ457" s="33" t="s">
        <v>1184</v>
      </c>
      <c r="EA457" s="33" t="s">
        <v>2031</v>
      </c>
      <c r="EB457" s="33" t="s">
        <v>2027</v>
      </c>
      <c r="EC457" s="36">
        <v>350</v>
      </c>
      <c r="ED457" s="29" t="s">
        <v>1182</v>
      </c>
      <c r="EE457" s="29" t="s">
        <v>1183</v>
      </c>
      <c r="EF457" s="37">
        <v>41548</v>
      </c>
      <c r="EG457" s="37">
        <v>41912</v>
      </c>
      <c r="EH457" s="29" t="s">
        <v>1182</v>
      </c>
      <c r="EI457" s="55">
        <f t="shared" si="214"/>
        <v>1.0409745293466224</v>
      </c>
      <c r="EJ457" s="54">
        <f t="shared" si="215"/>
        <v>0</v>
      </c>
      <c r="EK457" s="55">
        <f t="shared" si="216"/>
        <v>11.327796234772979</v>
      </c>
      <c r="EL457" s="54">
        <f t="shared" si="217"/>
        <v>0</v>
      </c>
    </row>
    <row r="458" spans="1:142" ht="43.2" x14ac:dyDescent="0.3">
      <c r="A458" s="29" t="s">
        <v>1547</v>
      </c>
      <c r="B458" s="29"/>
      <c r="C458" s="30">
        <v>12558</v>
      </c>
      <c r="D458" s="30">
        <v>2</v>
      </c>
      <c r="E458" s="30">
        <v>0</v>
      </c>
      <c r="F458" s="30">
        <v>6000</v>
      </c>
      <c r="G458">
        <v>3581</v>
      </c>
      <c r="H458" s="2">
        <f t="shared" si="193"/>
        <v>9581</v>
      </c>
      <c r="I458" s="1">
        <f t="shared" si="192"/>
        <v>0.76293995859213248</v>
      </c>
      <c r="J458" s="31">
        <v>37828</v>
      </c>
      <c r="K458" s="31">
        <v>13469</v>
      </c>
      <c r="L458" s="31">
        <v>51297</v>
      </c>
      <c r="M458" s="45">
        <f t="shared" si="194"/>
        <v>4.0848064978499758</v>
      </c>
      <c r="N458" s="31">
        <v>403</v>
      </c>
      <c r="O458" s="31">
        <v>0</v>
      </c>
      <c r="P458" s="31">
        <v>0</v>
      </c>
      <c r="Q458" s="31">
        <v>403</v>
      </c>
      <c r="R458" s="45">
        <f t="shared" si="195"/>
        <v>3.2091097308488616E-2</v>
      </c>
      <c r="S458" s="31">
        <v>15438</v>
      </c>
      <c r="T458" s="31">
        <v>67138</v>
      </c>
      <c r="U458" s="31">
        <v>29362</v>
      </c>
      <c r="V458" s="31">
        <v>96500</v>
      </c>
      <c r="W458" s="45">
        <f t="shared" si="196"/>
        <v>7.6843446408663798</v>
      </c>
      <c r="X458" s="4">
        <f t="shared" si="197"/>
        <v>0.5315751295336788</v>
      </c>
      <c r="Y458" s="4">
        <f t="shared" si="198"/>
        <v>4.1761658031088085E-3</v>
      </c>
      <c r="Z458" s="4">
        <f t="shared" si="199"/>
        <v>0.15997927461139896</v>
      </c>
      <c r="AA458" s="4">
        <f t="shared" si="200"/>
        <v>0.30426943005181345</v>
      </c>
      <c r="AB458" s="31">
        <v>0</v>
      </c>
      <c r="AC458" s="31">
        <v>403</v>
      </c>
      <c r="AD458" s="31">
        <v>96500</v>
      </c>
      <c r="AE458" s="31">
        <v>79635</v>
      </c>
      <c r="AF458" s="31">
        <v>29362</v>
      </c>
      <c r="AG458" s="31">
        <v>65953</v>
      </c>
      <c r="AH458" s="31">
        <v>0</v>
      </c>
      <c r="AI458" s="31">
        <v>95315</v>
      </c>
      <c r="AJ458" s="45">
        <f t="shared" si="201"/>
        <v>7.5899824812868291</v>
      </c>
      <c r="AK458" s="31">
        <v>0</v>
      </c>
      <c r="AL458" s="31">
        <v>0</v>
      </c>
      <c r="AM458" s="31">
        <v>0</v>
      </c>
      <c r="AN458" s="31">
        <v>0</v>
      </c>
      <c r="AO458" s="31">
        <v>0</v>
      </c>
      <c r="AP458" s="31">
        <v>1185</v>
      </c>
      <c r="AQ458" s="31">
        <v>1185</v>
      </c>
      <c r="AR458" s="31">
        <v>96500</v>
      </c>
      <c r="AS458" s="46">
        <f t="shared" si="202"/>
        <v>7.6843446408663798</v>
      </c>
      <c r="AT458" s="31">
        <v>0</v>
      </c>
      <c r="AU458" s="31">
        <v>0</v>
      </c>
      <c r="AV458" s="31">
        <v>0</v>
      </c>
      <c r="AW458" s="31">
        <v>0</v>
      </c>
      <c r="AX458" s="31">
        <v>0</v>
      </c>
      <c r="AY458" s="31">
        <v>0</v>
      </c>
      <c r="AZ458" s="31">
        <v>0</v>
      </c>
      <c r="BA458" s="31">
        <v>0</v>
      </c>
      <c r="BB458" s="31">
        <v>0</v>
      </c>
      <c r="BC458" s="33" t="s">
        <v>25</v>
      </c>
      <c r="BD458" s="47">
        <v>16411</v>
      </c>
      <c r="BE458" s="47">
        <v>23225</v>
      </c>
      <c r="BF458" s="45">
        <f t="shared" si="203"/>
        <v>1.8494186972447841</v>
      </c>
      <c r="BG458" s="30">
        <v>123</v>
      </c>
      <c r="BH458" s="30">
        <v>125</v>
      </c>
      <c r="BI458" s="30">
        <v>0</v>
      </c>
      <c r="BJ458" s="30">
        <v>1179</v>
      </c>
      <c r="BK458" s="30">
        <v>1183</v>
      </c>
      <c r="BL458" s="30">
        <v>0</v>
      </c>
      <c r="BM458" s="30">
        <v>0</v>
      </c>
      <c r="BN458" s="30">
        <v>0</v>
      </c>
      <c r="BO458" s="30">
        <v>51</v>
      </c>
      <c r="BP458" s="30">
        <v>0</v>
      </c>
      <c r="BQ458" s="30">
        <v>51</v>
      </c>
      <c r="BR458" s="47">
        <v>17713</v>
      </c>
      <c r="BS458" s="47">
        <v>24533</v>
      </c>
      <c r="BT458" s="1">
        <f t="shared" si="204"/>
        <v>1.9535754100971492</v>
      </c>
      <c r="BU458" s="30">
        <v>11</v>
      </c>
      <c r="BV458" s="30">
        <v>0</v>
      </c>
      <c r="BW458" s="47">
        <v>31179</v>
      </c>
      <c r="BX458" s="52">
        <f t="shared" si="205"/>
        <v>2.4827998088867655</v>
      </c>
      <c r="BY458" s="47">
        <v>1448</v>
      </c>
      <c r="BZ458" s="47">
        <v>0</v>
      </c>
      <c r="CA458" s="47">
        <v>1970</v>
      </c>
      <c r="CB458" s="47">
        <v>0</v>
      </c>
      <c r="CC458" s="47">
        <v>3418</v>
      </c>
      <c r="CD458" s="55">
        <f t="shared" si="206"/>
        <v>0.27217709826405478</v>
      </c>
      <c r="CE458" s="3">
        <f t="shared" si="207"/>
        <v>1709</v>
      </c>
      <c r="CF458" s="55">
        <f t="shared" si="208"/>
        <v>1.0507224100830004</v>
      </c>
      <c r="CG458" s="55">
        <f t="shared" si="209"/>
        <v>0.32887520446454344</v>
      </c>
      <c r="CH458" s="55">
        <f t="shared" si="210"/>
        <v>0.13932254514327641</v>
      </c>
      <c r="CI458" s="30">
        <v>78</v>
      </c>
      <c r="CJ458" s="30">
        <v>0</v>
      </c>
      <c r="CK458" s="30">
        <v>20</v>
      </c>
      <c r="CL458" s="30">
        <v>98</v>
      </c>
      <c r="CM458" s="30">
        <v>3422</v>
      </c>
      <c r="CN458" s="30">
        <v>0</v>
      </c>
      <c r="CO458" s="30">
        <v>1764</v>
      </c>
      <c r="CP458" s="30">
        <v>5186</v>
      </c>
      <c r="CQ458" s="1">
        <f t="shared" si="218"/>
        <v>0.41296384774645645</v>
      </c>
      <c r="CR458" s="47">
        <v>10393</v>
      </c>
      <c r="CS458" s="55">
        <f t="shared" si="211"/>
        <v>0.82759993629558848</v>
      </c>
      <c r="CT458" s="59">
        <v>7847</v>
      </c>
      <c r="CU458" s="29" t="s">
        <v>25</v>
      </c>
      <c r="CV458" s="29" t="s">
        <v>25</v>
      </c>
      <c r="CW458" s="29" t="s">
        <v>25</v>
      </c>
      <c r="CX458" s="35">
        <v>0</v>
      </c>
      <c r="CY458" s="49">
        <v>0</v>
      </c>
      <c r="CZ458" s="35">
        <v>1</v>
      </c>
      <c r="DA458" s="35">
        <v>1</v>
      </c>
      <c r="DB458" s="35">
        <v>2</v>
      </c>
      <c r="DC458" s="49">
        <f t="shared" si="212"/>
        <v>6279</v>
      </c>
      <c r="DD458" s="30">
        <v>1781</v>
      </c>
      <c r="DE458" s="31">
        <v>27810</v>
      </c>
      <c r="DF458" s="35">
        <v>40</v>
      </c>
      <c r="DG458" s="29" t="s">
        <v>25</v>
      </c>
      <c r="DH458" s="29" t="s">
        <v>26</v>
      </c>
      <c r="DI458" s="29" t="s">
        <v>26</v>
      </c>
      <c r="DJ458" s="47">
        <v>0</v>
      </c>
      <c r="DK458" s="47">
        <v>0</v>
      </c>
      <c r="DL458" s="47">
        <v>33</v>
      </c>
      <c r="DM458" s="47">
        <v>5942</v>
      </c>
      <c r="DN458" s="47">
        <v>1</v>
      </c>
      <c r="DO458" s="47">
        <v>0</v>
      </c>
      <c r="DP458" s="29" t="s">
        <v>83</v>
      </c>
      <c r="DQ458" s="47">
        <v>0</v>
      </c>
      <c r="DR458" s="47">
        <v>1321</v>
      </c>
      <c r="DS458" s="30">
        <v>49</v>
      </c>
      <c r="DT458" s="30">
        <v>30</v>
      </c>
      <c r="DU458" s="30">
        <v>30</v>
      </c>
      <c r="DV458" s="30">
        <v>30</v>
      </c>
      <c r="DW458">
        <f>VLOOKUP(EC458,branch!$I$4:$K$77,3,0)</f>
        <v>1932</v>
      </c>
      <c r="DX458" s="2">
        <f t="shared" si="213"/>
        <v>3253</v>
      </c>
      <c r="DY458" s="33" t="s">
        <v>2180</v>
      </c>
      <c r="DZ458" s="33" t="s">
        <v>1548</v>
      </c>
      <c r="EA458" s="33" t="s">
        <v>2034</v>
      </c>
      <c r="EB458" s="33" t="s">
        <v>2027</v>
      </c>
      <c r="EC458" s="36">
        <v>502</v>
      </c>
      <c r="ED458" s="29" t="s">
        <v>1545</v>
      </c>
      <c r="EE458" s="29" t="s">
        <v>1546</v>
      </c>
      <c r="EF458" s="37">
        <v>41548</v>
      </c>
      <c r="EG458" s="37">
        <v>41912</v>
      </c>
      <c r="EH458" s="29" t="s">
        <v>1545</v>
      </c>
      <c r="EI458" s="55">
        <f t="shared" si="214"/>
        <v>0.11530498487020226</v>
      </c>
      <c r="EJ458" s="54">
        <f t="shared" si="215"/>
        <v>0</v>
      </c>
      <c r="EK458" s="55">
        <f t="shared" si="216"/>
        <v>0.15687211339385251</v>
      </c>
      <c r="EL458" s="54">
        <f t="shared" si="217"/>
        <v>0</v>
      </c>
    </row>
    <row r="459" spans="1:142" ht="28.8" x14ac:dyDescent="0.3">
      <c r="A459" s="29" t="s">
        <v>1470</v>
      </c>
      <c r="B459" s="29"/>
      <c r="C459" s="30">
        <v>9544</v>
      </c>
      <c r="D459" s="30">
        <v>0</v>
      </c>
      <c r="E459" s="30">
        <v>0</v>
      </c>
      <c r="F459" s="30">
        <v>5050</v>
      </c>
      <c r="H459" s="2">
        <f t="shared" si="193"/>
        <v>5050</v>
      </c>
      <c r="I459" s="1">
        <f t="shared" si="192"/>
        <v>0.52912824811399828</v>
      </c>
      <c r="J459" s="31">
        <v>147107</v>
      </c>
      <c r="K459" s="31">
        <v>46619</v>
      </c>
      <c r="L459" s="31">
        <v>193726</v>
      </c>
      <c r="M459" s="45">
        <f t="shared" si="194"/>
        <v>20.298197820620285</v>
      </c>
      <c r="N459" s="31">
        <v>9920</v>
      </c>
      <c r="O459" s="31">
        <v>288</v>
      </c>
      <c r="P459" s="31">
        <v>1519</v>
      </c>
      <c r="Q459" s="31">
        <v>11727</v>
      </c>
      <c r="R459" s="45">
        <f t="shared" si="195"/>
        <v>1.2287300922045263</v>
      </c>
      <c r="S459" s="31">
        <v>26654</v>
      </c>
      <c r="T459" s="31">
        <v>232107</v>
      </c>
      <c r="U459" s="31">
        <v>0</v>
      </c>
      <c r="V459" s="31">
        <v>232107</v>
      </c>
      <c r="W459" s="45">
        <f t="shared" si="196"/>
        <v>24.319677284157585</v>
      </c>
      <c r="X459" s="4">
        <f t="shared" si="197"/>
        <v>0.83464091992055389</v>
      </c>
      <c r="Y459" s="4">
        <f t="shared" si="198"/>
        <v>5.0524111724334034E-2</v>
      </c>
      <c r="Z459" s="4">
        <f t="shared" si="199"/>
        <v>0.11483496835511209</v>
      </c>
      <c r="AA459" s="4">
        <f t="shared" si="200"/>
        <v>0</v>
      </c>
      <c r="AB459" s="31">
        <v>15075</v>
      </c>
      <c r="AC459" s="31">
        <v>11727</v>
      </c>
      <c r="AD459" s="31">
        <v>232107</v>
      </c>
      <c r="AE459" s="31">
        <v>224663</v>
      </c>
      <c r="AF459" s="31">
        <v>209533</v>
      </c>
      <c r="AG459" s="31">
        <v>15130</v>
      </c>
      <c r="AH459" s="31">
        <v>0</v>
      </c>
      <c r="AI459" s="31">
        <v>224663</v>
      </c>
      <c r="AJ459" s="45">
        <f t="shared" si="201"/>
        <v>23.53971081307628</v>
      </c>
      <c r="AK459" s="31">
        <v>0</v>
      </c>
      <c r="AL459" s="31">
        <v>0</v>
      </c>
      <c r="AM459" s="31">
        <v>0</v>
      </c>
      <c r="AN459" s="31">
        <v>0</v>
      </c>
      <c r="AO459" s="31">
        <v>0</v>
      </c>
      <c r="AP459" s="31">
        <v>6459</v>
      </c>
      <c r="AQ459" s="31">
        <v>6459</v>
      </c>
      <c r="AR459" s="31">
        <v>231122</v>
      </c>
      <c r="AS459" s="46">
        <f t="shared" si="202"/>
        <v>24.216471081307628</v>
      </c>
      <c r="AT459" s="31">
        <v>0</v>
      </c>
      <c r="AU459" s="31">
        <v>0</v>
      </c>
      <c r="AV459" s="31">
        <v>0</v>
      </c>
      <c r="AW459" s="31">
        <v>0</v>
      </c>
      <c r="AX459" s="31">
        <v>0</v>
      </c>
      <c r="AY459" s="31">
        <v>0</v>
      </c>
      <c r="AZ459" s="31">
        <v>15075</v>
      </c>
      <c r="BA459" s="31">
        <v>0</v>
      </c>
      <c r="BB459" s="31">
        <v>15075</v>
      </c>
      <c r="BC459" s="33" t="s">
        <v>25</v>
      </c>
      <c r="BD459" s="47">
        <v>17365</v>
      </c>
      <c r="BE459" s="47">
        <v>17614</v>
      </c>
      <c r="BF459" s="45">
        <f t="shared" si="203"/>
        <v>1.8455574182732606</v>
      </c>
      <c r="BG459" s="30">
        <v>1086</v>
      </c>
      <c r="BH459" s="30">
        <v>1088</v>
      </c>
      <c r="BI459" s="30">
        <v>0</v>
      </c>
      <c r="BJ459" s="30">
        <v>1416</v>
      </c>
      <c r="BK459" s="30">
        <v>1427</v>
      </c>
      <c r="BL459" s="30">
        <v>0</v>
      </c>
      <c r="BM459" s="30">
        <v>0</v>
      </c>
      <c r="BN459" s="30">
        <v>0</v>
      </c>
      <c r="BO459" s="30">
        <v>51</v>
      </c>
      <c r="BP459" s="30">
        <v>1</v>
      </c>
      <c r="BQ459" s="30">
        <v>52</v>
      </c>
      <c r="BR459" s="47">
        <v>19867</v>
      </c>
      <c r="BS459" s="47">
        <v>20129</v>
      </c>
      <c r="BT459" s="1">
        <f t="shared" si="204"/>
        <v>2.1090737636211232</v>
      </c>
      <c r="BU459" s="30">
        <v>19</v>
      </c>
      <c r="BV459" s="30">
        <v>0</v>
      </c>
      <c r="BW459" s="47">
        <v>802</v>
      </c>
      <c r="BX459" s="52">
        <f t="shared" si="205"/>
        <v>8.4031852472757754E-2</v>
      </c>
      <c r="BY459" s="47">
        <v>9217</v>
      </c>
      <c r="BZ459" s="47">
        <v>0</v>
      </c>
      <c r="CA459" s="47">
        <v>14727</v>
      </c>
      <c r="CB459" s="47">
        <v>0</v>
      </c>
      <c r="CC459" s="47">
        <v>23944</v>
      </c>
      <c r="CD459" s="55">
        <f t="shared" si="206"/>
        <v>2.5088013411567478</v>
      </c>
      <c r="CE459" s="3">
        <f t="shared" si="207"/>
        <v>5967.3520249221183</v>
      </c>
      <c r="CF459" s="55">
        <f t="shared" si="208"/>
        <v>13.961516034985422</v>
      </c>
      <c r="CG459" s="55">
        <f t="shared" si="209"/>
        <v>0.73131547600867419</v>
      </c>
      <c r="CH459" s="55">
        <f t="shared" si="210"/>
        <v>1.1895275473197873</v>
      </c>
      <c r="CI459" s="30">
        <v>70</v>
      </c>
      <c r="CJ459" s="30">
        <v>13</v>
      </c>
      <c r="CK459" s="30">
        <v>47</v>
      </c>
      <c r="CL459" s="30">
        <v>130</v>
      </c>
      <c r="CM459" s="30">
        <v>702</v>
      </c>
      <c r="CN459" s="30">
        <v>89</v>
      </c>
      <c r="CO459" s="30">
        <v>358</v>
      </c>
      <c r="CP459" s="30">
        <v>1149</v>
      </c>
      <c r="CQ459" s="1">
        <f t="shared" si="218"/>
        <v>0.12038977367979882</v>
      </c>
      <c r="CR459" s="47">
        <v>32741</v>
      </c>
      <c r="CS459" s="55">
        <f t="shared" si="211"/>
        <v>3.4305322715842412</v>
      </c>
      <c r="CT459" s="59">
        <v>5587</v>
      </c>
      <c r="CU459" s="29" t="s">
        <v>25</v>
      </c>
      <c r="CV459" s="29" t="s">
        <v>25</v>
      </c>
      <c r="CW459" s="29" t="s">
        <v>25</v>
      </c>
      <c r="CX459" s="35">
        <v>2</v>
      </c>
      <c r="CY459" s="49">
        <f>C459/CX459</f>
        <v>4772</v>
      </c>
      <c r="CZ459" s="35">
        <v>0</v>
      </c>
      <c r="DA459" s="35">
        <v>2.0125000000000002</v>
      </c>
      <c r="DB459" s="35">
        <v>4.0125000000000002</v>
      </c>
      <c r="DC459" s="49">
        <f t="shared" si="212"/>
        <v>2378.5669781931465</v>
      </c>
      <c r="DD459" s="30">
        <v>649</v>
      </c>
      <c r="DE459" s="31">
        <v>54182</v>
      </c>
      <c r="DF459" s="35">
        <v>40</v>
      </c>
      <c r="DG459" s="29" t="s">
        <v>25</v>
      </c>
      <c r="DH459" s="29" t="s">
        <v>25</v>
      </c>
      <c r="DI459" s="29" t="s">
        <v>25</v>
      </c>
      <c r="DJ459" s="47">
        <v>1991</v>
      </c>
      <c r="DK459" s="47">
        <v>990</v>
      </c>
      <c r="DL459" s="47">
        <v>5</v>
      </c>
      <c r="DM459" s="47">
        <v>4390</v>
      </c>
      <c r="DN459" s="47">
        <v>488</v>
      </c>
      <c r="DO459" s="47">
        <v>3536</v>
      </c>
      <c r="DP459" s="29" t="s">
        <v>2028</v>
      </c>
      <c r="DQ459" s="47">
        <v>0</v>
      </c>
      <c r="DR459" s="47">
        <v>1715</v>
      </c>
      <c r="DS459" s="30">
        <v>52</v>
      </c>
      <c r="DT459" s="30">
        <v>43</v>
      </c>
      <c r="DU459" s="30">
        <v>43</v>
      </c>
      <c r="DV459" s="30">
        <v>43</v>
      </c>
      <c r="DX459" s="2">
        <f t="shared" si="213"/>
        <v>1715</v>
      </c>
      <c r="DY459" s="33" t="s">
        <v>2181</v>
      </c>
      <c r="DZ459" s="33" t="s">
        <v>1472</v>
      </c>
      <c r="EA459" s="33" t="s">
        <v>2030</v>
      </c>
      <c r="EB459" s="33" t="s">
        <v>2027</v>
      </c>
      <c r="EC459" s="36">
        <v>465</v>
      </c>
      <c r="ED459" s="29" t="s">
        <v>1471</v>
      </c>
      <c r="EE459" s="29" t="s">
        <v>424</v>
      </c>
      <c r="EF459" s="37">
        <v>41548</v>
      </c>
      <c r="EG459" s="37">
        <v>41912</v>
      </c>
      <c r="EH459" s="29" t="s">
        <v>1471</v>
      </c>
      <c r="EI459" s="55">
        <f t="shared" si="214"/>
        <v>0.96573763621123221</v>
      </c>
      <c r="EJ459" s="54">
        <f t="shared" si="215"/>
        <v>0</v>
      </c>
      <c r="EK459" s="55">
        <f t="shared" si="216"/>
        <v>1.5430637049455156</v>
      </c>
      <c r="EL459" s="54">
        <f t="shared" si="217"/>
        <v>0</v>
      </c>
    </row>
    <row r="460" spans="1:142" ht="28.8" x14ac:dyDescent="0.3">
      <c r="A460" s="29" t="s">
        <v>1172</v>
      </c>
      <c r="B460" s="29"/>
      <c r="C460" s="30">
        <v>55305</v>
      </c>
      <c r="D460" s="30">
        <v>0</v>
      </c>
      <c r="E460" s="30">
        <v>0</v>
      </c>
      <c r="F460" s="30">
        <v>16565</v>
      </c>
      <c r="H460" s="2">
        <f t="shared" si="193"/>
        <v>16565</v>
      </c>
      <c r="I460" s="1">
        <f t="shared" si="192"/>
        <v>0.29952083898381704</v>
      </c>
      <c r="J460" s="31">
        <v>180725</v>
      </c>
      <c r="K460" s="31">
        <v>39779</v>
      </c>
      <c r="L460" s="31">
        <v>220504</v>
      </c>
      <c r="M460" s="45">
        <f t="shared" si="194"/>
        <v>3.9870536117891691</v>
      </c>
      <c r="N460" s="31">
        <v>14000</v>
      </c>
      <c r="O460" s="31">
        <v>2619</v>
      </c>
      <c r="P460" s="31">
        <v>6000</v>
      </c>
      <c r="Q460" s="31">
        <v>22619</v>
      </c>
      <c r="R460" s="45">
        <f t="shared" si="195"/>
        <v>0.40898652924690354</v>
      </c>
      <c r="S460" s="31">
        <v>29871</v>
      </c>
      <c r="T460" s="31">
        <v>272994</v>
      </c>
      <c r="U460" s="31">
        <v>0</v>
      </c>
      <c r="V460" s="31">
        <v>272994</v>
      </c>
      <c r="W460" s="45">
        <f t="shared" si="196"/>
        <v>4.9361540547870897</v>
      </c>
      <c r="X460" s="4">
        <f t="shared" si="197"/>
        <v>0.80772471189842998</v>
      </c>
      <c r="Y460" s="4">
        <f t="shared" si="198"/>
        <v>8.2855300849102906E-2</v>
      </c>
      <c r="Z460" s="4">
        <f t="shared" si="199"/>
        <v>0.10941998725246709</v>
      </c>
      <c r="AA460" s="4">
        <f t="shared" si="200"/>
        <v>0</v>
      </c>
      <c r="AB460" s="31">
        <v>0</v>
      </c>
      <c r="AC460" s="31">
        <v>22619</v>
      </c>
      <c r="AD460" s="31">
        <v>272994</v>
      </c>
      <c r="AE460" s="31">
        <v>270540</v>
      </c>
      <c r="AF460" s="31">
        <v>270540</v>
      </c>
      <c r="AG460" s="31">
        <v>14481</v>
      </c>
      <c r="AH460" s="31">
        <v>0</v>
      </c>
      <c r="AI460" s="31">
        <v>285021</v>
      </c>
      <c r="AJ460" s="45">
        <f t="shared" si="201"/>
        <v>5.1536208299430433</v>
      </c>
      <c r="AK460" s="31">
        <v>0</v>
      </c>
      <c r="AL460" s="31">
        <v>0</v>
      </c>
      <c r="AM460" s="31">
        <v>0</v>
      </c>
      <c r="AN460" s="31">
        <v>0</v>
      </c>
      <c r="AO460" s="31">
        <v>0</v>
      </c>
      <c r="AP460" s="31">
        <v>0</v>
      </c>
      <c r="AQ460" s="31">
        <v>0</v>
      </c>
      <c r="AR460" s="31">
        <v>285021</v>
      </c>
      <c r="AS460" s="46">
        <f t="shared" si="202"/>
        <v>5.1536208299430433</v>
      </c>
      <c r="AT460" s="31">
        <v>0</v>
      </c>
      <c r="AU460" s="31">
        <v>0</v>
      </c>
      <c r="AV460" s="31">
        <v>0</v>
      </c>
      <c r="AW460" s="31">
        <v>0</v>
      </c>
      <c r="AX460" s="31">
        <v>0</v>
      </c>
      <c r="AY460" s="31">
        <v>0</v>
      </c>
      <c r="AZ460" s="31">
        <v>0</v>
      </c>
      <c r="BA460" s="31">
        <v>0</v>
      </c>
      <c r="BB460" s="31">
        <v>0</v>
      </c>
      <c r="BC460" s="33" t="s">
        <v>25</v>
      </c>
      <c r="BD460" s="47">
        <v>33155</v>
      </c>
      <c r="BE460" s="47">
        <v>35343</v>
      </c>
      <c r="BF460" s="45">
        <f t="shared" si="203"/>
        <v>0.63905614320585846</v>
      </c>
      <c r="BG460" s="30">
        <v>167</v>
      </c>
      <c r="BH460" s="30">
        <v>176</v>
      </c>
      <c r="BI460" s="30">
        <v>0</v>
      </c>
      <c r="BJ460" s="30">
        <v>2407</v>
      </c>
      <c r="BK460" s="30">
        <v>2584</v>
      </c>
      <c r="BL460" s="30">
        <v>0</v>
      </c>
      <c r="BM460" s="30">
        <v>1</v>
      </c>
      <c r="BN460" s="30">
        <v>0</v>
      </c>
      <c r="BO460" s="30">
        <v>51</v>
      </c>
      <c r="BP460" s="30">
        <v>0</v>
      </c>
      <c r="BQ460" s="30">
        <v>51</v>
      </c>
      <c r="BR460" s="47">
        <v>35729</v>
      </c>
      <c r="BS460" s="47">
        <v>38104</v>
      </c>
      <c r="BT460" s="1">
        <f t="shared" si="204"/>
        <v>0.68897929662779134</v>
      </c>
      <c r="BU460" s="30">
        <v>23</v>
      </c>
      <c r="BV460" s="30">
        <v>62</v>
      </c>
      <c r="BW460" s="47">
        <v>22550</v>
      </c>
      <c r="BX460" s="52">
        <f t="shared" si="205"/>
        <v>0.40773890245004973</v>
      </c>
      <c r="BY460" s="47">
        <v>24195</v>
      </c>
      <c r="BZ460" s="47">
        <v>0</v>
      </c>
      <c r="CA460" s="47">
        <v>14736</v>
      </c>
      <c r="CB460" s="47">
        <v>0</v>
      </c>
      <c r="CC460" s="47">
        <v>38931</v>
      </c>
      <c r="CD460" s="55">
        <f t="shared" si="206"/>
        <v>0.70393273664225653</v>
      </c>
      <c r="CE460" s="3">
        <f t="shared" si="207"/>
        <v>6488.5</v>
      </c>
      <c r="CF460" s="55">
        <f t="shared" si="208"/>
        <v>13.746822033898304</v>
      </c>
      <c r="CG460" s="55">
        <f t="shared" si="209"/>
        <v>0.35758833849234417</v>
      </c>
      <c r="CH460" s="55">
        <f t="shared" si="210"/>
        <v>1.0217037581356287</v>
      </c>
      <c r="CI460" s="30">
        <v>198</v>
      </c>
      <c r="CJ460" s="30">
        <v>38</v>
      </c>
      <c r="CK460" s="30">
        <v>50</v>
      </c>
      <c r="CL460" s="30">
        <v>286</v>
      </c>
      <c r="CM460" s="30">
        <v>1516</v>
      </c>
      <c r="CN460" s="30">
        <v>196</v>
      </c>
      <c r="CO460" s="30">
        <v>510</v>
      </c>
      <c r="CP460" s="30">
        <v>2222</v>
      </c>
      <c r="CQ460" s="1">
        <f t="shared" si="218"/>
        <v>4.0177199168248801E-2</v>
      </c>
      <c r="CR460" s="47">
        <v>108871</v>
      </c>
      <c r="CS460" s="55">
        <f t="shared" si="211"/>
        <v>1.9685561884097278</v>
      </c>
      <c r="CT460" s="59">
        <v>14926</v>
      </c>
      <c r="CU460" s="29" t="s">
        <v>25</v>
      </c>
      <c r="CV460" s="29" t="s">
        <v>25</v>
      </c>
      <c r="CW460" s="29" t="s">
        <v>25</v>
      </c>
      <c r="CX460" s="35">
        <v>2</v>
      </c>
      <c r="CY460" s="49">
        <f>C460/CX460</f>
        <v>27652.5</v>
      </c>
      <c r="CZ460" s="35">
        <v>0</v>
      </c>
      <c r="DA460" s="35">
        <v>4</v>
      </c>
      <c r="DB460" s="35">
        <v>6</v>
      </c>
      <c r="DC460" s="49">
        <f t="shared" si="212"/>
        <v>9217.5</v>
      </c>
      <c r="DD460" s="30">
        <v>239</v>
      </c>
      <c r="DE460" s="31">
        <v>50763</v>
      </c>
      <c r="DF460" s="35">
        <v>40</v>
      </c>
      <c r="DG460" s="29" t="s">
        <v>25</v>
      </c>
      <c r="DH460" s="29" t="s">
        <v>25</v>
      </c>
      <c r="DI460" s="29" t="s">
        <v>25</v>
      </c>
      <c r="DJ460" s="47">
        <v>182</v>
      </c>
      <c r="DK460" s="47">
        <v>98</v>
      </c>
      <c r="DL460" s="47">
        <v>80</v>
      </c>
      <c r="DM460" s="47">
        <v>29701</v>
      </c>
      <c r="DN460" s="47">
        <v>8296</v>
      </c>
      <c r="DO460" s="47">
        <v>7925</v>
      </c>
      <c r="DP460" s="29" t="s">
        <v>25</v>
      </c>
      <c r="DQ460" s="47">
        <v>735688</v>
      </c>
      <c r="DR460" s="47">
        <v>2832</v>
      </c>
      <c r="DS460" s="30">
        <v>51</v>
      </c>
      <c r="DT460" s="30">
        <v>56</v>
      </c>
      <c r="DU460" s="30">
        <v>56</v>
      </c>
      <c r="DV460" s="30">
        <v>56</v>
      </c>
      <c r="DX460" s="2">
        <f t="shared" si="213"/>
        <v>2832</v>
      </c>
      <c r="DY460" s="33" t="s">
        <v>2180</v>
      </c>
      <c r="DZ460" s="33" t="s">
        <v>1173</v>
      </c>
      <c r="EA460" s="33" t="s">
        <v>2030</v>
      </c>
      <c r="EB460" s="33" t="s">
        <v>2027</v>
      </c>
      <c r="EC460" s="36">
        <v>347</v>
      </c>
      <c r="ED460" s="29" t="s">
        <v>1171</v>
      </c>
      <c r="EE460" s="29" t="s">
        <v>35</v>
      </c>
      <c r="EF460" s="37">
        <v>41548</v>
      </c>
      <c r="EG460" s="37">
        <v>41912</v>
      </c>
      <c r="EH460" s="29" t="s">
        <v>1171</v>
      </c>
      <c r="EI460" s="55">
        <f t="shared" si="214"/>
        <v>0.43748304854895581</v>
      </c>
      <c r="EJ460" s="54">
        <f t="shared" si="215"/>
        <v>0</v>
      </c>
      <c r="EK460" s="55">
        <f t="shared" si="216"/>
        <v>0.26644968809330077</v>
      </c>
      <c r="EL460" s="54">
        <f t="shared" si="217"/>
        <v>0</v>
      </c>
    </row>
    <row r="461" spans="1:142" ht="28.8" x14ac:dyDescent="0.3">
      <c r="A461" s="29" t="s">
        <v>1175</v>
      </c>
      <c r="B461" s="29"/>
      <c r="C461" s="30">
        <v>69834</v>
      </c>
      <c r="D461" s="30">
        <v>0</v>
      </c>
      <c r="E461" s="30">
        <v>0</v>
      </c>
      <c r="F461" s="30">
        <v>27000</v>
      </c>
      <c r="H461" s="2">
        <f t="shared" si="193"/>
        <v>27000</v>
      </c>
      <c r="I461" s="1">
        <f t="shared" si="192"/>
        <v>0.38663115387919922</v>
      </c>
      <c r="J461" s="31">
        <v>935402</v>
      </c>
      <c r="K461" s="31">
        <v>385466</v>
      </c>
      <c r="L461" s="31">
        <v>1320868</v>
      </c>
      <c r="M461" s="45">
        <f t="shared" si="194"/>
        <v>18.914396998596672</v>
      </c>
      <c r="N461" s="31">
        <v>112638</v>
      </c>
      <c r="O461" s="31">
        <v>16293</v>
      </c>
      <c r="P461" s="31">
        <v>31078</v>
      </c>
      <c r="Q461" s="31">
        <v>160009</v>
      </c>
      <c r="R461" s="45">
        <f t="shared" si="195"/>
        <v>2.2912764555946961</v>
      </c>
      <c r="S461" s="31">
        <v>93010</v>
      </c>
      <c r="T461" s="31">
        <v>1573887</v>
      </c>
      <c r="U461" s="31">
        <v>0</v>
      </c>
      <c r="V461" s="31">
        <v>1573887</v>
      </c>
      <c r="W461" s="45">
        <f t="shared" si="196"/>
        <v>22.53754618094338</v>
      </c>
      <c r="X461" s="4">
        <f t="shared" si="197"/>
        <v>0.83923941172396743</v>
      </c>
      <c r="Y461" s="4">
        <f t="shared" si="198"/>
        <v>0.10166485904007086</v>
      </c>
      <c r="Z461" s="4">
        <f t="shared" si="199"/>
        <v>5.9095729235961666E-2</v>
      </c>
      <c r="AA461" s="4">
        <f t="shared" si="200"/>
        <v>0</v>
      </c>
      <c r="AB461" s="31">
        <v>93639</v>
      </c>
      <c r="AC461" s="31">
        <v>160009</v>
      </c>
      <c r="AD461" s="31">
        <v>1573887</v>
      </c>
      <c r="AE461" s="31">
        <v>1542987</v>
      </c>
      <c r="AF461" s="31">
        <v>1462987</v>
      </c>
      <c r="AG461" s="31">
        <v>80000</v>
      </c>
      <c r="AH461" s="31">
        <v>0</v>
      </c>
      <c r="AI461" s="31">
        <v>1542987</v>
      </c>
      <c r="AJ461" s="45">
        <f t="shared" si="201"/>
        <v>22.095068304837184</v>
      </c>
      <c r="AK461" s="31">
        <v>0</v>
      </c>
      <c r="AL461" s="31">
        <v>0</v>
      </c>
      <c r="AM461" s="31">
        <v>0</v>
      </c>
      <c r="AN461" s="31">
        <v>0</v>
      </c>
      <c r="AO461" s="31">
        <v>0</v>
      </c>
      <c r="AP461" s="31">
        <v>30900</v>
      </c>
      <c r="AQ461" s="31">
        <v>30900</v>
      </c>
      <c r="AR461" s="31">
        <v>1573887</v>
      </c>
      <c r="AS461" s="46">
        <f t="shared" si="202"/>
        <v>22.53754618094338</v>
      </c>
      <c r="AT461" s="31">
        <v>93639</v>
      </c>
      <c r="AU461" s="31">
        <v>0</v>
      </c>
      <c r="AV461" s="31">
        <v>0</v>
      </c>
      <c r="AW461" s="31">
        <v>0</v>
      </c>
      <c r="AX461" s="31">
        <v>0</v>
      </c>
      <c r="AY461" s="31">
        <v>0</v>
      </c>
      <c r="AZ461" s="31">
        <v>0</v>
      </c>
      <c r="BA461" s="31">
        <v>0</v>
      </c>
      <c r="BB461" s="31">
        <v>93639</v>
      </c>
      <c r="BC461" s="33" t="s">
        <v>25</v>
      </c>
      <c r="BD461" s="47">
        <v>121059</v>
      </c>
      <c r="BE461" s="47">
        <v>142423</v>
      </c>
      <c r="BF461" s="45">
        <f t="shared" si="203"/>
        <v>2.0394506973680442</v>
      </c>
      <c r="BG461" s="30">
        <v>2780</v>
      </c>
      <c r="BH461" s="30">
        <v>3271</v>
      </c>
      <c r="BI461" s="30">
        <v>5902</v>
      </c>
      <c r="BJ461" s="30">
        <v>8936</v>
      </c>
      <c r="BK461" s="30">
        <v>10513</v>
      </c>
      <c r="BL461" s="30">
        <v>96</v>
      </c>
      <c r="BM461" s="30">
        <v>7119</v>
      </c>
      <c r="BN461" s="30">
        <v>2</v>
      </c>
      <c r="BO461" s="30">
        <v>51</v>
      </c>
      <c r="BP461" s="30">
        <v>0</v>
      </c>
      <c r="BQ461" s="30">
        <v>53</v>
      </c>
      <c r="BR461" s="47">
        <v>132775</v>
      </c>
      <c r="BS461" s="47">
        <v>169326</v>
      </c>
      <c r="BT461" s="1">
        <f t="shared" si="204"/>
        <v>2.4246928430277515</v>
      </c>
      <c r="BU461" s="30">
        <v>247</v>
      </c>
      <c r="BV461" s="30">
        <v>0</v>
      </c>
      <c r="BW461" s="47">
        <v>35545</v>
      </c>
      <c r="BX461" s="52">
        <f t="shared" si="205"/>
        <v>0.50899275424578283</v>
      </c>
      <c r="BY461" s="47">
        <v>198142</v>
      </c>
      <c r="BZ461" s="47">
        <v>2059</v>
      </c>
      <c r="CA461" s="47">
        <v>243092</v>
      </c>
      <c r="CB461" s="47">
        <v>8577</v>
      </c>
      <c r="CC461" s="47">
        <v>451870</v>
      </c>
      <c r="CD461" s="55">
        <f t="shared" si="206"/>
        <v>6.4706303519775465</v>
      </c>
      <c r="CE461" s="3">
        <f t="shared" si="207"/>
        <v>22123.378212974294</v>
      </c>
      <c r="CF461" s="55">
        <f t="shared" si="208"/>
        <v>128.37215909090909</v>
      </c>
      <c r="CG461" s="55">
        <f t="shared" si="209"/>
        <v>1.2601791530944626</v>
      </c>
      <c r="CH461" s="55">
        <f t="shared" si="210"/>
        <v>2.6058254491336239</v>
      </c>
      <c r="CI461" s="30">
        <v>1030</v>
      </c>
      <c r="CJ461" s="30">
        <v>34</v>
      </c>
      <c r="CK461" s="30">
        <v>524</v>
      </c>
      <c r="CL461" s="30">
        <v>1588</v>
      </c>
      <c r="CM461" s="30">
        <v>30815</v>
      </c>
      <c r="CN461" s="30">
        <v>865</v>
      </c>
      <c r="CO461" s="30">
        <v>12243</v>
      </c>
      <c r="CP461" s="30">
        <v>43923</v>
      </c>
      <c r="CQ461" s="1">
        <f t="shared" si="218"/>
        <v>0.62896296932726181</v>
      </c>
      <c r="CR461" s="47">
        <v>358576</v>
      </c>
      <c r="CS461" s="55">
        <f t="shared" si="211"/>
        <v>5.1346908382736203</v>
      </c>
      <c r="CT461" s="59">
        <v>37427</v>
      </c>
      <c r="CU461" s="29" t="s">
        <v>25</v>
      </c>
      <c r="CV461" s="29" t="s">
        <v>25</v>
      </c>
      <c r="CW461" s="29" t="s">
        <v>25</v>
      </c>
      <c r="CX461" s="35">
        <v>8</v>
      </c>
      <c r="CY461" s="49">
        <f>C461/CX461</f>
        <v>8729.25</v>
      </c>
      <c r="CZ461" s="35">
        <v>0</v>
      </c>
      <c r="DA461" s="35">
        <v>12.425000000000001</v>
      </c>
      <c r="DB461" s="35">
        <v>20.425000000000001</v>
      </c>
      <c r="DC461" s="49">
        <f t="shared" si="212"/>
        <v>3419.0452876376989</v>
      </c>
      <c r="DD461" s="30">
        <v>7048</v>
      </c>
      <c r="DE461" s="31">
        <v>85000</v>
      </c>
      <c r="DF461" s="35">
        <v>40</v>
      </c>
      <c r="DG461" s="29" t="s">
        <v>25</v>
      </c>
      <c r="DH461" s="29" t="s">
        <v>25</v>
      </c>
      <c r="DI461" s="29" t="s">
        <v>25</v>
      </c>
      <c r="DJ461" s="47">
        <v>191</v>
      </c>
      <c r="DK461" s="47">
        <v>54</v>
      </c>
      <c r="DL461" s="47">
        <v>46</v>
      </c>
      <c r="DM461" s="47">
        <v>95011</v>
      </c>
      <c r="DN461" s="47">
        <v>15150</v>
      </c>
      <c r="DO461" s="47">
        <v>29579</v>
      </c>
      <c r="DP461" s="29" t="s">
        <v>2028</v>
      </c>
      <c r="DQ461" s="47">
        <v>0</v>
      </c>
      <c r="DR461" s="47">
        <v>3520</v>
      </c>
      <c r="DS461" s="30">
        <v>52</v>
      </c>
      <c r="DT461" s="30">
        <v>70</v>
      </c>
      <c r="DU461" s="30">
        <v>70</v>
      </c>
      <c r="DV461" s="30">
        <v>70</v>
      </c>
      <c r="DX461" s="2">
        <f t="shared" si="213"/>
        <v>3520</v>
      </c>
      <c r="DY461" s="33" t="s">
        <v>2186</v>
      </c>
      <c r="DZ461" s="33" t="s">
        <v>1176</v>
      </c>
      <c r="EA461" s="33" t="s">
        <v>2030</v>
      </c>
      <c r="EB461" s="33" t="s">
        <v>2027</v>
      </c>
      <c r="EC461" s="36">
        <v>348</v>
      </c>
      <c r="ED461" s="29" t="s">
        <v>1174</v>
      </c>
      <c r="EE461" s="29" t="s">
        <v>776</v>
      </c>
      <c r="EF461" s="37">
        <v>41548</v>
      </c>
      <c r="EG461" s="37">
        <v>41912</v>
      </c>
      <c r="EH461" s="29" t="s">
        <v>1174</v>
      </c>
      <c r="EI461" s="55">
        <f t="shared" si="214"/>
        <v>2.8373285219234186</v>
      </c>
      <c r="EJ461" s="54">
        <f t="shared" si="215"/>
        <v>2.9484205401380418E-2</v>
      </c>
      <c r="EK461" s="55">
        <f t="shared" si="216"/>
        <v>3.4809977947704556</v>
      </c>
      <c r="EL461" s="54">
        <f t="shared" si="217"/>
        <v>0.12281982988229229</v>
      </c>
    </row>
    <row r="462" spans="1:142" ht="28.8" x14ac:dyDescent="0.3">
      <c r="A462" s="29" t="s">
        <v>1178</v>
      </c>
      <c r="B462" s="29"/>
      <c r="C462" s="30">
        <v>6012</v>
      </c>
      <c r="D462" s="30">
        <v>0</v>
      </c>
      <c r="E462" s="30">
        <v>0</v>
      </c>
      <c r="F462" s="30">
        <v>5000</v>
      </c>
      <c r="H462" s="2">
        <f t="shared" si="193"/>
        <v>5000</v>
      </c>
      <c r="I462" s="1">
        <f t="shared" si="192"/>
        <v>0.83166999334664005</v>
      </c>
      <c r="J462" s="31">
        <v>22606</v>
      </c>
      <c r="K462" s="31">
        <v>10349</v>
      </c>
      <c r="L462" s="31">
        <v>32955</v>
      </c>
      <c r="M462" s="45">
        <f t="shared" si="194"/>
        <v>5.4815369261477045</v>
      </c>
      <c r="N462" s="31">
        <v>11002</v>
      </c>
      <c r="O462" s="31">
        <v>1137</v>
      </c>
      <c r="P462" s="31">
        <v>2970</v>
      </c>
      <c r="Q462" s="31">
        <v>15109</v>
      </c>
      <c r="R462" s="45">
        <f t="shared" si="195"/>
        <v>2.5131403858948769</v>
      </c>
      <c r="S462" s="31">
        <v>10575</v>
      </c>
      <c r="T462" s="31">
        <v>58639</v>
      </c>
      <c r="U462" s="31">
        <v>0</v>
      </c>
      <c r="V462" s="31">
        <v>58639</v>
      </c>
      <c r="W462" s="45">
        <f t="shared" si="196"/>
        <v>9.753659347970725</v>
      </c>
      <c r="X462" s="4">
        <f t="shared" si="197"/>
        <v>0.5619979876873753</v>
      </c>
      <c r="Y462" s="4">
        <f t="shared" si="198"/>
        <v>0.25766128344617062</v>
      </c>
      <c r="Z462" s="4">
        <f t="shared" si="199"/>
        <v>0.18034072886645405</v>
      </c>
      <c r="AA462" s="4">
        <f t="shared" si="200"/>
        <v>0</v>
      </c>
      <c r="AB462" s="31">
        <v>2216</v>
      </c>
      <c r="AC462" s="31">
        <v>14109</v>
      </c>
      <c r="AD462" s="31">
        <v>57639</v>
      </c>
      <c r="AE462" s="31">
        <v>40535</v>
      </c>
      <c r="AF462" s="31">
        <v>0</v>
      </c>
      <c r="AG462" s="31">
        <v>40535</v>
      </c>
      <c r="AH462" s="31">
        <v>0</v>
      </c>
      <c r="AI462" s="31">
        <v>40535</v>
      </c>
      <c r="AJ462" s="45">
        <f t="shared" si="201"/>
        <v>6.7423486360612106</v>
      </c>
      <c r="AK462" s="31">
        <v>0</v>
      </c>
      <c r="AL462" s="31">
        <v>0</v>
      </c>
      <c r="AM462" s="31">
        <v>0</v>
      </c>
      <c r="AN462" s="31">
        <v>0</v>
      </c>
      <c r="AO462" s="31">
        <v>0</v>
      </c>
      <c r="AP462" s="31">
        <v>22351</v>
      </c>
      <c r="AQ462" s="31">
        <v>22351</v>
      </c>
      <c r="AR462" s="31">
        <v>62886</v>
      </c>
      <c r="AS462" s="46">
        <f t="shared" si="202"/>
        <v>10.460079840319361</v>
      </c>
      <c r="AT462" s="31">
        <v>0</v>
      </c>
      <c r="AU462" s="31">
        <v>0</v>
      </c>
      <c r="AV462" s="31">
        <v>0</v>
      </c>
      <c r="AW462" s="31">
        <v>0</v>
      </c>
      <c r="AX462" s="31">
        <v>0</v>
      </c>
      <c r="AY462" s="31">
        <v>0</v>
      </c>
      <c r="AZ462" s="31">
        <v>0</v>
      </c>
      <c r="BA462" s="31">
        <v>2216</v>
      </c>
      <c r="BB462" s="31">
        <v>2216</v>
      </c>
      <c r="BC462" s="33" t="s">
        <v>25</v>
      </c>
      <c r="BD462" s="47">
        <v>15205</v>
      </c>
      <c r="BE462" s="47">
        <v>15419</v>
      </c>
      <c r="BF462" s="45">
        <f t="shared" si="203"/>
        <v>2.5647039254823687</v>
      </c>
      <c r="BG462" s="30">
        <v>875</v>
      </c>
      <c r="BH462" s="30">
        <v>885</v>
      </c>
      <c r="BI462" s="30">
        <v>1264</v>
      </c>
      <c r="BJ462" s="30">
        <v>301</v>
      </c>
      <c r="BK462" s="30">
        <v>301</v>
      </c>
      <c r="BL462" s="30">
        <v>76</v>
      </c>
      <c r="BM462" s="30">
        <v>7482</v>
      </c>
      <c r="BN462" s="30">
        <v>1</v>
      </c>
      <c r="BO462" s="30">
        <v>51</v>
      </c>
      <c r="BP462" s="30">
        <v>0</v>
      </c>
      <c r="BQ462" s="30">
        <v>52</v>
      </c>
      <c r="BR462" s="47">
        <v>16381</v>
      </c>
      <c r="BS462" s="47">
        <v>25428</v>
      </c>
      <c r="BT462" s="1">
        <f t="shared" si="204"/>
        <v>4.2295409181636723</v>
      </c>
      <c r="BU462" s="30">
        <v>27</v>
      </c>
      <c r="BV462" s="30">
        <v>0</v>
      </c>
      <c r="BW462" s="47">
        <v>12</v>
      </c>
      <c r="BX462" s="52">
        <f t="shared" si="205"/>
        <v>1.996007984031936E-3</v>
      </c>
      <c r="BY462" s="47">
        <v>2592</v>
      </c>
      <c r="BZ462" s="47">
        <v>0</v>
      </c>
      <c r="CA462" s="47">
        <v>29177</v>
      </c>
      <c r="CB462" s="47">
        <v>1150</v>
      </c>
      <c r="CC462" s="47">
        <v>32919</v>
      </c>
      <c r="CD462" s="55">
        <f t="shared" si="206"/>
        <v>5.4755489021956087</v>
      </c>
      <c r="CE462" s="3">
        <f t="shared" si="207"/>
        <v>43892</v>
      </c>
      <c r="CF462" s="55">
        <f t="shared" si="208"/>
        <v>18.619343891402714</v>
      </c>
      <c r="CG462" s="55">
        <f t="shared" si="209"/>
        <v>2.9100954738330977</v>
      </c>
      <c r="CH462" s="55">
        <f t="shared" si="210"/>
        <v>1.2493707723769074</v>
      </c>
      <c r="CI462" s="30">
        <v>32</v>
      </c>
      <c r="CJ462" s="30">
        <v>4</v>
      </c>
      <c r="CK462" s="30">
        <v>0</v>
      </c>
      <c r="CL462" s="30">
        <v>36</v>
      </c>
      <c r="CM462" s="30">
        <v>470</v>
      </c>
      <c r="CN462" s="30">
        <v>40</v>
      </c>
      <c r="CO462" s="30">
        <v>0</v>
      </c>
      <c r="CP462" s="30">
        <v>510</v>
      </c>
      <c r="CQ462" s="1">
        <f t="shared" si="218"/>
        <v>8.4830339321357279E-2</v>
      </c>
      <c r="CR462" s="47">
        <v>11312</v>
      </c>
      <c r="CS462" s="55">
        <f t="shared" si="211"/>
        <v>1.8815701929474384</v>
      </c>
      <c r="CT462" s="59">
        <v>2313</v>
      </c>
      <c r="CU462" s="29" t="s">
        <v>25</v>
      </c>
      <c r="CV462" s="29" t="s">
        <v>25</v>
      </c>
      <c r="CW462" s="29" t="s">
        <v>25</v>
      </c>
      <c r="CX462" s="35">
        <v>0</v>
      </c>
      <c r="CY462" s="49">
        <v>0</v>
      </c>
      <c r="CZ462" s="35">
        <v>0.75</v>
      </c>
      <c r="DA462" s="35">
        <v>0</v>
      </c>
      <c r="DB462" s="35">
        <v>0.75</v>
      </c>
      <c r="DC462" s="49">
        <f t="shared" si="212"/>
        <v>8016</v>
      </c>
      <c r="DD462" s="30">
        <v>810</v>
      </c>
      <c r="DE462" s="31">
        <v>22606</v>
      </c>
      <c r="DF462" s="35">
        <v>30</v>
      </c>
      <c r="DG462" s="29" t="s">
        <v>25</v>
      </c>
      <c r="DH462" s="29" t="s">
        <v>25</v>
      </c>
      <c r="DI462" s="29" t="s">
        <v>25</v>
      </c>
      <c r="DJ462" s="47">
        <v>3</v>
      </c>
      <c r="DK462" s="47">
        <v>4</v>
      </c>
      <c r="DL462" s="47">
        <v>7</v>
      </c>
      <c r="DM462" s="47">
        <v>3509</v>
      </c>
      <c r="DN462" s="47">
        <v>0</v>
      </c>
      <c r="DO462" s="47">
        <v>410</v>
      </c>
      <c r="DP462" s="29" t="s">
        <v>25</v>
      </c>
      <c r="DQ462" s="47">
        <v>1729</v>
      </c>
      <c r="DR462" s="47">
        <v>1768</v>
      </c>
      <c r="DS462" s="30">
        <v>52</v>
      </c>
      <c r="DT462" s="30">
        <v>34</v>
      </c>
      <c r="DU462" s="30">
        <v>34</v>
      </c>
      <c r="DV462" s="30">
        <v>34</v>
      </c>
      <c r="DX462" s="2">
        <f t="shared" si="213"/>
        <v>1768</v>
      </c>
      <c r="DY462" s="33" t="s">
        <v>2186</v>
      </c>
      <c r="DZ462" s="33" t="s">
        <v>1180</v>
      </c>
      <c r="EA462" s="33" t="s">
        <v>2031</v>
      </c>
      <c r="EB462" s="33" t="s">
        <v>2027</v>
      </c>
      <c r="EC462" s="36">
        <v>349</v>
      </c>
      <c r="ED462" s="29" t="s">
        <v>1177</v>
      </c>
      <c r="EE462" s="29" t="s">
        <v>1178</v>
      </c>
      <c r="EF462" s="37">
        <v>41548</v>
      </c>
      <c r="EG462" s="37">
        <v>41912</v>
      </c>
      <c r="EH462" s="29" t="s">
        <v>1177</v>
      </c>
      <c r="EI462" s="55">
        <f t="shared" si="214"/>
        <v>0.43113772455089822</v>
      </c>
      <c r="EJ462" s="54">
        <f t="shared" si="215"/>
        <v>0</v>
      </c>
      <c r="EK462" s="55">
        <f t="shared" si="216"/>
        <v>4.8531270791749836</v>
      </c>
      <c r="EL462" s="54">
        <f t="shared" si="217"/>
        <v>0.19128409846972722</v>
      </c>
    </row>
    <row r="463" spans="1:142" ht="28.8" x14ac:dyDescent="0.3">
      <c r="A463" s="29" t="s">
        <v>1186</v>
      </c>
      <c r="B463" s="29"/>
      <c r="C463" s="30">
        <v>14622</v>
      </c>
      <c r="D463" s="30">
        <v>0</v>
      </c>
      <c r="E463" s="30">
        <v>0</v>
      </c>
      <c r="F463" s="30">
        <v>6400</v>
      </c>
      <c r="H463" s="2">
        <f t="shared" si="193"/>
        <v>6400</v>
      </c>
      <c r="I463" s="1">
        <f t="shared" si="192"/>
        <v>0.43769662152920258</v>
      </c>
      <c r="J463" s="31">
        <v>124971</v>
      </c>
      <c r="K463" s="31">
        <v>27270</v>
      </c>
      <c r="L463" s="31">
        <v>152241</v>
      </c>
      <c r="M463" s="45">
        <f t="shared" si="194"/>
        <v>10.41177677472302</v>
      </c>
      <c r="N463" s="31">
        <v>15661</v>
      </c>
      <c r="O463" s="31">
        <v>11088</v>
      </c>
      <c r="P463" s="31">
        <v>3805</v>
      </c>
      <c r="Q463" s="31">
        <v>30554</v>
      </c>
      <c r="R463" s="45">
        <f t="shared" si="195"/>
        <v>2.0895910272192588</v>
      </c>
      <c r="S463" s="31">
        <v>39513</v>
      </c>
      <c r="T463" s="31">
        <v>222308</v>
      </c>
      <c r="U463" s="31">
        <v>0</v>
      </c>
      <c r="V463" s="31">
        <v>222308</v>
      </c>
      <c r="W463" s="45">
        <f t="shared" si="196"/>
        <v>15.203665709205307</v>
      </c>
      <c r="X463" s="4">
        <f t="shared" si="197"/>
        <v>0.68482015941846452</v>
      </c>
      <c r="Y463" s="4">
        <f t="shared" si="198"/>
        <v>0.13743994818000252</v>
      </c>
      <c r="Z463" s="4">
        <f t="shared" si="199"/>
        <v>0.17773989240153301</v>
      </c>
      <c r="AA463" s="4">
        <f t="shared" si="200"/>
        <v>0</v>
      </c>
      <c r="AB463" s="31">
        <v>0</v>
      </c>
      <c r="AC463" s="31">
        <v>30554</v>
      </c>
      <c r="AD463" s="31">
        <v>219596</v>
      </c>
      <c r="AE463" s="31">
        <v>217298</v>
      </c>
      <c r="AF463" s="31">
        <v>196707</v>
      </c>
      <c r="AG463" s="31">
        <v>20591</v>
      </c>
      <c r="AH463" s="31">
        <v>0</v>
      </c>
      <c r="AI463" s="31">
        <v>217298</v>
      </c>
      <c r="AJ463" s="45">
        <f t="shared" si="201"/>
        <v>14.861031322664479</v>
      </c>
      <c r="AK463" s="31">
        <v>0</v>
      </c>
      <c r="AL463" s="31">
        <v>0</v>
      </c>
      <c r="AM463" s="31">
        <v>0</v>
      </c>
      <c r="AN463" s="31">
        <v>0</v>
      </c>
      <c r="AO463" s="31">
        <v>0</v>
      </c>
      <c r="AP463" s="31">
        <v>2298</v>
      </c>
      <c r="AQ463" s="31">
        <v>2298</v>
      </c>
      <c r="AR463" s="31">
        <v>219596</v>
      </c>
      <c r="AS463" s="46">
        <f t="shared" si="202"/>
        <v>15.018191765832308</v>
      </c>
      <c r="AT463" s="31">
        <v>0</v>
      </c>
      <c r="AU463" s="31">
        <v>0</v>
      </c>
      <c r="AV463" s="31">
        <v>0</v>
      </c>
      <c r="AW463" s="31">
        <v>0</v>
      </c>
      <c r="AX463" s="31">
        <v>0</v>
      </c>
      <c r="AY463" s="31">
        <v>0</v>
      </c>
      <c r="AZ463" s="31">
        <v>0</v>
      </c>
      <c r="BA463" s="31">
        <v>0</v>
      </c>
      <c r="BB463" s="31">
        <v>0</v>
      </c>
      <c r="BC463" s="33" t="s">
        <v>25</v>
      </c>
      <c r="BD463" s="47">
        <v>25924</v>
      </c>
      <c r="BE463" s="47">
        <v>27024</v>
      </c>
      <c r="BF463" s="45">
        <f t="shared" si="203"/>
        <v>1.8481739844070579</v>
      </c>
      <c r="BG463" s="30">
        <v>605</v>
      </c>
      <c r="BH463" s="30">
        <v>610</v>
      </c>
      <c r="BI463" s="30">
        <v>13910</v>
      </c>
      <c r="BJ463" s="30">
        <v>1045</v>
      </c>
      <c r="BK463" s="30">
        <v>1050</v>
      </c>
      <c r="BL463" s="30">
        <v>322</v>
      </c>
      <c r="BM463" s="30">
        <v>29465</v>
      </c>
      <c r="BN463" s="30">
        <v>6</v>
      </c>
      <c r="BO463" s="30">
        <v>51</v>
      </c>
      <c r="BP463" s="30">
        <v>0</v>
      </c>
      <c r="BQ463" s="30">
        <v>57</v>
      </c>
      <c r="BR463" s="47">
        <v>27574</v>
      </c>
      <c r="BS463" s="47">
        <v>72387</v>
      </c>
      <c r="BT463" s="1">
        <f t="shared" si="204"/>
        <v>4.9505539597866228</v>
      </c>
      <c r="BU463" s="30">
        <v>27</v>
      </c>
      <c r="BV463" s="30">
        <v>1</v>
      </c>
      <c r="BW463" s="47">
        <v>4621</v>
      </c>
      <c r="BX463" s="52">
        <f t="shared" si="205"/>
        <v>0.31603063876350707</v>
      </c>
      <c r="BY463" s="47">
        <v>10867</v>
      </c>
      <c r="BZ463" s="47">
        <v>331</v>
      </c>
      <c r="CA463" s="47">
        <v>19834</v>
      </c>
      <c r="CB463" s="47">
        <v>4720</v>
      </c>
      <c r="CC463" s="47">
        <v>35752</v>
      </c>
      <c r="CD463" s="55">
        <f t="shared" si="206"/>
        <v>2.445082752017508</v>
      </c>
      <c r="CE463" s="3">
        <f t="shared" si="207"/>
        <v>7627.0933333333332</v>
      </c>
      <c r="CF463" s="55">
        <f t="shared" si="208"/>
        <v>16.44526218951242</v>
      </c>
      <c r="CG463" s="55">
        <f t="shared" si="209"/>
        <v>1.1794668778041699</v>
      </c>
      <c r="CH463" s="55">
        <f t="shared" si="210"/>
        <v>0.42412311602912123</v>
      </c>
      <c r="CI463" s="30">
        <v>150</v>
      </c>
      <c r="CJ463" s="30">
        <v>24</v>
      </c>
      <c r="CK463" s="30">
        <v>0</v>
      </c>
      <c r="CL463" s="30">
        <v>174</v>
      </c>
      <c r="CM463" s="30">
        <v>5072</v>
      </c>
      <c r="CN463" s="30">
        <v>111</v>
      </c>
      <c r="CO463" s="30">
        <v>0</v>
      </c>
      <c r="CP463" s="30">
        <v>5183</v>
      </c>
      <c r="CQ463" s="1">
        <f t="shared" si="218"/>
        <v>0.35446587334154017</v>
      </c>
      <c r="CR463" s="47">
        <v>30312</v>
      </c>
      <c r="CS463" s="55">
        <f t="shared" si="211"/>
        <v>2.0730406237176857</v>
      </c>
      <c r="CT463" s="59">
        <v>3885</v>
      </c>
      <c r="CU463" s="29" t="s">
        <v>25</v>
      </c>
      <c r="CV463" s="29" t="s">
        <v>25</v>
      </c>
      <c r="CW463" s="29" t="s">
        <v>25</v>
      </c>
      <c r="CX463" s="35">
        <v>1</v>
      </c>
      <c r="CY463" s="49">
        <f>C463/CX463</f>
        <v>14622</v>
      </c>
      <c r="CZ463" s="35">
        <v>0.75</v>
      </c>
      <c r="DA463" s="35">
        <v>2.9375</v>
      </c>
      <c r="DB463" s="35">
        <v>4.6875</v>
      </c>
      <c r="DC463" s="49">
        <f t="shared" si="212"/>
        <v>3119.36</v>
      </c>
      <c r="DD463" s="30">
        <v>438</v>
      </c>
      <c r="DE463" s="31">
        <v>45000</v>
      </c>
      <c r="DF463" s="35">
        <v>40</v>
      </c>
      <c r="DG463" s="29" t="s">
        <v>25</v>
      </c>
      <c r="DH463" s="29" t="s">
        <v>25</v>
      </c>
      <c r="DI463" s="29" t="s">
        <v>25</v>
      </c>
      <c r="DJ463" s="47">
        <v>99</v>
      </c>
      <c r="DK463" s="47">
        <v>50</v>
      </c>
      <c r="DL463" s="47">
        <v>8</v>
      </c>
      <c r="DM463" s="47">
        <v>8423</v>
      </c>
      <c r="DN463" s="47">
        <v>2778</v>
      </c>
      <c r="DO463" s="47">
        <v>2453</v>
      </c>
      <c r="DP463" s="29" t="s">
        <v>25</v>
      </c>
      <c r="DQ463" s="47">
        <v>11472</v>
      </c>
      <c r="DR463" s="47">
        <v>2174</v>
      </c>
      <c r="DS463" s="30">
        <v>50</v>
      </c>
      <c r="DT463" s="30">
        <v>44</v>
      </c>
      <c r="DU463" s="30">
        <v>44</v>
      </c>
      <c r="DV463" s="30">
        <v>44</v>
      </c>
      <c r="DX463" s="2">
        <f t="shared" si="213"/>
        <v>2174</v>
      </c>
      <c r="DY463" s="33" t="s">
        <v>2185</v>
      </c>
      <c r="DZ463" s="33" t="s">
        <v>1187</v>
      </c>
      <c r="EA463" s="33" t="s">
        <v>2030</v>
      </c>
      <c r="EB463" s="33" t="s">
        <v>2027</v>
      </c>
      <c r="EC463" s="36">
        <v>352</v>
      </c>
      <c r="ED463" s="29" t="s">
        <v>1185</v>
      </c>
      <c r="EE463" s="29" t="s">
        <v>440</v>
      </c>
      <c r="EF463" s="37">
        <v>41548</v>
      </c>
      <c r="EG463" s="37">
        <v>41912</v>
      </c>
      <c r="EH463" s="29" t="s">
        <v>1185</v>
      </c>
      <c r="EI463" s="55">
        <f t="shared" si="214"/>
        <v>0.74319518533716322</v>
      </c>
      <c r="EJ463" s="54">
        <f t="shared" si="215"/>
        <v>2.2637122144713445E-2</v>
      </c>
      <c r="EK463" s="55">
        <f t="shared" si="216"/>
        <v>1.3564491861578443</v>
      </c>
      <c r="EL463" s="54">
        <f t="shared" si="217"/>
        <v>0.32280125837778689</v>
      </c>
    </row>
    <row r="464" spans="1:142" ht="28.8" x14ac:dyDescent="0.3">
      <c r="A464" s="29" t="s">
        <v>1188</v>
      </c>
      <c r="B464" s="29"/>
      <c r="C464" s="30">
        <v>91898</v>
      </c>
      <c r="D464" s="30">
        <v>0</v>
      </c>
      <c r="E464" s="30">
        <v>0</v>
      </c>
      <c r="F464" s="30">
        <v>30300</v>
      </c>
      <c r="H464" s="2">
        <f t="shared" si="193"/>
        <v>30300</v>
      </c>
      <c r="I464" s="1">
        <f t="shared" si="192"/>
        <v>0.32971337787547061</v>
      </c>
      <c r="J464" s="31">
        <v>491988</v>
      </c>
      <c r="K464" s="31">
        <v>159276</v>
      </c>
      <c r="L464" s="31">
        <v>651264</v>
      </c>
      <c r="M464" s="45">
        <f t="shared" si="194"/>
        <v>7.0868136412109077</v>
      </c>
      <c r="N464" s="31">
        <v>57106</v>
      </c>
      <c r="O464" s="31">
        <v>15742</v>
      </c>
      <c r="P464" s="31">
        <v>6163</v>
      </c>
      <c r="Q464" s="31">
        <v>79011</v>
      </c>
      <c r="R464" s="45">
        <f t="shared" si="195"/>
        <v>0.85976843892141286</v>
      </c>
      <c r="S464" s="31">
        <v>87348</v>
      </c>
      <c r="T464" s="31">
        <v>817623</v>
      </c>
      <c r="U464" s="31">
        <v>37130</v>
      </c>
      <c r="V464" s="31">
        <v>854753</v>
      </c>
      <c r="W464" s="45">
        <f t="shared" si="196"/>
        <v>9.3011055735706982</v>
      </c>
      <c r="X464" s="4">
        <f t="shared" si="197"/>
        <v>0.76193239450461125</v>
      </c>
      <c r="Y464" s="4">
        <f t="shared" si="198"/>
        <v>9.2437230404573023E-2</v>
      </c>
      <c r="Z464" s="4">
        <f t="shared" si="199"/>
        <v>0.10219092533164552</v>
      </c>
      <c r="AA464" s="4">
        <f t="shared" si="200"/>
        <v>4.343944975917019E-2</v>
      </c>
      <c r="AB464" s="31">
        <v>0</v>
      </c>
      <c r="AC464" s="31">
        <v>79011</v>
      </c>
      <c r="AD464" s="31">
        <v>854753</v>
      </c>
      <c r="AE464" s="31">
        <v>831681</v>
      </c>
      <c r="AF464" s="31">
        <v>628133</v>
      </c>
      <c r="AG464" s="31">
        <v>208343</v>
      </c>
      <c r="AH464" s="31">
        <v>0</v>
      </c>
      <c r="AI464" s="31">
        <v>836476</v>
      </c>
      <c r="AJ464" s="45">
        <f t="shared" si="201"/>
        <v>9.1022220287710294</v>
      </c>
      <c r="AK464" s="31">
        <v>0</v>
      </c>
      <c r="AL464" s="31">
        <v>0</v>
      </c>
      <c r="AM464" s="31">
        <v>0</v>
      </c>
      <c r="AN464" s="31">
        <v>0</v>
      </c>
      <c r="AO464" s="31">
        <v>6500</v>
      </c>
      <c r="AP464" s="31">
        <v>34500</v>
      </c>
      <c r="AQ464" s="31">
        <v>41000</v>
      </c>
      <c r="AR464" s="31">
        <v>877476</v>
      </c>
      <c r="AS464" s="46">
        <f t="shared" si="202"/>
        <v>9.5483688437180358</v>
      </c>
      <c r="AT464" s="31">
        <v>0</v>
      </c>
      <c r="AU464" s="31">
        <v>0</v>
      </c>
      <c r="AV464" s="31">
        <v>0</v>
      </c>
      <c r="AW464" s="31">
        <v>0</v>
      </c>
      <c r="AX464" s="31">
        <v>0</v>
      </c>
      <c r="AY464" s="31">
        <v>0</v>
      </c>
      <c r="AZ464" s="31">
        <v>0</v>
      </c>
      <c r="BA464" s="31">
        <v>0</v>
      </c>
      <c r="BB464" s="31">
        <v>0</v>
      </c>
      <c r="BC464" s="33" t="s">
        <v>25</v>
      </c>
      <c r="BD464" s="47">
        <v>67379</v>
      </c>
      <c r="BE464" s="47">
        <v>71779</v>
      </c>
      <c r="BF464" s="45">
        <f t="shared" si="203"/>
        <v>0.78107249341661411</v>
      </c>
      <c r="BG464" s="30">
        <v>3132</v>
      </c>
      <c r="BH464" s="30">
        <v>3200</v>
      </c>
      <c r="BI464" s="30">
        <v>1080</v>
      </c>
      <c r="BJ464" s="30">
        <v>5277</v>
      </c>
      <c r="BK464" s="30">
        <v>7188</v>
      </c>
      <c r="BL464" s="30">
        <v>163</v>
      </c>
      <c r="BM464" s="30">
        <v>13230</v>
      </c>
      <c r="BN464" s="30">
        <v>6</v>
      </c>
      <c r="BO464" s="30">
        <v>51</v>
      </c>
      <c r="BP464" s="30">
        <v>0</v>
      </c>
      <c r="BQ464" s="30">
        <v>57</v>
      </c>
      <c r="BR464" s="47">
        <v>75788</v>
      </c>
      <c r="BS464" s="47">
        <v>96646</v>
      </c>
      <c r="BT464" s="1">
        <f t="shared" si="204"/>
        <v>1.05166597749679</v>
      </c>
      <c r="BU464" s="30">
        <v>151</v>
      </c>
      <c r="BV464" s="30">
        <v>0</v>
      </c>
      <c r="BW464" s="47">
        <v>6012</v>
      </c>
      <c r="BX464" s="52">
        <f t="shared" si="205"/>
        <v>6.5420357352717146E-2</v>
      </c>
      <c r="BY464" s="47">
        <v>173657</v>
      </c>
      <c r="BZ464" s="47">
        <v>573</v>
      </c>
      <c r="CA464" s="47">
        <v>149850</v>
      </c>
      <c r="CB464" s="47">
        <v>9915</v>
      </c>
      <c r="CC464" s="47">
        <v>333995</v>
      </c>
      <c r="CD464" s="55">
        <f t="shared" si="206"/>
        <v>3.6344098892250103</v>
      </c>
      <c r="CE464" s="3">
        <f t="shared" si="207"/>
        <v>23856.785714285714</v>
      </c>
      <c r="CF464" s="55">
        <f t="shared" si="208"/>
        <v>111.10944777112442</v>
      </c>
      <c r="CG464" s="55">
        <f t="shared" si="209"/>
        <v>1.3189028459506311</v>
      </c>
      <c r="CH464" s="55">
        <f t="shared" si="210"/>
        <v>3.3473397760900605</v>
      </c>
      <c r="CI464" s="30">
        <v>406</v>
      </c>
      <c r="CJ464" s="30">
        <v>16</v>
      </c>
      <c r="CK464" s="30">
        <v>170</v>
      </c>
      <c r="CL464" s="30">
        <v>592</v>
      </c>
      <c r="CM464" s="30">
        <v>13868</v>
      </c>
      <c r="CN464" s="30">
        <v>257</v>
      </c>
      <c r="CO464" s="30">
        <v>1180</v>
      </c>
      <c r="CP464" s="30">
        <v>15305</v>
      </c>
      <c r="CQ464" s="1">
        <f t="shared" si="218"/>
        <v>0.16654334153082764</v>
      </c>
      <c r="CR464" s="47">
        <v>253237</v>
      </c>
      <c r="CS464" s="55">
        <f t="shared" si="211"/>
        <v>2.7556312433350016</v>
      </c>
      <c r="CT464" s="59">
        <v>30759</v>
      </c>
      <c r="CU464" s="29" t="s">
        <v>25</v>
      </c>
      <c r="CV464" s="29" t="s">
        <v>25</v>
      </c>
      <c r="CW464" s="29" t="s">
        <v>25</v>
      </c>
      <c r="CX464" s="35">
        <v>4</v>
      </c>
      <c r="CY464" s="49">
        <f>C464/CX464</f>
        <v>22974.5</v>
      </c>
      <c r="CZ464" s="35">
        <v>0</v>
      </c>
      <c r="DA464" s="35">
        <v>10</v>
      </c>
      <c r="DB464" s="35">
        <v>14</v>
      </c>
      <c r="DC464" s="49">
        <f t="shared" si="212"/>
        <v>6564.1428571428569</v>
      </c>
      <c r="DD464" s="30">
        <v>5458</v>
      </c>
      <c r="DE464" s="31">
        <v>72290</v>
      </c>
      <c r="DF464" s="35">
        <v>40</v>
      </c>
      <c r="DG464" s="29" t="s">
        <v>25</v>
      </c>
      <c r="DH464" s="29" t="s">
        <v>25</v>
      </c>
      <c r="DI464" s="29" t="s">
        <v>25</v>
      </c>
      <c r="DJ464" s="47">
        <v>339</v>
      </c>
      <c r="DK464" s="47">
        <v>0</v>
      </c>
      <c r="DL464" s="47">
        <v>62</v>
      </c>
      <c r="DM464" s="47">
        <v>40206</v>
      </c>
      <c r="DN464" s="47">
        <v>10816</v>
      </c>
      <c r="DO464" s="47">
        <v>0</v>
      </c>
      <c r="DP464" s="29" t="s">
        <v>25</v>
      </c>
      <c r="DQ464" s="47">
        <v>44600</v>
      </c>
      <c r="DR464" s="47">
        <v>3006</v>
      </c>
      <c r="DS464" s="30">
        <v>52</v>
      </c>
      <c r="DT464" s="30">
        <v>60</v>
      </c>
      <c r="DU464" s="30">
        <v>60</v>
      </c>
      <c r="DV464" s="30">
        <v>60</v>
      </c>
      <c r="DX464" s="2">
        <f t="shared" si="213"/>
        <v>3006</v>
      </c>
      <c r="DY464" s="33" t="s">
        <v>2187</v>
      </c>
      <c r="DZ464" s="33" t="s">
        <v>1191</v>
      </c>
      <c r="EA464" s="33" t="s">
        <v>2030</v>
      </c>
      <c r="EB464" s="33" t="s">
        <v>2027</v>
      </c>
      <c r="EC464" s="36">
        <v>353</v>
      </c>
      <c r="ED464" s="29" t="s">
        <v>1189</v>
      </c>
      <c r="EE464" s="29" t="s">
        <v>653</v>
      </c>
      <c r="EF464" s="37">
        <v>41548</v>
      </c>
      <c r="EG464" s="37">
        <v>41912</v>
      </c>
      <c r="EH464" s="29" t="s">
        <v>1189</v>
      </c>
      <c r="EI464" s="55">
        <f t="shared" si="214"/>
        <v>1.8896711571524951</v>
      </c>
      <c r="EJ464" s="54">
        <f t="shared" si="215"/>
        <v>6.2351737796252369E-3</v>
      </c>
      <c r="EK464" s="55">
        <f t="shared" si="216"/>
        <v>1.6306122004831443</v>
      </c>
      <c r="EL464" s="54">
        <f t="shared" si="217"/>
        <v>0.10789135780974558</v>
      </c>
    </row>
    <row r="465" spans="1:142" ht="28.8" x14ac:dyDescent="0.3">
      <c r="A465" s="29" t="s">
        <v>1192</v>
      </c>
      <c r="B465" s="29"/>
      <c r="C465" s="30">
        <v>2893</v>
      </c>
      <c r="D465" s="30">
        <v>0</v>
      </c>
      <c r="E465" s="30">
        <v>0</v>
      </c>
      <c r="F465" s="30">
        <v>8000</v>
      </c>
      <c r="H465" s="2">
        <f t="shared" si="193"/>
        <v>8000</v>
      </c>
      <c r="I465" s="1">
        <f t="shared" si="192"/>
        <v>2.7652955409609401</v>
      </c>
      <c r="J465" s="31">
        <v>115420</v>
      </c>
      <c r="K465" s="31">
        <v>48328</v>
      </c>
      <c r="L465" s="31">
        <v>163748</v>
      </c>
      <c r="M465" s="45">
        <f t="shared" si="194"/>
        <v>56.601451780159003</v>
      </c>
      <c r="N465" s="31">
        <v>6688</v>
      </c>
      <c r="O465" s="31">
        <v>0</v>
      </c>
      <c r="P465" s="31">
        <v>641</v>
      </c>
      <c r="Q465" s="31">
        <v>7329</v>
      </c>
      <c r="R465" s="45">
        <f t="shared" si="195"/>
        <v>2.5333563774628414</v>
      </c>
      <c r="S465" s="31">
        <v>33778</v>
      </c>
      <c r="T465" s="31">
        <v>204855</v>
      </c>
      <c r="U465" s="31">
        <v>0</v>
      </c>
      <c r="V465" s="31">
        <v>204855</v>
      </c>
      <c r="W465" s="45">
        <f t="shared" si="196"/>
        <v>70.810577255444173</v>
      </c>
      <c r="X465" s="4">
        <f t="shared" si="197"/>
        <v>0.79933611578921682</v>
      </c>
      <c r="Y465" s="4">
        <f t="shared" si="198"/>
        <v>3.5776524859046643E-2</v>
      </c>
      <c r="Z465" s="4">
        <f t="shared" si="199"/>
        <v>0.1648873593517366</v>
      </c>
      <c r="AA465" s="4">
        <f t="shared" si="200"/>
        <v>0</v>
      </c>
      <c r="AB465" s="31">
        <v>0</v>
      </c>
      <c r="AC465" s="31">
        <v>7329</v>
      </c>
      <c r="AD465" s="31">
        <v>204855</v>
      </c>
      <c r="AE465" s="31">
        <v>204855</v>
      </c>
      <c r="AF465" s="31">
        <v>204855</v>
      </c>
      <c r="AG465" s="31">
        <v>0</v>
      </c>
      <c r="AH465" s="31">
        <v>0</v>
      </c>
      <c r="AI465" s="31">
        <v>204855</v>
      </c>
      <c r="AJ465" s="45">
        <f t="shared" si="201"/>
        <v>70.810577255444173</v>
      </c>
      <c r="AK465" s="31">
        <v>0</v>
      </c>
      <c r="AL465" s="31">
        <v>0</v>
      </c>
      <c r="AM465" s="31">
        <v>0</v>
      </c>
      <c r="AN465" s="31">
        <v>0</v>
      </c>
      <c r="AO465" s="31">
        <v>0</v>
      </c>
      <c r="AP465" s="31">
        <v>4255</v>
      </c>
      <c r="AQ465" s="31">
        <v>4255</v>
      </c>
      <c r="AR465" s="31">
        <v>209110</v>
      </c>
      <c r="AS465" s="46">
        <f t="shared" si="202"/>
        <v>72.281368821292773</v>
      </c>
      <c r="AT465" s="31">
        <v>0</v>
      </c>
      <c r="AU465" s="31">
        <v>0</v>
      </c>
      <c r="AV465" s="31">
        <v>0</v>
      </c>
      <c r="AW465" s="31">
        <v>0</v>
      </c>
      <c r="AX465" s="31">
        <v>0</v>
      </c>
      <c r="AY465" s="31">
        <v>0</v>
      </c>
      <c r="AZ465" s="31">
        <v>0</v>
      </c>
      <c r="BA465" s="31">
        <v>0</v>
      </c>
      <c r="BB465" s="31">
        <v>0</v>
      </c>
      <c r="BC465" s="33" t="s">
        <v>25</v>
      </c>
      <c r="BD465" s="47">
        <v>33873</v>
      </c>
      <c r="BE465" s="47">
        <v>36673</v>
      </c>
      <c r="BF465" s="45">
        <f t="shared" si="203"/>
        <v>12.676460421707571</v>
      </c>
      <c r="BG465" s="30">
        <v>355</v>
      </c>
      <c r="BH465" s="30">
        <v>355</v>
      </c>
      <c r="BI465" s="30">
        <v>0</v>
      </c>
      <c r="BJ465" s="30">
        <v>2930</v>
      </c>
      <c r="BK465" s="30">
        <v>2974</v>
      </c>
      <c r="BL465" s="30">
        <v>0</v>
      </c>
      <c r="BM465" s="30">
        <v>0</v>
      </c>
      <c r="BN465" s="30">
        <v>0</v>
      </c>
      <c r="BO465" s="30">
        <v>51</v>
      </c>
      <c r="BP465" s="30">
        <v>0</v>
      </c>
      <c r="BQ465" s="30">
        <v>51</v>
      </c>
      <c r="BR465" s="47">
        <v>37158</v>
      </c>
      <c r="BS465" s="47">
        <v>40002</v>
      </c>
      <c r="BT465" s="1">
        <f t="shared" si="204"/>
        <v>13.827169028689941</v>
      </c>
      <c r="BU465" s="30">
        <v>20</v>
      </c>
      <c r="BV465" s="30">
        <v>0</v>
      </c>
      <c r="BW465" s="47">
        <v>1094</v>
      </c>
      <c r="BX465" s="52">
        <f t="shared" si="205"/>
        <v>0.37815416522640855</v>
      </c>
      <c r="BY465" s="47">
        <v>9386</v>
      </c>
      <c r="BZ465" s="47">
        <v>0</v>
      </c>
      <c r="CA465" s="47">
        <v>19251</v>
      </c>
      <c r="CB465" s="47">
        <v>0</v>
      </c>
      <c r="CC465" s="47">
        <v>28637</v>
      </c>
      <c r="CD465" s="55">
        <f t="shared" si="206"/>
        <v>9.8987210508123056</v>
      </c>
      <c r="CE465" s="3">
        <f t="shared" si="207"/>
        <v>9545.6666666666661</v>
      </c>
      <c r="CF465" s="55">
        <f t="shared" si="208"/>
        <v>12.160084925690022</v>
      </c>
      <c r="CG465" s="55">
        <f t="shared" si="209"/>
        <v>1.4061870856862264</v>
      </c>
      <c r="CH465" s="55">
        <f t="shared" si="210"/>
        <v>0.71588920553972302</v>
      </c>
      <c r="CI465" s="30">
        <v>11</v>
      </c>
      <c r="CJ465" s="30">
        <v>4</v>
      </c>
      <c r="CK465" s="30">
        <v>7</v>
      </c>
      <c r="CL465" s="30">
        <v>22</v>
      </c>
      <c r="CM465" s="30">
        <v>862</v>
      </c>
      <c r="CN465" s="30">
        <v>106</v>
      </c>
      <c r="CO465" s="30">
        <v>98</v>
      </c>
      <c r="CP465" s="30">
        <v>1066</v>
      </c>
      <c r="CQ465" s="1">
        <f t="shared" si="218"/>
        <v>0.3684756308330453</v>
      </c>
      <c r="CR465" s="47">
        <v>20365</v>
      </c>
      <c r="CS465" s="55">
        <f t="shared" si="211"/>
        <v>7.0394054614586938</v>
      </c>
      <c r="CT465" s="59">
        <v>3891</v>
      </c>
      <c r="CU465" s="29" t="s">
        <v>25</v>
      </c>
      <c r="CV465" s="29" t="s">
        <v>25</v>
      </c>
      <c r="CW465" s="29" t="s">
        <v>25</v>
      </c>
      <c r="CX465" s="35">
        <v>1</v>
      </c>
      <c r="CY465" s="49">
        <f>C465/CX465</f>
        <v>2893</v>
      </c>
      <c r="CZ465" s="35">
        <v>1</v>
      </c>
      <c r="DA465" s="35">
        <v>1</v>
      </c>
      <c r="DB465" s="35">
        <v>3</v>
      </c>
      <c r="DC465" s="49">
        <f t="shared" si="212"/>
        <v>964.33333333333337</v>
      </c>
      <c r="DD465" s="30">
        <v>682</v>
      </c>
      <c r="DE465" s="31">
        <v>51100</v>
      </c>
      <c r="DF465" s="35">
        <v>40</v>
      </c>
      <c r="DG465" s="29" t="s">
        <v>25</v>
      </c>
      <c r="DH465" s="29" t="s">
        <v>25</v>
      </c>
      <c r="DI465" s="29" t="s">
        <v>25</v>
      </c>
      <c r="DJ465" s="47">
        <v>12</v>
      </c>
      <c r="DK465" s="47">
        <v>1</v>
      </c>
      <c r="DL465" s="47">
        <v>20</v>
      </c>
      <c r="DM465" s="47">
        <v>6100</v>
      </c>
      <c r="DN465" s="47">
        <v>52</v>
      </c>
      <c r="DO465" s="47">
        <v>4499</v>
      </c>
      <c r="DP465" s="29" t="s">
        <v>25</v>
      </c>
      <c r="DQ465" s="47">
        <v>9732</v>
      </c>
      <c r="DR465" s="47">
        <v>2355</v>
      </c>
      <c r="DS465" s="30">
        <v>52</v>
      </c>
      <c r="DT465" s="30">
        <v>45</v>
      </c>
      <c r="DU465" s="30">
        <v>45</v>
      </c>
      <c r="DV465" s="30">
        <v>45</v>
      </c>
      <c r="DX465" s="2">
        <f t="shared" si="213"/>
        <v>2355</v>
      </c>
      <c r="DY465" s="33" t="s">
        <v>2186</v>
      </c>
      <c r="DZ465" s="33" t="s">
        <v>1194</v>
      </c>
      <c r="EA465" s="33" t="s">
        <v>2030</v>
      </c>
      <c r="EB465" s="33" t="s">
        <v>2027</v>
      </c>
      <c r="EC465" s="36">
        <v>354</v>
      </c>
      <c r="ED465" s="29" t="s">
        <v>1193</v>
      </c>
      <c r="EE465" s="29" t="s">
        <v>782</v>
      </c>
      <c r="EF465" s="37">
        <v>41548</v>
      </c>
      <c r="EG465" s="37">
        <v>41912</v>
      </c>
      <c r="EH465" s="29" t="s">
        <v>1193</v>
      </c>
      <c r="EI465" s="55">
        <f t="shared" si="214"/>
        <v>3.2443829934324233</v>
      </c>
      <c r="EJ465" s="54">
        <f t="shared" si="215"/>
        <v>0</v>
      </c>
      <c r="EK465" s="55">
        <f t="shared" si="216"/>
        <v>6.6543380573798823</v>
      </c>
      <c r="EL465" s="54">
        <f t="shared" si="217"/>
        <v>0</v>
      </c>
    </row>
    <row r="466" spans="1:142" ht="28.8" x14ac:dyDescent="0.3">
      <c r="A466" s="29" t="s">
        <v>1420</v>
      </c>
      <c r="B466" s="29"/>
      <c r="C466" s="30">
        <v>15519</v>
      </c>
      <c r="D466" s="30">
        <v>0</v>
      </c>
      <c r="E466" s="30">
        <v>0</v>
      </c>
      <c r="F466" s="30">
        <v>2524</v>
      </c>
      <c r="H466" s="2">
        <f t="shared" si="193"/>
        <v>2524</v>
      </c>
      <c r="I466" s="1">
        <f t="shared" si="192"/>
        <v>0.16263934531864166</v>
      </c>
      <c r="J466" s="31">
        <v>108740</v>
      </c>
      <c r="K466" s="31">
        <v>33280</v>
      </c>
      <c r="L466" s="31">
        <v>142020</v>
      </c>
      <c r="M466" s="45">
        <f t="shared" si="194"/>
        <v>9.1513628455441722</v>
      </c>
      <c r="N466" s="31">
        <v>10542</v>
      </c>
      <c r="O466" s="31">
        <v>3000</v>
      </c>
      <c r="P466" s="31">
        <v>357</v>
      </c>
      <c r="Q466" s="31">
        <v>13899</v>
      </c>
      <c r="R466" s="45">
        <f t="shared" si="195"/>
        <v>0.89561183065919192</v>
      </c>
      <c r="S466" s="31">
        <v>15623</v>
      </c>
      <c r="T466" s="31">
        <v>171542</v>
      </c>
      <c r="U466" s="31">
        <v>0</v>
      </c>
      <c r="V466" s="31">
        <v>171542</v>
      </c>
      <c r="W466" s="45">
        <f t="shared" si="196"/>
        <v>11.053676138926477</v>
      </c>
      <c r="X466" s="4">
        <f t="shared" si="197"/>
        <v>0.827902204707885</v>
      </c>
      <c r="Y466" s="4">
        <f t="shared" si="198"/>
        <v>8.1023889193317086E-2</v>
      </c>
      <c r="Z466" s="4">
        <f t="shared" si="199"/>
        <v>9.1073906098797966E-2</v>
      </c>
      <c r="AA466" s="4">
        <f t="shared" si="200"/>
        <v>0</v>
      </c>
      <c r="AB466" s="31">
        <v>0</v>
      </c>
      <c r="AC466" s="31">
        <v>13899</v>
      </c>
      <c r="AD466" s="31">
        <v>171542</v>
      </c>
      <c r="AE466" s="31">
        <v>171542</v>
      </c>
      <c r="AF466" s="31">
        <v>171542</v>
      </c>
      <c r="AG466" s="31">
        <v>0</v>
      </c>
      <c r="AH466" s="31">
        <v>0</v>
      </c>
      <c r="AI466" s="31">
        <v>171542</v>
      </c>
      <c r="AJ466" s="45">
        <f t="shared" si="201"/>
        <v>11.053676138926477</v>
      </c>
      <c r="AK466" s="31">
        <v>0</v>
      </c>
      <c r="AL466" s="31">
        <v>0</v>
      </c>
      <c r="AM466" s="31">
        <v>0</v>
      </c>
      <c r="AN466" s="31">
        <v>0</v>
      </c>
      <c r="AO466" s="31">
        <v>1000</v>
      </c>
      <c r="AP466" s="31">
        <v>0</v>
      </c>
      <c r="AQ466" s="31">
        <v>1000</v>
      </c>
      <c r="AR466" s="31">
        <v>172542</v>
      </c>
      <c r="AS466" s="46">
        <f t="shared" si="202"/>
        <v>11.118113280494878</v>
      </c>
      <c r="AT466" s="31">
        <v>0</v>
      </c>
      <c r="AU466" s="31">
        <v>0</v>
      </c>
      <c r="AV466" s="31">
        <v>0</v>
      </c>
      <c r="AW466" s="31">
        <v>0</v>
      </c>
      <c r="AX466" s="31">
        <v>0</v>
      </c>
      <c r="AY466" s="31">
        <v>0</v>
      </c>
      <c r="AZ466" s="31">
        <v>0</v>
      </c>
      <c r="BA466" s="31">
        <v>0</v>
      </c>
      <c r="BB466" s="31">
        <v>0</v>
      </c>
      <c r="BC466" s="33" t="s">
        <v>25</v>
      </c>
      <c r="BD466" s="47">
        <v>28196</v>
      </c>
      <c r="BE466" s="47">
        <v>28305</v>
      </c>
      <c r="BF466" s="45">
        <f t="shared" si="203"/>
        <v>1.8238932920935627</v>
      </c>
      <c r="BG466" s="30">
        <v>414</v>
      </c>
      <c r="BH466" s="30">
        <v>414</v>
      </c>
      <c r="BI466" s="30">
        <v>1664</v>
      </c>
      <c r="BJ466" s="30">
        <v>1150</v>
      </c>
      <c r="BK466" s="30">
        <v>1150</v>
      </c>
      <c r="BL466" s="30">
        <v>56</v>
      </c>
      <c r="BM466" s="30">
        <v>10354</v>
      </c>
      <c r="BN466" s="30">
        <v>1</v>
      </c>
      <c r="BO466" s="30">
        <v>51</v>
      </c>
      <c r="BP466" s="30">
        <v>0</v>
      </c>
      <c r="BQ466" s="30">
        <v>52</v>
      </c>
      <c r="BR466" s="47">
        <v>29760</v>
      </c>
      <c r="BS466" s="47">
        <v>41944</v>
      </c>
      <c r="BT466" s="1">
        <f t="shared" si="204"/>
        <v>2.7027514659449707</v>
      </c>
      <c r="BU466" s="30">
        <v>8</v>
      </c>
      <c r="BV466" s="30">
        <v>1</v>
      </c>
      <c r="BW466" s="47">
        <v>217</v>
      </c>
      <c r="BX466" s="52">
        <f t="shared" si="205"/>
        <v>1.3982859720342805E-2</v>
      </c>
      <c r="BY466" s="47">
        <v>6395</v>
      </c>
      <c r="BZ466" s="47">
        <v>54</v>
      </c>
      <c r="CA466" s="47">
        <v>22378</v>
      </c>
      <c r="CB466" s="47">
        <v>172</v>
      </c>
      <c r="CC466" s="47">
        <v>28999</v>
      </c>
      <c r="CD466" s="55">
        <f t="shared" si="206"/>
        <v>1.8686126683420323</v>
      </c>
      <c r="CE466" s="3">
        <f t="shared" si="207"/>
        <v>9666.3333333333339</v>
      </c>
      <c r="CF466" s="55">
        <f t="shared" si="208"/>
        <v>14.215196078431372</v>
      </c>
      <c r="CG466" s="55">
        <f t="shared" si="209"/>
        <v>2.2170489296636084</v>
      </c>
      <c r="CH466" s="55">
        <f t="shared" si="210"/>
        <v>0.68598607667366007</v>
      </c>
      <c r="CI466" s="30">
        <v>53</v>
      </c>
      <c r="CJ466" s="30">
        <v>5</v>
      </c>
      <c r="CK466" s="30">
        <v>12</v>
      </c>
      <c r="CL466" s="30">
        <v>70</v>
      </c>
      <c r="CM466" s="30">
        <v>751</v>
      </c>
      <c r="CN466" s="30">
        <v>18</v>
      </c>
      <c r="CO466" s="30">
        <v>126</v>
      </c>
      <c r="CP466" s="30">
        <v>895</v>
      </c>
      <c r="CQ466" s="1">
        <f t="shared" si="218"/>
        <v>5.7671241703718026E-2</v>
      </c>
      <c r="CR466" s="47">
        <v>13080</v>
      </c>
      <c r="CS466" s="55">
        <f t="shared" si="211"/>
        <v>0.84283781171467231</v>
      </c>
      <c r="CT466" s="59">
        <v>3546</v>
      </c>
      <c r="CU466" s="29" t="s">
        <v>25</v>
      </c>
      <c r="CV466" s="29" t="s">
        <v>25</v>
      </c>
      <c r="CW466" s="29" t="s">
        <v>25</v>
      </c>
      <c r="CX466" s="35">
        <v>0</v>
      </c>
      <c r="CY466" s="49">
        <v>0</v>
      </c>
      <c r="CZ466" s="35">
        <v>1</v>
      </c>
      <c r="DA466" s="35">
        <v>2</v>
      </c>
      <c r="DB466" s="35">
        <v>3</v>
      </c>
      <c r="DC466" s="49">
        <f t="shared" si="212"/>
        <v>5173</v>
      </c>
      <c r="DD466" s="30">
        <v>380</v>
      </c>
      <c r="DE466" s="31">
        <v>54577</v>
      </c>
      <c r="DF466" s="35">
        <v>40</v>
      </c>
      <c r="DG466" s="29" t="s">
        <v>25</v>
      </c>
      <c r="DH466" s="29" t="s">
        <v>25</v>
      </c>
      <c r="DI466" s="29" t="s">
        <v>25</v>
      </c>
      <c r="DJ466" s="47">
        <v>57</v>
      </c>
      <c r="DK466" s="47">
        <v>60</v>
      </c>
      <c r="DL466" s="47">
        <v>12</v>
      </c>
      <c r="DM466" s="47">
        <v>6915</v>
      </c>
      <c r="DN466" s="47">
        <v>443</v>
      </c>
      <c r="DO466" s="47">
        <v>3168</v>
      </c>
      <c r="DP466" s="29" t="s">
        <v>25</v>
      </c>
      <c r="DQ466" s="47">
        <v>2346</v>
      </c>
      <c r="DR466" s="47">
        <v>2040</v>
      </c>
      <c r="DS466" s="30">
        <v>52</v>
      </c>
      <c r="DT466" s="30">
        <v>41</v>
      </c>
      <c r="DU466" s="30">
        <v>41</v>
      </c>
      <c r="DV466" s="30">
        <v>41</v>
      </c>
      <c r="DX466" s="2">
        <f t="shared" si="213"/>
        <v>2040</v>
      </c>
      <c r="DY466" s="33" t="s">
        <v>2182</v>
      </c>
      <c r="DZ466" s="33" t="s">
        <v>1422</v>
      </c>
      <c r="EA466" s="33" t="s">
        <v>2030</v>
      </c>
      <c r="EB466" s="33" t="s">
        <v>2027</v>
      </c>
      <c r="EC466" s="36">
        <v>445</v>
      </c>
      <c r="ED466" s="29" t="s">
        <v>1421</v>
      </c>
      <c r="EE466" s="29" t="s">
        <v>269</v>
      </c>
      <c r="EF466" s="37">
        <v>41548</v>
      </c>
      <c r="EG466" s="37">
        <v>41912</v>
      </c>
      <c r="EH466" s="29" t="s">
        <v>1421</v>
      </c>
      <c r="EI466" s="55">
        <f t="shared" si="214"/>
        <v>0.41207552032991818</v>
      </c>
      <c r="EJ466" s="54">
        <f t="shared" si="215"/>
        <v>3.4796056446936012E-3</v>
      </c>
      <c r="EK466" s="55">
        <f t="shared" si="216"/>
        <v>1.4419743540176557</v>
      </c>
      <c r="EL466" s="54">
        <f t="shared" si="217"/>
        <v>1.1083188349764805E-2</v>
      </c>
    </row>
    <row r="467" spans="1:142" ht="43.2" x14ac:dyDescent="0.3">
      <c r="A467" s="29" t="s">
        <v>940</v>
      </c>
      <c r="B467" s="29"/>
      <c r="C467" s="30">
        <v>10203</v>
      </c>
      <c r="D467" s="30">
        <v>0</v>
      </c>
      <c r="E467" s="30">
        <v>0</v>
      </c>
      <c r="F467" s="30">
        <v>7800</v>
      </c>
      <c r="H467" s="2">
        <f t="shared" si="193"/>
        <v>7800</v>
      </c>
      <c r="I467" s="1">
        <f t="shared" si="192"/>
        <v>0.76448103498970887</v>
      </c>
      <c r="J467" s="31">
        <v>53339</v>
      </c>
      <c r="K467" s="31">
        <v>4614</v>
      </c>
      <c r="L467" s="31">
        <v>57953</v>
      </c>
      <c r="M467" s="45">
        <f t="shared" si="194"/>
        <v>5.679996079584436</v>
      </c>
      <c r="N467" s="31">
        <v>5645</v>
      </c>
      <c r="O467" s="31">
        <v>0</v>
      </c>
      <c r="P467" s="31">
        <v>799</v>
      </c>
      <c r="Q467" s="31">
        <v>6444</v>
      </c>
      <c r="R467" s="45">
        <f t="shared" si="195"/>
        <v>0.63157894736842102</v>
      </c>
      <c r="S467" s="31">
        <v>38983</v>
      </c>
      <c r="T467" s="31">
        <v>103380</v>
      </c>
      <c r="U467" s="31">
        <v>0</v>
      </c>
      <c r="V467" s="31">
        <v>103380</v>
      </c>
      <c r="W467" s="45">
        <f t="shared" si="196"/>
        <v>10.13231402528668</v>
      </c>
      <c r="X467" s="4">
        <f t="shared" si="197"/>
        <v>0.56058231766299094</v>
      </c>
      <c r="Y467" s="4">
        <f t="shared" si="198"/>
        <v>6.2333139872315729E-2</v>
      </c>
      <c r="Z467" s="4">
        <f t="shared" si="199"/>
        <v>0.37708454246469336</v>
      </c>
      <c r="AA467" s="4">
        <f t="shared" si="200"/>
        <v>0</v>
      </c>
      <c r="AB467" s="31">
        <v>0</v>
      </c>
      <c r="AC467" s="31">
        <v>6444</v>
      </c>
      <c r="AD467" s="31">
        <v>103380</v>
      </c>
      <c r="AE467" s="31">
        <v>33082</v>
      </c>
      <c r="AF467" s="31">
        <v>22500</v>
      </c>
      <c r="AG467" s="31">
        <v>15000</v>
      </c>
      <c r="AH467" s="31">
        <v>0</v>
      </c>
      <c r="AI467" s="31">
        <v>37500</v>
      </c>
      <c r="AJ467" s="45">
        <f t="shared" si="201"/>
        <v>3.6753895912966774</v>
      </c>
      <c r="AK467" s="31">
        <v>0</v>
      </c>
      <c r="AL467" s="31">
        <v>0</v>
      </c>
      <c r="AM467" s="31">
        <v>0</v>
      </c>
      <c r="AN467" s="31">
        <v>0</v>
      </c>
      <c r="AO467" s="31">
        <v>0</v>
      </c>
      <c r="AP467" s="31">
        <v>25438</v>
      </c>
      <c r="AQ467" s="31">
        <v>25438</v>
      </c>
      <c r="AR467" s="31">
        <v>62938</v>
      </c>
      <c r="AS467" s="46">
        <f t="shared" si="202"/>
        <v>6.1685778692541406</v>
      </c>
      <c r="AT467" s="31">
        <v>0</v>
      </c>
      <c r="AU467" s="31">
        <v>0</v>
      </c>
      <c r="AV467" s="31">
        <v>0</v>
      </c>
      <c r="AW467" s="31">
        <v>0</v>
      </c>
      <c r="AX467" s="31">
        <v>0</v>
      </c>
      <c r="AY467" s="31">
        <v>0</v>
      </c>
      <c r="AZ467" s="31">
        <v>0</v>
      </c>
      <c r="BA467" s="31">
        <v>0</v>
      </c>
      <c r="BB467" s="31">
        <v>0</v>
      </c>
      <c r="BC467" s="33" t="s">
        <v>25</v>
      </c>
      <c r="BD467" s="47">
        <v>33248</v>
      </c>
      <c r="BE467" s="47">
        <v>34696</v>
      </c>
      <c r="BF467" s="45">
        <f t="shared" si="203"/>
        <v>3.4005684602567872</v>
      </c>
      <c r="BG467" s="30">
        <v>574</v>
      </c>
      <c r="BH467" s="30">
        <v>574</v>
      </c>
      <c r="BI467" s="30">
        <v>0</v>
      </c>
      <c r="BJ467" s="30">
        <v>1727</v>
      </c>
      <c r="BK467" s="30">
        <v>1727</v>
      </c>
      <c r="BL467" s="30">
        <v>0</v>
      </c>
      <c r="BM467" s="30">
        <v>0</v>
      </c>
      <c r="BN467" s="30">
        <v>0</v>
      </c>
      <c r="BO467" s="30">
        <v>51</v>
      </c>
      <c r="BP467" s="30">
        <v>0</v>
      </c>
      <c r="BQ467" s="30">
        <v>51</v>
      </c>
      <c r="BR467" s="47">
        <v>35549</v>
      </c>
      <c r="BS467" s="47">
        <v>36997</v>
      </c>
      <c r="BT467" s="1">
        <f t="shared" si="204"/>
        <v>3.6260903655787513</v>
      </c>
      <c r="BU467" s="30">
        <v>27</v>
      </c>
      <c r="BV467" s="30">
        <v>0</v>
      </c>
      <c r="BW467" s="47">
        <v>4868</v>
      </c>
      <c r="BX467" s="52">
        <f t="shared" si="205"/>
        <v>0.47711457414485936</v>
      </c>
      <c r="BY467" s="47">
        <v>7658</v>
      </c>
      <c r="BZ467" s="47">
        <v>0</v>
      </c>
      <c r="CA467" s="47">
        <v>7168</v>
      </c>
      <c r="CB467" s="47">
        <v>0</v>
      </c>
      <c r="CC467" s="47">
        <v>14826</v>
      </c>
      <c r="CD467" s="55">
        <f t="shared" si="206"/>
        <v>1.4531020288150545</v>
      </c>
      <c r="CE467" s="3">
        <f t="shared" si="207"/>
        <v>8721.176470588236</v>
      </c>
      <c r="CF467" s="55">
        <f t="shared" si="208"/>
        <v>7.953862660944206</v>
      </c>
      <c r="CG467" s="55">
        <f t="shared" si="209"/>
        <v>1.1712750829514931</v>
      </c>
      <c r="CH467" s="55">
        <f t="shared" si="210"/>
        <v>0.40073519474551988</v>
      </c>
      <c r="CI467" s="30">
        <v>25</v>
      </c>
      <c r="CJ467" s="30">
        <v>0</v>
      </c>
      <c r="CK467" s="30">
        <v>0</v>
      </c>
      <c r="CL467" s="30">
        <v>25</v>
      </c>
      <c r="CM467" s="30">
        <v>580</v>
      </c>
      <c r="CN467" s="30">
        <v>0</v>
      </c>
      <c r="CO467" s="30">
        <v>0</v>
      </c>
      <c r="CP467" s="30">
        <v>580</v>
      </c>
      <c r="CQ467" s="1">
        <f t="shared" si="218"/>
        <v>5.6846025678721941E-2</v>
      </c>
      <c r="CR467" s="47">
        <v>12658</v>
      </c>
      <c r="CS467" s="55">
        <f t="shared" si="211"/>
        <v>1.2406155052435559</v>
      </c>
      <c r="CT467" s="59">
        <v>10908</v>
      </c>
      <c r="CU467" s="29" t="s">
        <v>25</v>
      </c>
      <c r="CV467" s="29" t="s">
        <v>25</v>
      </c>
      <c r="CW467" s="29" t="s">
        <v>25</v>
      </c>
      <c r="CX467" s="35">
        <v>0</v>
      </c>
      <c r="CY467" s="49">
        <v>0</v>
      </c>
      <c r="CZ467" s="35">
        <v>0.85</v>
      </c>
      <c r="DA467" s="35">
        <v>0.85</v>
      </c>
      <c r="DB467" s="35">
        <v>1.7</v>
      </c>
      <c r="DC467" s="49">
        <f t="shared" si="212"/>
        <v>6001.7647058823532</v>
      </c>
      <c r="DD467" s="30">
        <v>64</v>
      </c>
      <c r="DE467" s="31">
        <v>23427</v>
      </c>
      <c r="DF467" s="35">
        <v>34</v>
      </c>
      <c r="DG467" s="29" t="s">
        <v>25</v>
      </c>
      <c r="DH467" s="29" t="s">
        <v>26</v>
      </c>
      <c r="DI467" s="29" t="s">
        <v>26</v>
      </c>
      <c r="DJ467" s="47">
        <v>0</v>
      </c>
      <c r="DK467" s="47">
        <v>0</v>
      </c>
      <c r="DL467" s="47">
        <v>9</v>
      </c>
      <c r="DM467" s="47">
        <v>6000</v>
      </c>
      <c r="DN467" s="47">
        <v>0</v>
      </c>
      <c r="DO467" s="47">
        <v>0</v>
      </c>
      <c r="DP467" s="29" t="s">
        <v>2028</v>
      </c>
      <c r="DQ467" s="47">
        <v>0</v>
      </c>
      <c r="DR467" s="47">
        <v>1864</v>
      </c>
      <c r="DS467" s="30">
        <v>52</v>
      </c>
      <c r="DT467" s="30">
        <v>34</v>
      </c>
      <c r="DU467" s="30">
        <v>34</v>
      </c>
      <c r="DV467" s="30">
        <v>34</v>
      </c>
      <c r="DX467" s="2">
        <f t="shared" si="213"/>
        <v>1864</v>
      </c>
      <c r="DY467" s="33" t="s">
        <v>2185</v>
      </c>
      <c r="DZ467" s="33" t="s">
        <v>1196</v>
      </c>
      <c r="EA467" s="33" t="s">
        <v>2032</v>
      </c>
      <c r="EB467" s="33" t="s">
        <v>2026</v>
      </c>
      <c r="EC467" s="36">
        <v>355</v>
      </c>
      <c r="ED467" s="29" t="s">
        <v>1195</v>
      </c>
      <c r="EE467" s="29" t="s">
        <v>108</v>
      </c>
      <c r="EF467" s="37">
        <v>41640</v>
      </c>
      <c r="EG467" s="37">
        <v>42004</v>
      </c>
      <c r="EH467" s="29" t="s">
        <v>1195</v>
      </c>
      <c r="EI467" s="55">
        <f t="shared" si="214"/>
        <v>0.75056355973733213</v>
      </c>
      <c r="EJ467" s="54">
        <f t="shared" si="215"/>
        <v>0</v>
      </c>
      <c r="EK467" s="55">
        <f t="shared" si="216"/>
        <v>0.70253846907772222</v>
      </c>
      <c r="EL467" s="54">
        <f t="shared" si="217"/>
        <v>0</v>
      </c>
    </row>
    <row r="468" spans="1:142" ht="43.2" x14ac:dyDescent="0.3">
      <c r="A468" s="29" t="s">
        <v>1197</v>
      </c>
      <c r="B468" s="29"/>
      <c r="C468" s="30">
        <v>37704</v>
      </c>
      <c r="D468" s="30">
        <v>0</v>
      </c>
      <c r="E468" s="30">
        <v>0</v>
      </c>
      <c r="F468" s="30">
        <v>15000</v>
      </c>
      <c r="H468" s="2">
        <f t="shared" si="193"/>
        <v>15000</v>
      </c>
      <c r="I468" s="1">
        <f t="shared" si="192"/>
        <v>0.39783577339274345</v>
      </c>
      <c r="J468" s="31">
        <v>338025</v>
      </c>
      <c r="K468" s="31">
        <v>113618</v>
      </c>
      <c r="L468" s="31">
        <v>451643</v>
      </c>
      <c r="M468" s="45">
        <f t="shared" si="194"/>
        <v>11.978649480161256</v>
      </c>
      <c r="N468" s="31">
        <v>59578</v>
      </c>
      <c r="O468" s="31">
        <v>24384</v>
      </c>
      <c r="P468" s="31">
        <v>18059</v>
      </c>
      <c r="Q468" s="31">
        <v>102021</v>
      </c>
      <c r="R468" s="45">
        <f t="shared" si="195"/>
        <v>2.7058402291534054</v>
      </c>
      <c r="S468" s="31">
        <v>87937</v>
      </c>
      <c r="T468" s="31">
        <v>641601</v>
      </c>
      <c r="U468" s="31">
        <v>0</v>
      </c>
      <c r="V468" s="31">
        <v>641601</v>
      </c>
      <c r="W468" s="45">
        <f t="shared" si="196"/>
        <v>17.016788669637172</v>
      </c>
      <c r="X468" s="4">
        <f t="shared" si="197"/>
        <v>0.70393125945876023</v>
      </c>
      <c r="Y468" s="4">
        <f t="shared" si="198"/>
        <v>0.15901003894944055</v>
      </c>
      <c r="Z468" s="4">
        <f t="shared" si="199"/>
        <v>0.13705870159179925</v>
      </c>
      <c r="AA468" s="4">
        <f t="shared" si="200"/>
        <v>0</v>
      </c>
      <c r="AB468" s="31">
        <v>588505</v>
      </c>
      <c r="AC468" s="31">
        <v>102021</v>
      </c>
      <c r="AD468" s="31">
        <v>641601</v>
      </c>
      <c r="AE468" s="31">
        <v>602350</v>
      </c>
      <c r="AF468" s="31">
        <v>472641</v>
      </c>
      <c r="AG468" s="31">
        <v>166695</v>
      </c>
      <c r="AH468" s="31">
        <v>0</v>
      </c>
      <c r="AI468" s="31">
        <v>639336</v>
      </c>
      <c r="AJ468" s="45">
        <f t="shared" si="201"/>
        <v>16.95671546785487</v>
      </c>
      <c r="AK468" s="31">
        <v>0</v>
      </c>
      <c r="AL468" s="31">
        <v>0</v>
      </c>
      <c r="AM468" s="31">
        <v>0</v>
      </c>
      <c r="AN468" s="31">
        <v>0</v>
      </c>
      <c r="AO468" s="31">
        <v>2000</v>
      </c>
      <c r="AP468" s="31">
        <v>37251</v>
      </c>
      <c r="AQ468" s="31">
        <v>39251</v>
      </c>
      <c r="AR468" s="31">
        <v>678587</v>
      </c>
      <c r="AS468" s="46">
        <f t="shared" si="202"/>
        <v>17.997745597284108</v>
      </c>
      <c r="AT468" s="31">
        <v>14800000</v>
      </c>
      <c r="AU468" s="31">
        <v>0</v>
      </c>
      <c r="AV468" s="31">
        <v>0</v>
      </c>
      <c r="AW468" s="31">
        <v>0</v>
      </c>
      <c r="AX468" s="31">
        <v>0</v>
      </c>
      <c r="AY468" s="31">
        <v>0</v>
      </c>
      <c r="AZ468" s="31">
        <v>0</v>
      </c>
      <c r="BA468" s="31">
        <v>0</v>
      </c>
      <c r="BB468" s="31">
        <v>14800000</v>
      </c>
      <c r="BC468" s="33" t="s">
        <v>25</v>
      </c>
      <c r="BD468" s="47">
        <v>50701</v>
      </c>
      <c r="BE468" s="47">
        <v>53326</v>
      </c>
      <c r="BF468" s="45">
        <f t="shared" si="203"/>
        <v>1.4143326967960959</v>
      </c>
      <c r="BG468" s="30">
        <v>1682</v>
      </c>
      <c r="BH468" s="30">
        <v>1709</v>
      </c>
      <c r="BI468" s="30">
        <v>1071</v>
      </c>
      <c r="BJ468" s="30">
        <v>2153</v>
      </c>
      <c r="BK468" s="30">
        <v>2260</v>
      </c>
      <c r="BL468" s="30">
        <v>19</v>
      </c>
      <c r="BM468" s="30">
        <v>4215</v>
      </c>
      <c r="BN468" s="30">
        <v>4</v>
      </c>
      <c r="BO468" s="30">
        <v>51</v>
      </c>
      <c r="BP468" s="30">
        <v>0</v>
      </c>
      <c r="BQ468" s="30">
        <v>55</v>
      </c>
      <c r="BR468" s="47">
        <v>54536</v>
      </c>
      <c r="BS468" s="47">
        <v>62604</v>
      </c>
      <c r="BT468" s="1">
        <f t="shared" si="204"/>
        <v>1.6604073838319542</v>
      </c>
      <c r="BU468" s="30">
        <v>85</v>
      </c>
      <c r="BV468" s="30">
        <v>1</v>
      </c>
      <c r="BW468" s="47">
        <v>72983</v>
      </c>
      <c r="BX468" s="52">
        <f t="shared" si="205"/>
        <v>1.9356832166348399</v>
      </c>
      <c r="BY468" s="47">
        <v>75395</v>
      </c>
      <c r="BZ468" s="47">
        <v>321</v>
      </c>
      <c r="CA468" s="47">
        <v>112908</v>
      </c>
      <c r="CB468" s="47">
        <v>7604</v>
      </c>
      <c r="CC468" s="47">
        <v>196228</v>
      </c>
      <c r="CD468" s="55">
        <f t="shared" si="206"/>
        <v>5.2044345427540843</v>
      </c>
      <c r="CE468" s="3">
        <f t="shared" si="207"/>
        <v>19622.8</v>
      </c>
      <c r="CF468" s="55">
        <f t="shared" si="208"/>
        <v>61.168329177057359</v>
      </c>
      <c r="CG468" s="55">
        <f t="shared" si="209"/>
        <v>1.1161875291521144</v>
      </c>
      <c r="CH468" s="55">
        <f t="shared" si="210"/>
        <v>3.0078429493323111</v>
      </c>
      <c r="CI468" s="30">
        <v>171</v>
      </c>
      <c r="CJ468" s="30">
        <v>24</v>
      </c>
      <c r="CK468" s="30">
        <v>82</v>
      </c>
      <c r="CL468" s="30">
        <v>277</v>
      </c>
      <c r="CM468" s="30">
        <v>8829</v>
      </c>
      <c r="CN468" s="30">
        <v>172</v>
      </c>
      <c r="CO468" s="30">
        <v>882</v>
      </c>
      <c r="CP468" s="30">
        <v>9883</v>
      </c>
      <c r="CQ468" s="1">
        <f t="shared" si="218"/>
        <v>0.26212072989603225</v>
      </c>
      <c r="CR468" s="47">
        <v>175802</v>
      </c>
      <c r="CS468" s="55">
        <f t="shared" si="211"/>
        <v>4.6626883089327391</v>
      </c>
      <c r="CT468" s="59">
        <v>38387</v>
      </c>
      <c r="CU468" s="29" t="s">
        <v>25</v>
      </c>
      <c r="CV468" s="29" t="s">
        <v>25</v>
      </c>
      <c r="CW468" s="29" t="s">
        <v>25</v>
      </c>
      <c r="CX468" s="35">
        <v>3</v>
      </c>
      <c r="CY468" s="49">
        <f>C468/CX468</f>
        <v>12568</v>
      </c>
      <c r="CZ468" s="35">
        <v>0</v>
      </c>
      <c r="DA468" s="35">
        <v>7</v>
      </c>
      <c r="DB468" s="35">
        <v>10</v>
      </c>
      <c r="DC468" s="49">
        <f t="shared" si="212"/>
        <v>3770.4</v>
      </c>
      <c r="DD468" s="30">
        <v>796</v>
      </c>
      <c r="DE468" s="31">
        <v>81487</v>
      </c>
      <c r="DF468" s="35">
        <v>40</v>
      </c>
      <c r="DG468" s="29" t="s">
        <v>25</v>
      </c>
      <c r="DH468" s="29" t="s">
        <v>25</v>
      </c>
      <c r="DI468" s="29" t="s">
        <v>25</v>
      </c>
      <c r="DJ468" s="47">
        <v>1273</v>
      </c>
      <c r="DK468" s="47">
        <v>163</v>
      </c>
      <c r="DL468" s="47">
        <v>37</v>
      </c>
      <c r="DM468" s="47">
        <v>42312</v>
      </c>
      <c r="DN468" s="47">
        <v>6388</v>
      </c>
      <c r="DO468" s="47">
        <v>6670</v>
      </c>
      <c r="DP468" s="29" t="s">
        <v>25</v>
      </c>
      <c r="DQ468" s="47">
        <v>84602</v>
      </c>
      <c r="DR468" s="47">
        <v>3208</v>
      </c>
      <c r="DS468" s="30">
        <v>52</v>
      </c>
      <c r="DT468" s="30">
        <v>64</v>
      </c>
      <c r="DU468" s="30">
        <v>64</v>
      </c>
      <c r="DV468" s="30">
        <v>64</v>
      </c>
      <c r="DX468" s="2">
        <f t="shared" si="213"/>
        <v>3208</v>
      </c>
      <c r="DY468" s="33" t="s">
        <v>2187</v>
      </c>
      <c r="DZ468" s="33" t="s">
        <v>1199</v>
      </c>
      <c r="EA468" s="33" t="s">
        <v>2035</v>
      </c>
      <c r="EB468" s="33" t="s">
        <v>2027</v>
      </c>
      <c r="EC468" s="36">
        <v>356</v>
      </c>
      <c r="ED468" s="29" t="s">
        <v>1198</v>
      </c>
      <c r="EE468" s="29" t="s">
        <v>653</v>
      </c>
      <c r="EF468" s="37">
        <v>41548</v>
      </c>
      <c r="EG468" s="37">
        <v>41912</v>
      </c>
      <c r="EH468" s="29" t="s">
        <v>1198</v>
      </c>
      <c r="EI468" s="55">
        <f t="shared" si="214"/>
        <v>1.999655208996393</v>
      </c>
      <c r="EJ468" s="54">
        <f t="shared" si="215"/>
        <v>8.5136855506047111E-3</v>
      </c>
      <c r="EK468" s="55">
        <f t="shared" si="216"/>
        <v>2.9945894334818588</v>
      </c>
      <c r="EL468" s="54">
        <f t="shared" si="217"/>
        <v>0.20167621472522809</v>
      </c>
    </row>
    <row r="469" spans="1:142" ht="28.8" x14ac:dyDescent="0.3">
      <c r="A469" s="29" t="s">
        <v>1200</v>
      </c>
      <c r="B469" s="29"/>
      <c r="C469" s="30">
        <v>18921</v>
      </c>
      <c r="D469" s="30">
        <v>1</v>
      </c>
      <c r="E469" s="30">
        <v>0</v>
      </c>
      <c r="F469" s="30">
        <v>5780</v>
      </c>
      <c r="G469">
        <v>890</v>
      </c>
      <c r="H469" s="2">
        <f t="shared" si="193"/>
        <v>6670</v>
      </c>
      <c r="I469" s="1">
        <f t="shared" si="192"/>
        <v>0.35251836583690077</v>
      </c>
      <c r="J469" s="31">
        <v>258207</v>
      </c>
      <c r="K469" s="31">
        <v>97276</v>
      </c>
      <c r="L469" s="31">
        <v>355483</v>
      </c>
      <c r="M469" s="45">
        <f t="shared" si="194"/>
        <v>18.787749061888906</v>
      </c>
      <c r="N469" s="31">
        <v>29227</v>
      </c>
      <c r="O469" s="31">
        <v>5174</v>
      </c>
      <c r="P469" s="31">
        <v>4757</v>
      </c>
      <c r="Q469" s="31">
        <v>39158</v>
      </c>
      <c r="R469" s="45">
        <f t="shared" si="195"/>
        <v>2.0695523492415835</v>
      </c>
      <c r="S469" s="31">
        <v>28404</v>
      </c>
      <c r="T469" s="31">
        <v>423045</v>
      </c>
      <c r="U469" s="31">
        <v>0</v>
      </c>
      <c r="V469" s="31">
        <v>423045</v>
      </c>
      <c r="W469" s="45">
        <f t="shared" si="196"/>
        <v>22.358490566037737</v>
      </c>
      <c r="X469" s="4">
        <f t="shared" si="197"/>
        <v>0.84029594960347009</v>
      </c>
      <c r="Y469" s="4">
        <f t="shared" si="198"/>
        <v>9.256225697029867E-2</v>
      </c>
      <c r="Z469" s="4">
        <f t="shared" si="199"/>
        <v>6.714179342623125E-2</v>
      </c>
      <c r="AA469" s="4">
        <f t="shared" si="200"/>
        <v>0</v>
      </c>
      <c r="AB469" s="31">
        <v>0</v>
      </c>
      <c r="AC469" s="31">
        <v>39158</v>
      </c>
      <c r="AD469" s="31">
        <v>422370</v>
      </c>
      <c r="AE469" s="31">
        <v>419421</v>
      </c>
      <c r="AF469" s="31">
        <v>0</v>
      </c>
      <c r="AG469" s="31">
        <v>419421</v>
      </c>
      <c r="AH469" s="31">
        <v>0</v>
      </c>
      <c r="AI469" s="31">
        <v>419421</v>
      </c>
      <c r="AJ469" s="45">
        <f t="shared" si="201"/>
        <v>22.166957348977327</v>
      </c>
      <c r="AK469" s="31">
        <v>675</v>
      </c>
      <c r="AL469" s="31">
        <v>0</v>
      </c>
      <c r="AM469" s="31">
        <v>0</v>
      </c>
      <c r="AN469" s="31">
        <v>0</v>
      </c>
      <c r="AO469" s="31">
        <v>865</v>
      </c>
      <c r="AP469" s="31">
        <v>2083</v>
      </c>
      <c r="AQ469" s="31">
        <v>2948</v>
      </c>
      <c r="AR469" s="31">
        <v>423044</v>
      </c>
      <c r="AS469" s="46">
        <f t="shared" si="202"/>
        <v>22.358437714708526</v>
      </c>
      <c r="AT469" s="31">
        <v>0</v>
      </c>
      <c r="AU469" s="31">
        <v>0</v>
      </c>
      <c r="AV469" s="31">
        <v>0</v>
      </c>
      <c r="AW469" s="31">
        <v>0</v>
      </c>
      <c r="AX469" s="31">
        <v>0</v>
      </c>
      <c r="AY469" s="31">
        <v>0</v>
      </c>
      <c r="AZ469" s="31">
        <v>19083</v>
      </c>
      <c r="BA469" s="31">
        <v>0</v>
      </c>
      <c r="BB469" s="31">
        <v>19083</v>
      </c>
      <c r="BC469" s="33" t="s">
        <v>25</v>
      </c>
      <c r="BD469" s="47">
        <v>40125</v>
      </c>
      <c r="BE469" s="47">
        <v>40701</v>
      </c>
      <c r="BF469" s="45">
        <f t="shared" si="203"/>
        <v>2.151101950214048</v>
      </c>
      <c r="BG469" s="30">
        <v>1206</v>
      </c>
      <c r="BH469" s="30">
        <v>1218</v>
      </c>
      <c r="BI469" s="30">
        <v>297</v>
      </c>
      <c r="BJ469" s="30">
        <v>2840</v>
      </c>
      <c r="BK469" s="30">
        <v>2874</v>
      </c>
      <c r="BL469" s="30">
        <v>0</v>
      </c>
      <c r="BM469" s="30">
        <v>6640</v>
      </c>
      <c r="BN469" s="30">
        <v>5</v>
      </c>
      <c r="BO469" s="30">
        <v>51</v>
      </c>
      <c r="BP469" s="30">
        <v>6</v>
      </c>
      <c r="BQ469" s="30">
        <v>62</v>
      </c>
      <c r="BR469" s="47">
        <v>44171</v>
      </c>
      <c r="BS469" s="47">
        <v>51735</v>
      </c>
      <c r="BT469" s="1">
        <f t="shared" si="204"/>
        <v>2.7342635167274456</v>
      </c>
      <c r="BU469" s="30">
        <v>88</v>
      </c>
      <c r="BV469" s="30">
        <v>0</v>
      </c>
      <c r="BW469" s="47">
        <v>5498</v>
      </c>
      <c r="BX469" s="52">
        <f t="shared" si="205"/>
        <v>0.29057660800169122</v>
      </c>
      <c r="BY469" s="47">
        <v>37947</v>
      </c>
      <c r="BZ469" s="47">
        <v>96</v>
      </c>
      <c r="CA469" s="47">
        <v>32959</v>
      </c>
      <c r="CB469" s="47">
        <v>2842</v>
      </c>
      <c r="CC469" s="47">
        <v>73844</v>
      </c>
      <c r="CD469" s="55">
        <f t="shared" si="206"/>
        <v>3.9027535542518894</v>
      </c>
      <c r="CE469" s="3">
        <f t="shared" si="207"/>
        <v>10740.945454545454</v>
      </c>
      <c r="CF469" s="55">
        <f t="shared" si="208"/>
        <v>17.461338377867108</v>
      </c>
      <c r="CG469" s="55">
        <f t="shared" si="209"/>
        <v>1.2753713298791018</v>
      </c>
      <c r="CH469" s="55">
        <f t="shared" si="210"/>
        <v>1.3705615154150961</v>
      </c>
      <c r="CI469" s="30">
        <v>203</v>
      </c>
      <c r="CJ469" s="30">
        <v>27</v>
      </c>
      <c r="CK469" s="30">
        <v>9</v>
      </c>
      <c r="CL469" s="30">
        <v>239</v>
      </c>
      <c r="CM469" s="30">
        <v>9783</v>
      </c>
      <c r="CN469" s="30">
        <v>903</v>
      </c>
      <c r="CO469" s="30">
        <v>152</v>
      </c>
      <c r="CP469" s="30">
        <v>10838</v>
      </c>
      <c r="CQ469" s="1">
        <f t="shared" si="218"/>
        <v>0.5728027059880556</v>
      </c>
      <c r="CR469" s="47">
        <v>57900</v>
      </c>
      <c r="CS469" s="55">
        <f t="shared" si="211"/>
        <v>3.060091961312827</v>
      </c>
      <c r="CT469" s="59">
        <v>4933</v>
      </c>
      <c r="CU469" s="29" t="s">
        <v>25</v>
      </c>
      <c r="CV469" s="29" t="s">
        <v>25</v>
      </c>
      <c r="CW469" s="29" t="s">
        <v>25</v>
      </c>
      <c r="CX469" s="35">
        <v>1</v>
      </c>
      <c r="CY469" s="49">
        <f>C469/CX469</f>
        <v>18921</v>
      </c>
      <c r="CZ469" s="35">
        <v>5.875</v>
      </c>
      <c r="DA469" s="35">
        <v>0</v>
      </c>
      <c r="DB469" s="35">
        <v>6.875</v>
      </c>
      <c r="DC469" s="49">
        <f t="shared" si="212"/>
        <v>2752.1454545454544</v>
      </c>
      <c r="DD469" s="30">
        <v>336</v>
      </c>
      <c r="DE469" s="31">
        <v>46351</v>
      </c>
      <c r="DF469" s="35">
        <v>40</v>
      </c>
      <c r="DG469" s="29" t="s">
        <v>25</v>
      </c>
      <c r="DH469" s="29" t="s">
        <v>25</v>
      </c>
      <c r="DI469" s="29" t="s">
        <v>25</v>
      </c>
      <c r="DJ469" s="47">
        <v>31</v>
      </c>
      <c r="DK469" s="47">
        <v>72</v>
      </c>
      <c r="DL469" s="47">
        <v>17</v>
      </c>
      <c r="DM469" s="47">
        <v>7101</v>
      </c>
      <c r="DN469" s="47">
        <v>3246</v>
      </c>
      <c r="DO469" s="47">
        <v>437</v>
      </c>
      <c r="DP469" s="29" t="s">
        <v>2028</v>
      </c>
      <c r="DQ469" s="47">
        <v>0</v>
      </c>
      <c r="DR469" s="47">
        <v>2283</v>
      </c>
      <c r="DS469" s="30">
        <v>52</v>
      </c>
      <c r="DT469" s="30">
        <v>50</v>
      </c>
      <c r="DU469" s="30">
        <v>47</v>
      </c>
      <c r="DV469" s="30">
        <v>45</v>
      </c>
      <c r="DW469">
        <f>VLOOKUP(EC469,branch!$I$4:$K$77,3,0)</f>
        <v>1946</v>
      </c>
      <c r="DX469" s="2">
        <f t="shared" si="213"/>
        <v>4229</v>
      </c>
      <c r="DY469" s="33" t="s">
        <v>2178</v>
      </c>
      <c r="DZ469" s="33" t="s">
        <v>1203</v>
      </c>
      <c r="EA469" s="33" t="s">
        <v>2031</v>
      </c>
      <c r="EB469" s="33" t="s">
        <v>2027</v>
      </c>
      <c r="EC469" s="36">
        <v>357</v>
      </c>
      <c r="ED469" s="29" t="s">
        <v>1201</v>
      </c>
      <c r="EE469" s="29" t="s">
        <v>1202</v>
      </c>
      <c r="EF469" s="37">
        <v>41548</v>
      </c>
      <c r="EG469" s="37">
        <v>41912</v>
      </c>
      <c r="EH469" s="29" t="s">
        <v>1201</v>
      </c>
      <c r="EI469" s="55">
        <f t="shared" si="214"/>
        <v>2.0055493895671477</v>
      </c>
      <c r="EJ469" s="54">
        <f t="shared" si="215"/>
        <v>5.0737276042492471E-3</v>
      </c>
      <c r="EK469" s="55">
        <f t="shared" si="216"/>
        <v>1.7419269594630304</v>
      </c>
      <c r="EL469" s="54">
        <f t="shared" si="217"/>
        <v>0.15020347761746208</v>
      </c>
    </row>
    <row r="470" spans="1:142" ht="28.8" x14ac:dyDescent="0.3">
      <c r="A470" s="29" t="s">
        <v>1675</v>
      </c>
      <c r="B470" s="29"/>
      <c r="C470" s="30">
        <v>5584</v>
      </c>
      <c r="D470" s="30">
        <v>0</v>
      </c>
      <c r="E470" s="30">
        <v>0</v>
      </c>
      <c r="F470" s="30">
        <v>6780</v>
      </c>
      <c r="H470" s="2">
        <f t="shared" si="193"/>
        <v>6780</v>
      </c>
      <c r="I470" s="1">
        <f t="shared" si="192"/>
        <v>1.2141833810888252</v>
      </c>
      <c r="J470" s="31">
        <v>72624</v>
      </c>
      <c r="K470" s="31">
        <v>6584</v>
      </c>
      <c r="L470" s="31">
        <v>79208</v>
      </c>
      <c r="M470" s="45">
        <f t="shared" si="194"/>
        <v>14.184813753581661</v>
      </c>
      <c r="N470" s="31">
        <v>14235</v>
      </c>
      <c r="O470" s="31">
        <v>2316</v>
      </c>
      <c r="P470" s="31">
        <v>4257</v>
      </c>
      <c r="Q470" s="31">
        <v>20808</v>
      </c>
      <c r="R470" s="45">
        <f t="shared" si="195"/>
        <v>3.7263610315186249</v>
      </c>
      <c r="S470" s="31">
        <v>41048</v>
      </c>
      <c r="T470" s="31">
        <v>141064</v>
      </c>
      <c r="U470" s="31">
        <v>0</v>
      </c>
      <c r="V470" s="31">
        <v>141064</v>
      </c>
      <c r="W470" s="45">
        <f t="shared" si="196"/>
        <v>25.262177650429798</v>
      </c>
      <c r="X470" s="4">
        <f t="shared" si="197"/>
        <v>0.5615039981852209</v>
      </c>
      <c r="Y470" s="4">
        <f t="shared" si="198"/>
        <v>0.14750751431974141</v>
      </c>
      <c r="Z470" s="4">
        <f t="shared" si="199"/>
        <v>0.2909884874950377</v>
      </c>
      <c r="AA470" s="4">
        <f t="shared" si="200"/>
        <v>0</v>
      </c>
      <c r="AB470" s="31">
        <v>0</v>
      </c>
      <c r="AC470" s="31">
        <v>20808</v>
      </c>
      <c r="AD470" s="31">
        <v>141064</v>
      </c>
      <c r="AE470" s="31">
        <v>28010</v>
      </c>
      <c r="AF470" s="31">
        <v>500</v>
      </c>
      <c r="AG470" s="31">
        <v>27510</v>
      </c>
      <c r="AH470" s="31">
        <v>0</v>
      </c>
      <c r="AI470" s="31">
        <v>28010</v>
      </c>
      <c r="AJ470" s="45">
        <f t="shared" si="201"/>
        <v>5.0161174785100284</v>
      </c>
      <c r="AK470" s="31">
        <v>0</v>
      </c>
      <c r="AL470" s="31">
        <v>0</v>
      </c>
      <c r="AM470" s="31">
        <v>0</v>
      </c>
      <c r="AN470" s="31">
        <v>0</v>
      </c>
      <c r="AO470" s="31">
        <v>0</v>
      </c>
      <c r="AP470" s="31">
        <v>113054</v>
      </c>
      <c r="AQ470" s="31">
        <v>113054</v>
      </c>
      <c r="AR470" s="31">
        <v>141064</v>
      </c>
      <c r="AS470" s="46">
        <f t="shared" si="202"/>
        <v>25.262177650429798</v>
      </c>
      <c r="AT470" s="31">
        <v>0</v>
      </c>
      <c r="AU470" s="31">
        <v>0</v>
      </c>
      <c r="AV470" s="31">
        <v>0</v>
      </c>
      <c r="AW470" s="31">
        <v>0</v>
      </c>
      <c r="AX470" s="31">
        <v>0</v>
      </c>
      <c r="AY470" s="31">
        <v>0</v>
      </c>
      <c r="AZ470" s="31">
        <v>0</v>
      </c>
      <c r="BA470" s="31">
        <v>0</v>
      </c>
      <c r="BB470" s="31">
        <v>0</v>
      </c>
      <c r="BC470" s="33" t="s">
        <v>25</v>
      </c>
      <c r="BD470" s="47">
        <v>33512</v>
      </c>
      <c r="BE470" s="47">
        <v>34536</v>
      </c>
      <c r="BF470" s="45">
        <f t="shared" si="203"/>
        <v>6.1848137535816621</v>
      </c>
      <c r="BG470" s="30">
        <v>1443</v>
      </c>
      <c r="BH470" s="30">
        <v>1763</v>
      </c>
      <c r="BI470" s="30">
        <v>1428</v>
      </c>
      <c r="BJ470" s="30">
        <v>1276</v>
      </c>
      <c r="BK470" s="30">
        <v>1301</v>
      </c>
      <c r="BL470" s="30">
        <v>11</v>
      </c>
      <c r="BM470" s="30">
        <v>16630</v>
      </c>
      <c r="BN470" s="30">
        <v>4</v>
      </c>
      <c r="BO470" s="30">
        <v>51</v>
      </c>
      <c r="BP470" s="30">
        <v>0</v>
      </c>
      <c r="BQ470" s="30">
        <v>55</v>
      </c>
      <c r="BR470" s="47">
        <v>36231</v>
      </c>
      <c r="BS470" s="47">
        <v>55673</v>
      </c>
      <c r="BT470" s="1">
        <f t="shared" si="204"/>
        <v>9.9700931232091694</v>
      </c>
      <c r="BU470" s="30">
        <v>6</v>
      </c>
      <c r="BV470" s="30">
        <v>0</v>
      </c>
      <c r="BW470" s="47">
        <v>6230</v>
      </c>
      <c r="BX470" s="52">
        <f t="shared" si="205"/>
        <v>1.1156876790830945</v>
      </c>
      <c r="BY470" s="47">
        <v>13898</v>
      </c>
      <c r="BZ470" s="47">
        <v>493</v>
      </c>
      <c r="CA470" s="47">
        <v>52163</v>
      </c>
      <c r="CB470" s="47">
        <v>1371</v>
      </c>
      <c r="CC470" s="47">
        <v>67925</v>
      </c>
      <c r="CD470" s="55">
        <f t="shared" si="206"/>
        <v>12.164219197707736</v>
      </c>
      <c r="CE470" s="3">
        <f t="shared" si="207"/>
        <v>18609.589041095889</v>
      </c>
      <c r="CF470" s="55">
        <f t="shared" si="208"/>
        <v>28.34933222036728</v>
      </c>
      <c r="CG470" s="55">
        <f t="shared" si="209"/>
        <v>0.57504592748114225</v>
      </c>
      <c r="CH470" s="55">
        <f t="shared" si="210"/>
        <v>1.1865895496919512</v>
      </c>
      <c r="CI470" s="30">
        <v>94</v>
      </c>
      <c r="CJ470" s="30">
        <v>42</v>
      </c>
      <c r="CK470" s="30">
        <v>263</v>
      </c>
      <c r="CL470" s="30">
        <v>399</v>
      </c>
      <c r="CM470" s="30">
        <v>5950</v>
      </c>
      <c r="CN470" s="30">
        <v>1890</v>
      </c>
      <c r="CO470" s="30">
        <v>9681</v>
      </c>
      <c r="CP470" s="30">
        <v>17521</v>
      </c>
      <c r="CQ470" s="1">
        <f t="shared" si="218"/>
        <v>3.1377148997134672</v>
      </c>
      <c r="CR470" s="47">
        <v>118121</v>
      </c>
      <c r="CS470" s="55">
        <f t="shared" si="211"/>
        <v>21.153474212034386</v>
      </c>
      <c r="CT470" s="59">
        <v>18325</v>
      </c>
      <c r="CU470" s="29" t="s">
        <v>25</v>
      </c>
      <c r="CV470" s="29" t="s">
        <v>25</v>
      </c>
      <c r="CW470" s="29" t="s">
        <v>25</v>
      </c>
      <c r="CX470" s="35">
        <v>0</v>
      </c>
      <c r="CY470" s="49">
        <v>0</v>
      </c>
      <c r="CZ470" s="35">
        <v>1</v>
      </c>
      <c r="DA470" s="35">
        <v>2.65</v>
      </c>
      <c r="DB470" s="35">
        <v>3.65</v>
      </c>
      <c r="DC470" s="49">
        <f t="shared" si="212"/>
        <v>1529.8630136986301</v>
      </c>
      <c r="DD470" s="30">
        <v>4412</v>
      </c>
      <c r="DE470" s="31">
        <v>34000</v>
      </c>
      <c r="DF470" s="35">
        <v>40</v>
      </c>
      <c r="DG470" s="29" t="s">
        <v>25</v>
      </c>
      <c r="DH470" s="29" t="s">
        <v>25</v>
      </c>
      <c r="DI470" s="29" t="s">
        <v>25</v>
      </c>
      <c r="DJ470" s="47">
        <v>29</v>
      </c>
      <c r="DK470" s="47">
        <v>2</v>
      </c>
      <c r="DL470" s="47">
        <v>23</v>
      </c>
      <c r="DM470" s="47">
        <v>20056</v>
      </c>
      <c r="DN470" s="47">
        <v>1122</v>
      </c>
      <c r="DO470" s="47">
        <v>7800</v>
      </c>
      <c r="DP470" s="29" t="s">
        <v>2028</v>
      </c>
      <c r="DQ470" s="47">
        <v>0</v>
      </c>
      <c r="DR470" s="47">
        <v>2396</v>
      </c>
      <c r="DS470" s="30">
        <v>48</v>
      </c>
      <c r="DT470" s="30">
        <v>48</v>
      </c>
      <c r="DU470" s="30">
        <v>48</v>
      </c>
      <c r="DV470" s="30">
        <v>48</v>
      </c>
      <c r="DX470" s="2">
        <f t="shared" si="213"/>
        <v>2396</v>
      </c>
      <c r="DY470" s="33" t="s">
        <v>2182</v>
      </c>
      <c r="DZ470" s="33" t="s">
        <v>1676</v>
      </c>
      <c r="EA470" s="33" t="s">
        <v>2032</v>
      </c>
      <c r="EB470" s="33" t="s">
        <v>2027</v>
      </c>
      <c r="EC470" s="36">
        <v>569</v>
      </c>
      <c r="ED470" s="29" t="s">
        <v>1674</v>
      </c>
      <c r="EE470" s="29" t="s">
        <v>101</v>
      </c>
      <c r="EF470" s="37">
        <v>41518</v>
      </c>
      <c r="EG470" s="37">
        <v>41882</v>
      </c>
      <c r="EH470" s="29" t="s">
        <v>1674</v>
      </c>
      <c r="EI470" s="55">
        <f t="shared" si="214"/>
        <v>2.4888968481375358</v>
      </c>
      <c r="EJ470" s="54">
        <f t="shared" si="215"/>
        <v>8.8287965616045849E-2</v>
      </c>
      <c r="EK470" s="55">
        <f t="shared" si="216"/>
        <v>9.341511461318051</v>
      </c>
      <c r="EL470" s="54">
        <f t="shared" si="217"/>
        <v>0.24552292263610315</v>
      </c>
    </row>
    <row r="471" spans="1:142" ht="28.8" x14ac:dyDescent="0.3">
      <c r="A471" s="29" t="s">
        <v>7</v>
      </c>
      <c r="B471" s="29"/>
      <c r="C471" s="30">
        <v>3614</v>
      </c>
      <c r="D471" s="30">
        <v>0</v>
      </c>
      <c r="E471" s="30">
        <v>0</v>
      </c>
      <c r="F471" s="30">
        <v>3600</v>
      </c>
      <c r="H471" s="2">
        <f t="shared" si="193"/>
        <v>3600</v>
      </c>
      <c r="I471" s="1">
        <f t="shared" si="192"/>
        <v>0.99612617598229114</v>
      </c>
      <c r="J471" s="31">
        <v>14554</v>
      </c>
      <c r="K471" s="31">
        <v>2664</v>
      </c>
      <c r="L471" s="31">
        <v>17218</v>
      </c>
      <c r="M471" s="45">
        <f t="shared" si="194"/>
        <v>4.7642501383508575</v>
      </c>
      <c r="N471" s="31">
        <v>6638</v>
      </c>
      <c r="O471" s="31">
        <v>2500</v>
      </c>
      <c r="P471" s="31">
        <v>2205</v>
      </c>
      <c r="Q471" s="31">
        <v>11343</v>
      </c>
      <c r="R471" s="45">
        <f t="shared" si="195"/>
        <v>3.1386275594908688</v>
      </c>
      <c r="S471" s="31">
        <v>8193</v>
      </c>
      <c r="T471" s="31">
        <v>36754</v>
      </c>
      <c r="U471" s="31">
        <v>0</v>
      </c>
      <c r="V471" s="31">
        <v>36754</v>
      </c>
      <c r="W471" s="45">
        <f t="shared" si="196"/>
        <v>10.16989485334809</v>
      </c>
      <c r="X471" s="4">
        <f t="shared" si="197"/>
        <v>0.46846601730423898</v>
      </c>
      <c r="Y471" s="4">
        <f t="shared" si="198"/>
        <v>0.308619469989661</v>
      </c>
      <c r="Z471" s="4">
        <f t="shared" si="199"/>
        <v>0.22291451270610002</v>
      </c>
      <c r="AA471" s="4">
        <f t="shared" si="200"/>
        <v>0</v>
      </c>
      <c r="AB471" s="31">
        <v>0</v>
      </c>
      <c r="AC471" s="31">
        <v>9843</v>
      </c>
      <c r="AD471" s="31">
        <v>35254</v>
      </c>
      <c r="AE471" s="31">
        <v>30904</v>
      </c>
      <c r="AF471" s="31">
        <v>11913</v>
      </c>
      <c r="AG471" s="31">
        <v>18991</v>
      </c>
      <c r="AH471" s="31">
        <v>0</v>
      </c>
      <c r="AI471" s="31">
        <v>30904</v>
      </c>
      <c r="AJ471" s="45">
        <f t="shared" si="201"/>
        <v>8.5511898173768675</v>
      </c>
      <c r="AK471" s="31">
        <v>0</v>
      </c>
      <c r="AL471" s="31">
        <v>0</v>
      </c>
      <c r="AM471" s="31">
        <v>0</v>
      </c>
      <c r="AN471" s="31">
        <v>0</v>
      </c>
      <c r="AO471" s="31">
        <v>0</v>
      </c>
      <c r="AP471" s="31">
        <v>2943</v>
      </c>
      <c r="AQ471" s="31">
        <v>2943</v>
      </c>
      <c r="AR471" s="31">
        <v>33847</v>
      </c>
      <c r="AS471" s="46">
        <f t="shared" si="202"/>
        <v>9.3655229662423913</v>
      </c>
      <c r="AT471" s="31">
        <v>0</v>
      </c>
      <c r="AU471" s="31">
        <v>0</v>
      </c>
      <c r="AV471" s="31">
        <v>0</v>
      </c>
      <c r="AW471" s="31">
        <v>0</v>
      </c>
      <c r="AX471" s="31">
        <v>0</v>
      </c>
      <c r="AY471" s="31">
        <v>0</v>
      </c>
      <c r="AZ471" s="31">
        <v>0</v>
      </c>
      <c r="BA471" s="31">
        <v>0</v>
      </c>
      <c r="BB471" s="31">
        <v>0</v>
      </c>
      <c r="BC471" s="33" t="s">
        <v>25</v>
      </c>
      <c r="BD471" s="47">
        <v>22590</v>
      </c>
      <c r="BE471" s="47">
        <v>22836</v>
      </c>
      <c r="BF471" s="45">
        <f t="shared" si="203"/>
        <v>6.3187603763143327</v>
      </c>
      <c r="BG471" s="30">
        <v>409</v>
      </c>
      <c r="BH471" s="30">
        <v>415</v>
      </c>
      <c r="BI471" s="30">
        <v>34</v>
      </c>
      <c r="BJ471" s="30">
        <v>2863</v>
      </c>
      <c r="BK471" s="30">
        <v>2869</v>
      </c>
      <c r="BL471" s="30">
        <v>0</v>
      </c>
      <c r="BM471" s="30">
        <v>1007</v>
      </c>
      <c r="BN471" s="30">
        <v>0</v>
      </c>
      <c r="BO471" s="30">
        <v>51</v>
      </c>
      <c r="BP471" s="30">
        <v>0</v>
      </c>
      <c r="BQ471" s="30">
        <v>51</v>
      </c>
      <c r="BR471" s="47">
        <v>25862</v>
      </c>
      <c r="BS471" s="47">
        <v>27161</v>
      </c>
      <c r="BT471" s="1">
        <f t="shared" si="204"/>
        <v>7.5154952960708359</v>
      </c>
      <c r="BU471" s="30">
        <v>10</v>
      </c>
      <c r="BV471" s="30">
        <v>1</v>
      </c>
      <c r="BW471" s="47">
        <v>1458</v>
      </c>
      <c r="BX471" s="52">
        <f t="shared" si="205"/>
        <v>0.40343110127282789</v>
      </c>
      <c r="BY471" s="47">
        <v>2422</v>
      </c>
      <c r="BZ471" s="47">
        <v>0</v>
      </c>
      <c r="CA471" s="47">
        <v>6555</v>
      </c>
      <c r="CB471" s="47">
        <v>761</v>
      </c>
      <c r="CC471" s="47">
        <v>9738</v>
      </c>
      <c r="CD471" s="55">
        <f t="shared" si="206"/>
        <v>2.6945213060320974</v>
      </c>
      <c r="CE471" s="3">
        <f t="shared" si="207"/>
        <v>7790.4</v>
      </c>
      <c r="CF471" s="55">
        <f t="shared" si="208"/>
        <v>6.7066115702479339</v>
      </c>
      <c r="CG471" s="55">
        <f t="shared" si="209"/>
        <v>0.9926605504587156</v>
      </c>
      <c r="CH471" s="55">
        <f t="shared" si="210"/>
        <v>0.33051065866499763</v>
      </c>
      <c r="CI471" s="30">
        <v>51</v>
      </c>
      <c r="CJ471" s="30">
        <v>0</v>
      </c>
      <c r="CK471" s="30">
        <v>9</v>
      </c>
      <c r="CL471" s="30">
        <v>60</v>
      </c>
      <c r="CM471" s="30">
        <v>1549</v>
      </c>
      <c r="CN471" s="30">
        <v>0</v>
      </c>
      <c r="CO471" s="30">
        <v>818</v>
      </c>
      <c r="CP471" s="30">
        <v>2367</v>
      </c>
      <c r="CQ471" s="1">
        <f t="shared" si="218"/>
        <v>0.6549529607083564</v>
      </c>
      <c r="CR471" s="47">
        <v>9810</v>
      </c>
      <c r="CS471" s="55">
        <f t="shared" si="211"/>
        <v>2.714443829551743</v>
      </c>
      <c r="CT471" s="59">
        <v>2630</v>
      </c>
      <c r="CU471" s="29" t="s">
        <v>25</v>
      </c>
      <c r="CV471" s="29" t="s">
        <v>25</v>
      </c>
      <c r="CW471" s="29" t="s">
        <v>25</v>
      </c>
      <c r="CX471" s="35">
        <v>0</v>
      </c>
      <c r="CY471" s="49">
        <v>0</v>
      </c>
      <c r="CZ471" s="35">
        <v>0.75</v>
      </c>
      <c r="DA471" s="35">
        <v>0.5</v>
      </c>
      <c r="DB471" s="35">
        <v>1.25</v>
      </c>
      <c r="DC471" s="49">
        <f t="shared" si="212"/>
        <v>2891.2</v>
      </c>
      <c r="DD471" s="30">
        <v>168</v>
      </c>
      <c r="DE471" s="31">
        <v>13650</v>
      </c>
      <c r="DF471" s="35">
        <v>30</v>
      </c>
      <c r="DG471" s="29" t="s">
        <v>25</v>
      </c>
      <c r="DH471" s="29" t="s">
        <v>25</v>
      </c>
      <c r="DI471" s="29" t="s">
        <v>25</v>
      </c>
      <c r="DJ471" s="47">
        <v>24</v>
      </c>
      <c r="DK471" s="47">
        <v>25</v>
      </c>
      <c r="DL471" s="47">
        <v>6</v>
      </c>
      <c r="DM471" s="47">
        <v>3369</v>
      </c>
      <c r="DN471" s="47">
        <v>23</v>
      </c>
      <c r="DO471" s="47">
        <v>0</v>
      </c>
      <c r="DP471" s="29" t="s">
        <v>2028</v>
      </c>
      <c r="DQ471" s="47">
        <v>0</v>
      </c>
      <c r="DR471" s="47">
        <v>1452</v>
      </c>
      <c r="DS471" s="30">
        <v>52</v>
      </c>
      <c r="DT471" s="30">
        <v>30</v>
      </c>
      <c r="DU471" s="30">
        <v>30</v>
      </c>
      <c r="DV471" s="30">
        <v>32</v>
      </c>
      <c r="DX471" s="2">
        <f t="shared" si="213"/>
        <v>1452</v>
      </c>
      <c r="DY471" s="33" t="s">
        <v>2181</v>
      </c>
      <c r="DZ471" s="33" t="s">
        <v>1206</v>
      </c>
      <c r="EA471" s="33" t="s">
        <v>2031</v>
      </c>
      <c r="EB471" s="33" t="s">
        <v>2027</v>
      </c>
      <c r="EC471" s="36">
        <v>358</v>
      </c>
      <c r="ED471" s="29" t="s">
        <v>1204</v>
      </c>
      <c r="EE471" s="29" t="s">
        <v>1205</v>
      </c>
      <c r="EF471" s="37">
        <v>41518</v>
      </c>
      <c r="EG471" s="37">
        <v>41882</v>
      </c>
      <c r="EH471" s="29" t="s">
        <v>1204</v>
      </c>
      <c r="EI471" s="55">
        <f t="shared" si="214"/>
        <v>0.67017155506364134</v>
      </c>
      <c r="EJ471" s="54">
        <f t="shared" si="215"/>
        <v>0</v>
      </c>
      <c r="EK471" s="55">
        <f t="shared" si="216"/>
        <v>1.8137797454344218</v>
      </c>
      <c r="EL471" s="54">
        <f t="shared" si="217"/>
        <v>0.21057000553403432</v>
      </c>
    </row>
    <row r="472" spans="1:142" ht="43.2" x14ac:dyDescent="0.3">
      <c r="A472" s="29" t="s">
        <v>1798</v>
      </c>
      <c r="B472" s="29"/>
      <c r="C472" s="30">
        <v>5650</v>
      </c>
      <c r="D472" s="30">
        <v>0</v>
      </c>
      <c r="E472" s="30">
        <v>0</v>
      </c>
      <c r="F472" s="30">
        <v>3234</v>
      </c>
      <c r="H472" s="2">
        <f t="shared" si="193"/>
        <v>3234</v>
      </c>
      <c r="I472" s="1">
        <f t="shared" si="192"/>
        <v>0.57238938053097344</v>
      </c>
      <c r="J472" s="31">
        <v>15656</v>
      </c>
      <c r="K472" s="31">
        <v>1297</v>
      </c>
      <c r="L472" s="31">
        <v>16953</v>
      </c>
      <c r="M472" s="45">
        <f t="shared" si="194"/>
        <v>3.0005309734513275</v>
      </c>
      <c r="N472" s="31">
        <v>8677</v>
      </c>
      <c r="O472" s="31">
        <v>5314</v>
      </c>
      <c r="P472" s="31">
        <v>0</v>
      </c>
      <c r="Q472" s="31">
        <v>13991</v>
      </c>
      <c r="R472" s="45">
        <f t="shared" si="195"/>
        <v>2.4762831858407082</v>
      </c>
      <c r="S472" s="31">
        <v>16959</v>
      </c>
      <c r="T472" s="31">
        <v>47903</v>
      </c>
      <c r="U472" s="31">
        <v>0</v>
      </c>
      <c r="V472" s="31">
        <v>47903</v>
      </c>
      <c r="W472" s="45">
        <f t="shared" si="196"/>
        <v>8.4784070796460185</v>
      </c>
      <c r="X472" s="4">
        <f t="shared" si="197"/>
        <v>0.35390267832912342</v>
      </c>
      <c r="Y472" s="4">
        <f t="shared" si="198"/>
        <v>0.29206939022608186</v>
      </c>
      <c r="Z472" s="4">
        <f t="shared" si="199"/>
        <v>0.35402793144479466</v>
      </c>
      <c r="AA472" s="4">
        <f t="shared" si="200"/>
        <v>0</v>
      </c>
      <c r="AB472" s="31">
        <v>0</v>
      </c>
      <c r="AC472" s="31">
        <v>13991</v>
      </c>
      <c r="AD472" s="31">
        <v>47903</v>
      </c>
      <c r="AE472" s="31">
        <v>47903</v>
      </c>
      <c r="AF472" s="31">
        <v>0</v>
      </c>
      <c r="AG472" s="31">
        <v>0</v>
      </c>
      <c r="AH472" s="31">
        <v>47903</v>
      </c>
      <c r="AI472" s="31">
        <v>47903</v>
      </c>
      <c r="AJ472" s="45">
        <f t="shared" si="201"/>
        <v>8.4784070796460185</v>
      </c>
      <c r="AK472" s="31">
        <v>0</v>
      </c>
      <c r="AL472" s="31">
        <v>0</v>
      </c>
      <c r="AM472" s="31">
        <v>0</v>
      </c>
      <c r="AN472" s="31">
        <v>0</v>
      </c>
      <c r="AO472" s="31">
        <v>0</v>
      </c>
      <c r="AP472" s="31">
        <v>1500</v>
      </c>
      <c r="AQ472" s="31">
        <v>1500</v>
      </c>
      <c r="AR472" s="31">
        <v>49403</v>
      </c>
      <c r="AS472" s="46">
        <f t="shared" si="202"/>
        <v>8.7438938053097353</v>
      </c>
      <c r="AT472" s="31">
        <v>0</v>
      </c>
      <c r="AU472" s="31">
        <v>0</v>
      </c>
      <c r="AV472" s="31">
        <v>0</v>
      </c>
      <c r="AW472" s="31">
        <v>0</v>
      </c>
      <c r="AX472" s="31">
        <v>0</v>
      </c>
      <c r="AY472" s="31">
        <v>0</v>
      </c>
      <c r="AZ472" s="31">
        <v>0</v>
      </c>
      <c r="BA472" s="31">
        <v>0</v>
      </c>
      <c r="BB472" s="31">
        <v>0</v>
      </c>
      <c r="BC472" s="33" t="s">
        <v>25</v>
      </c>
      <c r="BD472" s="47">
        <v>8506</v>
      </c>
      <c r="BE472" s="47">
        <v>8626</v>
      </c>
      <c r="BF472" s="45">
        <f t="shared" si="203"/>
        <v>1.5267256637168141</v>
      </c>
      <c r="BG472" s="30">
        <v>23</v>
      </c>
      <c r="BH472" s="30">
        <v>23</v>
      </c>
      <c r="BI472" s="30">
        <v>0</v>
      </c>
      <c r="BJ472" s="30">
        <v>40</v>
      </c>
      <c r="BK472" s="30">
        <v>40</v>
      </c>
      <c r="BL472" s="30">
        <v>0</v>
      </c>
      <c r="BM472" s="30">
        <v>210</v>
      </c>
      <c r="BN472" s="30">
        <v>0</v>
      </c>
      <c r="BO472" s="30">
        <v>51</v>
      </c>
      <c r="BP472" s="30">
        <v>0</v>
      </c>
      <c r="BQ472" s="30">
        <v>51</v>
      </c>
      <c r="BR472" s="47">
        <v>8569</v>
      </c>
      <c r="BS472" s="47">
        <v>8899</v>
      </c>
      <c r="BT472" s="1">
        <f t="shared" si="204"/>
        <v>1.5750442477876105</v>
      </c>
      <c r="BU472" s="30">
        <v>13</v>
      </c>
      <c r="BV472" s="30">
        <v>0</v>
      </c>
      <c r="BW472" s="47">
        <v>2880</v>
      </c>
      <c r="BX472" s="52">
        <f t="shared" si="205"/>
        <v>0.50973451327433628</v>
      </c>
      <c r="BY472" s="47">
        <v>1474</v>
      </c>
      <c r="BZ472" s="47">
        <v>236</v>
      </c>
      <c r="CA472" s="47">
        <v>1686</v>
      </c>
      <c r="CB472" s="47">
        <v>221</v>
      </c>
      <c r="CC472" s="47">
        <v>3617</v>
      </c>
      <c r="CD472" s="55">
        <f t="shared" si="206"/>
        <v>0.64017699115044246</v>
      </c>
      <c r="CE472" s="3">
        <f t="shared" si="207"/>
        <v>4255.2941176470586</v>
      </c>
      <c r="CF472" s="55">
        <f t="shared" si="208"/>
        <v>3.0141666666666667</v>
      </c>
      <c r="CG472" s="55">
        <f t="shared" si="209"/>
        <v>0.81098654708520179</v>
      </c>
      <c r="CH472" s="55">
        <f t="shared" si="210"/>
        <v>0.35509607821103495</v>
      </c>
      <c r="CI472" s="30">
        <v>11</v>
      </c>
      <c r="CJ472" s="30">
        <v>11</v>
      </c>
      <c r="CK472" s="30">
        <v>10</v>
      </c>
      <c r="CL472" s="30">
        <v>32</v>
      </c>
      <c r="CM472" s="30">
        <v>590</v>
      </c>
      <c r="CN472" s="30">
        <v>161</v>
      </c>
      <c r="CO472" s="30">
        <v>103</v>
      </c>
      <c r="CP472" s="30">
        <v>854</v>
      </c>
      <c r="CQ472" s="1">
        <f t="shared" si="218"/>
        <v>0.1511504424778761</v>
      </c>
      <c r="CR472" s="47">
        <v>4460</v>
      </c>
      <c r="CS472" s="55">
        <f t="shared" si="211"/>
        <v>0.78938053097345129</v>
      </c>
      <c r="CT472" s="59">
        <v>1042</v>
      </c>
      <c r="CU472" s="29" t="s">
        <v>25</v>
      </c>
      <c r="CV472" s="29" t="s">
        <v>25</v>
      </c>
      <c r="CW472" s="29" t="s">
        <v>25</v>
      </c>
      <c r="CX472" s="35">
        <v>0.5</v>
      </c>
      <c r="CY472" s="49">
        <f>C472/CX472</f>
        <v>11300</v>
      </c>
      <c r="CZ472" s="35">
        <v>0.35</v>
      </c>
      <c r="DA472" s="35">
        <v>0</v>
      </c>
      <c r="DB472" s="35">
        <v>0.85</v>
      </c>
      <c r="DC472" s="49">
        <f t="shared" si="212"/>
        <v>6647.0588235294117</v>
      </c>
      <c r="DD472" s="30">
        <v>130</v>
      </c>
      <c r="DE472" s="31">
        <v>10625</v>
      </c>
      <c r="DF472" s="35">
        <v>20</v>
      </c>
      <c r="DG472" s="29" t="s">
        <v>25</v>
      </c>
      <c r="DH472" s="29" t="s">
        <v>25</v>
      </c>
      <c r="DI472" s="29" t="s">
        <v>25</v>
      </c>
      <c r="DJ472" s="47">
        <v>12</v>
      </c>
      <c r="DK472" s="47">
        <v>1</v>
      </c>
      <c r="DL472" s="47">
        <v>12</v>
      </c>
      <c r="DM472" s="47">
        <v>613</v>
      </c>
      <c r="DN472" s="47">
        <v>16</v>
      </c>
      <c r="DO472" s="47">
        <v>63</v>
      </c>
      <c r="DP472" s="29" t="s">
        <v>2028</v>
      </c>
      <c r="DQ472" s="47">
        <v>0</v>
      </c>
      <c r="DR472" s="47">
        <v>1200</v>
      </c>
      <c r="DS472" s="30">
        <v>50</v>
      </c>
      <c r="DT472" s="30">
        <v>24</v>
      </c>
      <c r="DU472" s="30">
        <v>24</v>
      </c>
      <c r="DV472" s="30">
        <v>24</v>
      </c>
      <c r="DX472" s="2">
        <f t="shared" si="213"/>
        <v>1200</v>
      </c>
      <c r="DY472" s="33" t="s">
        <v>2178</v>
      </c>
      <c r="DZ472" s="33" t="s">
        <v>1800</v>
      </c>
      <c r="EA472" s="33" t="s">
        <v>2035</v>
      </c>
      <c r="EB472" s="33" t="s">
        <v>2027</v>
      </c>
      <c r="EC472" s="36">
        <v>638</v>
      </c>
      <c r="ED472" s="29" t="s">
        <v>1799</v>
      </c>
      <c r="EE472" s="29" t="s">
        <v>844</v>
      </c>
      <c r="EF472" s="37">
        <v>41518</v>
      </c>
      <c r="EG472" s="37">
        <v>41882</v>
      </c>
      <c r="EH472" s="29" t="s">
        <v>1799</v>
      </c>
      <c r="EI472" s="55">
        <f t="shared" si="214"/>
        <v>0.26088495575221238</v>
      </c>
      <c r="EJ472" s="54">
        <f t="shared" si="215"/>
        <v>4.176991150442478E-2</v>
      </c>
      <c r="EK472" s="55">
        <f t="shared" si="216"/>
        <v>0.2984070796460177</v>
      </c>
      <c r="EL472" s="54">
        <f t="shared" si="217"/>
        <v>3.9115044247787611E-2</v>
      </c>
    </row>
    <row r="473" spans="1:142" ht="28.8" x14ac:dyDescent="0.3">
      <c r="A473" s="29" t="s">
        <v>1207</v>
      </c>
      <c r="B473" s="29"/>
      <c r="C473" s="30">
        <v>3145</v>
      </c>
      <c r="D473" s="30">
        <v>0</v>
      </c>
      <c r="E473" s="30">
        <v>0</v>
      </c>
      <c r="F473" s="30">
        <v>3150</v>
      </c>
      <c r="H473" s="2">
        <f t="shared" si="193"/>
        <v>3150</v>
      </c>
      <c r="I473" s="1">
        <f t="shared" si="192"/>
        <v>1.0015898251192368</v>
      </c>
      <c r="J473" s="31">
        <v>12723</v>
      </c>
      <c r="K473" s="31">
        <v>1719</v>
      </c>
      <c r="L473" s="31">
        <v>14442</v>
      </c>
      <c r="M473" s="45">
        <f t="shared" si="194"/>
        <v>4.5920508744038155</v>
      </c>
      <c r="N473" s="31">
        <v>11000</v>
      </c>
      <c r="O473" s="31">
        <v>1220</v>
      </c>
      <c r="P473" s="31">
        <v>1390</v>
      </c>
      <c r="Q473" s="31">
        <v>13610</v>
      </c>
      <c r="R473" s="45">
        <f t="shared" si="195"/>
        <v>4.3275039745627977</v>
      </c>
      <c r="S473" s="31">
        <v>0</v>
      </c>
      <c r="T473" s="31">
        <v>28052</v>
      </c>
      <c r="U473" s="31">
        <v>0</v>
      </c>
      <c r="V473" s="31">
        <v>28052</v>
      </c>
      <c r="W473" s="45">
        <f t="shared" si="196"/>
        <v>8.9195548489666141</v>
      </c>
      <c r="X473" s="4">
        <f t="shared" si="197"/>
        <v>0.51482960216740337</v>
      </c>
      <c r="Y473" s="4">
        <f t="shared" si="198"/>
        <v>0.48517039783259663</v>
      </c>
      <c r="Z473" s="4">
        <f t="shared" si="199"/>
        <v>0</v>
      </c>
      <c r="AA473" s="4">
        <f t="shared" si="200"/>
        <v>0</v>
      </c>
      <c r="AB473" s="31">
        <v>0</v>
      </c>
      <c r="AC473" s="31">
        <v>14900</v>
      </c>
      <c r="AD473" s="31">
        <v>28052</v>
      </c>
      <c r="AE473" s="31">
        <v>0</v>
      </c>
      <c r="AF473" s="31">
        <v>11300</v>
      </c>
      <c r="AG473" s="31">
        <v>2400</v>
      </c>
      <c r="AH473" s="31">
        <v>0</v>
      </c>
      <c r="AI473" s="31">
        <v>13700</v>
      </c>
      <c r="AJ473" s="45">
        <f t="shared" si="201"/>
        <v>4.3561208267090619</v>
      </c>
      <c r="AK473" s="31">
        <v>0</v>
      </c>
      <c r="AL473" s="31">
        <v>0</v>
      </c>
      <c r="AM473" s="31">
        <v>0</v>
      </c>
      <c r="AN473" s="31">
        <v>0</v>
      </c>
      <c r="AO473" s="31">
        <v>0</v>
      </c>
      <c r="AP473" s="31">
        <v>17300</v>
      </c>
      <c r="AQ473" s="31">
        <v>17300</v>
      </c>
      <c r="AR473" s="31">
        <v>31000</v>
      </c>
      <c r="AS473" s="46">
        <f t="shared" si="202"/>
        <v>9.8569157392686808</v>
      </c>
      <c r="AT473" s="31">
        <v>0</v>
      </c>
      <c r="AU473" s="31">
        <v>0</v>
      </c>
      <c r="AV473" s="31">
        <v>0</v>
      </c>
      <c r="AW473" s="31">
        <v>0</v>
      </c>
      <c r="AX473" s="31">
        <v>0</v>
      </c>
      <c r="AY473" s="31">
        <v>0</v>
      </c>
      <c r="AZ473" s="31">
        <v>0</v>
      </c>
      <c r="BA473" s="31">
        <v>0</v>
      </c>
      <c r="BB473" s="31">
        <v>0</v>
      </c>
      <c r="BC473" s="33" t="s">
        <v>25</v>
      </c>
      <c r="BD473" s="47">
        <v>18350</v>
      </c>
      <c r="BE473" s="47">
        <v>18422</v>
      </c>
      <c r="BF473" s="45">
        <f t="shared" si="203"/>
        <v>5.8575516693163756</v>
      </c>
      <c r="BG473" s="30">
        <v>0</v>
      </c>
      <c r="BH473" s="30">
        <v>0</v>
      </c>
      <c r="BI473" s="30">
        <v>800</v>
      </c>
      <c r="BJ473" s="30">
        <v>0</v>
      </c>
      <c r="BK473" s="30">
        <v>0</v>
      </c>
      <c r="BL473" s="30">
        <v>30</v>
      </c>
      <c r="BM473" s="30">
        <v>2500</v>
      </c>
      <c r="BN473" s="30">
        <v>0</v>
      </c>
      <c r="BO473" s="30">
        <v>51</v>
      </c>
      <c r="BP473" s="30">
        <v>15</v>
      </c>
      <c r="BQ473" s="30">
        <v>66</v>
      </c>
      <c r="BR473" s="47">
        <v>18350</v>
      </c>
      <c r="BS473" s="47">
        <v>21752</v>
      </c>
      <c r="BT473" s="1">
        <f t="shared" si="204"/>
        <v>6.9163751987281401</v>
      </c>
      <c r="BU473" s="30">
        <v>0</v>
      </c>
      <c r="BV473" s="30">
        <v>0</v>
      </c>
      <c r="BW473" s="47">
        <v>723</v>
      </c>
      <c r="BX473" s="52">
        <f t="shared" si="205"/>
        <v>0.22988871224165341</v>
      </c>
      <c r="BY473" s="47">
        <v>1250</v>
      </c>
      <c r="BZ473" s="47">
        <v>31</v>
      </c>
      <c r="CA473" s="47">
        <v>4700</v>
      </c>
      <c r="CB473" s="47">
        <v>230</v>
      </c>
      <c r="CC473" s="47">
        <v>6211</v>
      </c>
      <c r="CD473" s="55">
        <f t="shared" si="206"/>
        <v>1.9748807631160572</v>
      </c>
      <c r="CE473" s="3">
        <f t="shared" si="207"/>
        <v>12422</v>
      </c>
      <c r="CF473" s="55">
        <f t="shared" si="208"/>
        <v>6.0892156862745095</v>
      </c>
      <c r="CG473" s="55">
        <f t="shared" si="209"/>
        <v>0.97811023622047244</v>
      </c>
      <c r="CH473" s="55">
        <f t="shared" si="210"/>
        <v>0.27353806546524456</v>
      </c>
      <c r="CI473" s="30">
        <v>10</v>
      </c>
      <c r="CJ473" s="30">
        <v>0</v>
      </c>
      <c r="CK473" s="30">
        <v>0</v>
      </c>
      <c r="CL473" s="30">
        <v>10</v>
      </c>
      <c r="CM473" s="30">
        <v>380</v>
      </c>
      <c r="CN473" s="30">
        <v>0</v>
      </c>
      <c r="CO473" s="30">
        <v>0</v>
      </c>
      <c r="CP473" s="30">
        <v>380</v>
      </c>
      <c r="CQ473" s="1">
        <f t="shared" si="218"/>
        <v>0.12082670906200318</v>
      </c>
      <c r="CR473" s="47">
        <v>6350</v>
      </c>
      <c r="CS473" s="55">
        <f t="shared" si="211"/>
        <v>2.0190779014308426</v>
      </c>
      <c r="CT473" s="59">
        <v>2320</v>
      </c>
      <c r="CU473" s="29" t="s">
        <v>25</v>
      </c>
      <c r="CV473" s="29" t="s">
        <v>25</v>
      </c>
      <c r="CW473" s="29" t="s">
        <v>25</v>
      </c>
      <c r="CX473" s="35">
        <v>0</v>
      </c>
      <c r="CY473" s="49">
        <v>0</v>
      </c>
      <c r="CZ473" s="35">
        <v>0.5</v>
      </c>
      <c r="DA473" s="35">
        <v>0</v>
      </c>
      <c r="DB473" s="35">
        <v>0.5</v>
      </c>
      <c r="DC473" s="49">
        <f t="shared" si="212"/>
        <v>6290</v>
      </c>
      <c r="DD473" s="30">
        <v>0</v>
      </c>
      <c r="DE473" s="31">
        <v>14442</v>
      </c>
      <c r="DF473" s="35">
        <v>20</v>
      </c>
      <c r="DG473" s="29" t="s">
        <v>25</v>
      </c>
      <c r="DH473" s="29" t="s">
        <v>26</v>
      </c>
      <c r="DI473" s="29" t="s">
        <v>26</v>
      </c>
      <c r="DJ473" s="47">
        <v>0</v>
      </c>
      <c r="DK473" s="47">
        <v>0</v>
      </c>
      <c r="DL473" s="47">
        <v>5</v>
      </c>
      <c r="DM473" s="47">
        <v>1260</v>
      </c>
      <c r="DN473" s="47">
        <v>1</v>
      </c>
      <c r="DO473" s="47">
        <v>28</v>
      </c>
      <c r="DP473" s="29" t="s">
        <v>83</v>
      </c>
      <c r="DQ473" s="47">
        <v>0</v>
      </c>
      <c r="DR473" s="47">
        <v>1020</v>
      </c>
      <c r="DS473" s="30">
        <v>52</v>
      </c>
      <c r="DT473" s="30">
        <v>20</v>
      </c>
      <c r="DU473" s="30">
        <v>20</v>
      </c>
      <c r="DV473" s="30">
        <v>20</v>
      </c>
      <c r="DX473" s="2">
        <f t="shared" si="213"/>
        <v>1020</v>
      </c>
      <c r="DY473" s="33" t="s">
        <v>2184</v>
      </c>
      <c r="DZ473" s="33" t="s">
        <v>1210</v>
      </c>
      <c r="EA473" s="33" t="s">
        <v>2030</v>
      </c>
      <c r="EB473" s="33" t="s">
        <v>2026</v>
      </c>
      <c r="EC473" s="36">
        <v>359</v>
      </c>
      <c r="ED473" s="29" t="s">
        <v>1208</v>
      </c>
      <c r="EE473" s="29" t="s">
        <v>1209</v>
      </c>
      <c r="EF473" s="37">
        <v>41640</v>
      </c>
      <c r="EG473" s="37">
        <v>42004</v>
      </c>
      <c r="EH473" s="29" t="s">
        <v>1208</v>
      </c>
      <c r="EI473" s="55">
        <f t="shared" si="214"/>
        <v>0.39745627980922099</v>
      </c>
      <c r="EJ473" s="54">
        <f t="shared" si="215"/>
        <v>9.8569157392686801E-3</v>
      </c>
      <c r="EK473" s="55">
        <f t="shared" si="216"/>
        <v>1.4944356120826709</v>
      </c>
      <c r="EL473" s="54">
        <f t="shared" si="217"/>
        <v>7.3131955484896663E-2</v>
      </c>
    </row>
    <row r="474" spans="1:142" ht="28.8" x14ac:dyDescent="0.3">
      <c r="A474" s="29" t="s">
        <v>1211</v>
      </c>
      <c r="B474" s="29"/>
      <c r="C474" s="30">
        <v>2372</v>
      </c>
      <c r="D474" s="30">
        <v>0</v>
      </c>
      <c r="E474" s="30">
        <v>0</v>
      </c>
      <c r="F474" s="30">
        <v>2668</v>
      </c>
      <c r="H474" s="2">
        <f t="shared" si="193"/>
        <v>2668</v>
      </c>
      <c r="I474" s="1">
        <f t="shared" si="192"/>
        <v>1.1247892074198989</v>
      </c>
      <c r="J474" s="31">
        <v>33339</v>
      </c>
      <c r="K474" s="31">
        <v>10625</v>
      </c>
      <c r="L474" s="31">
        <v>43964</v>
      </c>
      <c r="M474" s="45">
        <f t="shared" si="194"/>
        <v>18.534569983136592</v>
      </c>
      <c r="N474" s="31">
        <v>3639</v>
      </c>
      <c r="O474" s="31">
        <v>0</v>
      </c>
      <c r="P474" s="31">
        <v>0</v>
      </c>
      <c r="Q474" s="31">
        <v>3639</v>
      </c>
      <c r="R474" s="45">
        <f t="shared" si="195"/>
        <v>1.5341483979763912</v>
      </c>
      <c r="S474" s="31">
        <v>10694</v>
      </c>
      <c r="T474" s="31">
        <v>58297</v>
      </c>
      <c r="U474" s="31">
        <v>776</v>
      </c>
      <c r="V474" s="31">
        <v>59073</v>
      </c>
      <c r="W474" s="45">
        <f t="shared" si="196"/>
        <v>24.904300168634062</v>
      </c>
      <c r="X474" s="4">
        <f t="shared" si="197"/>
        <v>0.74423171330387827</v>
      </c>
      <c r="Y474" s="4">
        <f t="shared" si="198"/>
        <v>6.1601746991011119E-2</v>
      </c>
      <c r="Z474" s="4">
        <f t="shared" si="199"/>
        <v>0.18103025070675266</v>
      </c>
      <c r="AA474" s="4">
        <f t="shared" si="200"/>
        <v>1.3136288998357963E-2</v>
      </c>
      <c r="AB474" s="31">
        <v>0</v>
      </c>
      <c r="AC474" s="31">
        <v>3639</v>
      </c>
      <c r="AD474" s="31">
        <v>59073</v>
      </c>
      <c r="AE474" s="31">
        <v>58297</v>
      </c>
      <c r="AF474" s="31">
        <v>58297</v>
      </c>
      <c r="AG474" s="31">
        <v>0</v>
      </c>
      <c r="AH474" s="31">
        <v>0</v>
      </c>
      <c r="AI474" s="31">
        <v>58297</v>
      </c>
      <c r="AJ474" s="45">
        <f t="shared" si="201"/>
        <v>24.577150084317033</v>
      </c>
      <c r="AK474" s="31">
        <v>0</v>
      </c>
      <c r="AL474" s="31">
        <v>0</v>
      </c>
      <c r="AM474" s="31">
        <v>0</v>
      </c>
      <c r="AN474" s="31">
        <v>0</v>
      </c>
      <c r="AO474" s="31">
        <v>0</v>
      </c>
      <c r="AP474" s="31">
        <v>0</v>
      </c>
      <c r="AQ474" s="31">
        <v>0</v>
      </c>
      <c r="AR474" s="31">
        <v>58297</v>
      </c>
      <c r="AS474" s="46">
        <f t="shared" si="202"/>
        <v>24.577150084317033</v>
      </c>
      <c r="AT474" s="31">
        <v>0</v>
      </c>
      <c r="AU474" s="31">
        <v>0</v>
      </c>
      <c r="AV474" s="31">
        <v>0</v>
      </c>
      <c r="AW474" s="31">
        <v>0</v>
      </c>
      <c r="AX474" s="31">
        <v>0</v>
      </c>
      <c r="AY474" s="31">
        <v>0</v>
      </c>
      <c r="AZ474" s="31">
        <v>0</v>
      </c>
      <c r="BA474" s="31">
        <v>0</v>
      </c>
      <c r="BB474" s="31">
        <v>0</v>
      </c>
      <c r="BC474" s="33" t="s">
        <v>25</v>
      </c>
      <c r="BD474" s="47">
        <v>14265</v>
      </c>
      <c r="BE474" s="47">
        <v>14278</v>
      </c>
      <c r="BF474" s="45">
        <f t="shared" si="203"/>
        <v>6.0193929173693084</v>
      </c>
      <c r="BG474" s="30">
        <v>407</v>
      </c>
      <c r="BH474" s="30">
        <v>408</v>
      </c>
      <c r="BI474" s="30">
        <v>0</v>
      </c>
      <c r="BJ474" s="30">
        <v>889</v>
      </c>
      <c r="BK474" s="30">
        <v>890</v>
      </c>
      <c r="BL474" s="30">
        <v>0</v>
      </c>
      <c r="BM474" s="30">
        <v>0</v>
      </c>
      <c r="BN474" s="30">
        <v>0</v>
      </c>
      <c r="BO474" s="30">
        <v>51</v>
      </c>
      <c r="BP474" s="30">
        <v>0</v>
      </c>
      <c r="BQ474" s="30">
        <v>51</v>
      </c>
      <c r="BR474" s="47">
        <v>15561</v>
      </c>
      <c r="BS474" s="47">
        <v>15576</v>
      </c>
      <c r="BT474" s="1">
        <f t="shared" si="204"/>
        <v>6.5666104553119728</v>
      </c>
      <c r="BU474" s="30">
        <v>0</v>
      </c>
      <c r="BV474" s="30">
        <v>0</v>
      </c>
      <c r="BW474" s="47">
        <v>398</v>
      </c>
      <c r="BX474" s="52">
        <f t="shared" si="205"/>
        <v>0.16779089376053963</v>
      </c>
      <c r="BY474" s="47">
        <v>851</v>
      </c>
      <c r="BZ474" s="47">
        <v>0</v>
      </c>
      <c r="CA474" s="47">
        <v>12956</v>
      </c>
      <c r="CB474" s="47">
        <v>0</v>
      </c>
      <c r="CC474" s="47">
        <v>13807</v>
      </c>
      <c r="CD474" s="55">
        <f t="shared" si="206"/>
        <v>5.8208263069139967</v>
      </c>
      <c r="CE474" s="3">
        <f t="shared" si="207"/>
        <v>8004.0579710144921</v>
      </c>
      <c r="CF474" s="55">
        <f t="shared" si="208"/>
        <v>8.5439356435643568</v>
      </c>
      <c r="CG474" s="55">
        <f t="shared" si="209"/>
        <v>0.75349268718620388</v>
      </c>
      <c r="CH474" s="55">
        <f t="shared" si="210"/>
        <v>0.88642783769902411</v>
      </c>
      <c r="CI474" s="30">
        <v>6</v>
      </c>
      <c r="CJ474" s="30">
        <v>0</v>
      </c>
      <c r="CK474" s="30">
        <v>1</v>
      </c>
      <c r="CL474" s="30">
        <v>7</v>
      </c>
      <c r="CM474" s="30">
        <v>79</v>
      </c>
      <c r="CN474" s="30">
        <v>0</v>
      </c>
      <c r="CO474" s="30">
        <v>68</v>
      </c>
      <c r="CP474" s="30">
        <v>147</v>
      </c>
      <c r="CQ474" s="1">
        <f t="shared" si="218"/>
        <v>6.1973018549747051E-2</v>
      </c>
      <c r="CR474" s="47">
        <v>18324</v>
      </c>
      <c r="CS474" s="55">
        <f t="shared" si="211"/>
        <v>7.7251264755480609</v>
      </c>
      <c r="CT474" s="59">
        <v>3231</v>
      </c>
      <c r="CU474" s="29" t="s">
        <v>25</v>
      </c>
      <c r="CV474" s="29" t="s">
        <v>25</v>
      </c>
      <c r="CW474" s="29" t="s">
        <v>25</v>
      </c>
      <c r="CX474" s="35">
        <v>0</v>
      </c>
      <c r="CY474" s="49">
        <v>0</v>
      </c>
      <c r="CZ474" s="35">
        <v>1</v>
      </c>
      <c r="DA474" s="35">
        <v>0.72499999999999998</v>
      </c>
      <c r="DB474" s="35">
        <v>1.7250000000000001</v>
      </c>
      <c r="DC474" s="49">
        <f t="shared" si="212"/>
        <v>1375.0724637681158</v>
      </c>
      <c r="DD474" s="30">
        <v>196</v>
      </c>
      <c r="DE474" s="31">
        <v>21632</v>
      </c>
      <c r="DF474" s="35">
        <v>40</v>
      </c>
      <c r="DG474" s="29" t="s">
        <v>25</v>
      </c>
      <c r="DH474" s="29" t="s">
        <v>25</v>
      </c>
      <c r="DI474" s="29" t="s">
        <v>25</v>
      </c>
      <c r="DJ474" s="47">
        <v>2</v>
      </c>
      <c r="DK474" s="47">
        <v>8</v>
      </c>
      <c r="DL474" s="47">
        <v>7</v>
      </c>
      <c r="DM474" s="47">
        <v>4517</v>
      </c>
      <c r="DN474" s="47">
        <v>707</v>
      </c>
      <c r="DO474" s="47">
        <v>771</v>
      </c>
      <c r="DP474" s="29" t="s">
        <v>2028</v>
      </c>
      <c r="DQ474" s="47">
        <v>0</v>
      </c>
      <c r="DR474" s="47">
        <v>1616</v>
      </c>
      <c r="DS474" s="30">
        <v>52</v>
      </c>
      <c r="DT474" s="30">
        <v>34</v>
      </c>
      <c r="DU474" s="30">
        <v>34</v>
      </c>
      <c r="DV474" s="30">
        <v>34</v>
      </c>
      <c r="DX474" s="2">
        <f t="shared" si="213"/>
        <v>1616</v>
      </c>
      <c r="DY474" s="33" t="s">
        <v>2185</v>
      </c>
      <c r="DZ474" s="33" t="s">
        <v>1214</v>
      </c>
      <c r="EA474" s="33" t="s">
        <v>2030</v>
      </c>
      <c r="EB474" s="33" t="s">
        <v>2027</v>
      </c>
      <c r="EC474" s="36">
        <v>360</v>
      </c>
      <c r="ED474" s="29" t="s">
        <v>1212</v>
      </c>
      <c r="EE474" s="29" t="s">
        <v>1213</v>
      </c>
      <c r="EF474" s="37">
        <v>41548</v>
      </c>
      <c r="EG474" s="37">
        <v>41912</v>
      </c>
      <c r="EH474" s="29" t="s">
        <v>1212</v>
      </c>
      <c r="EI474" s="55">
        <f t="shared" si="214"/>
        <v>0.35876897133220909</v>
      </c>
      <c r="EJ474" s="54">
        <f t="shared" si="215"/>
        <v>0</v>
      </c>
      <c r="EK474" s="55">
        <f t="shared" si="216"/>
        <v>5.4620573355817879</v>
      </c>
      <c r="EL474" s="54">
        <f t="shared" si="217"/>
        <v>0</v>
      </c>
    </row>
    <row r="475" spans="1:142" ht="28.8" x14ac:dyDescent="0.3">
      <c r="A475" s="29" t="s">
        <v>1215</v>
      </c>
      <c r="B475" s="29"/>
      <c r="C475" s="30">
        <v>17980</v>
      </c>
      <c r="D475" s="30">
        <v>0</v>
      </c>
      <c r="E475" s="30">
        <v>0</v>
      </c>
      <c r="F475" s="30">
        <v>1000</v>
      </c>
      <c r="H475" s="2">
        <f t="shared" si="193"/>
        <v>1000</v>
      </c>
      <c r="I475" s="1">
        <f t="shared" si="192"/>
        <v>5.5617352614015569E-2</v>
      </c>
      <c r="J475" s="31">
        <v>12544</v>
      </c>
      <c r="K475" s="31">
        <v>80</v>
      </c>
      <c r="L475" s="31">
        <v>12624</v>
      </c>
      <c r="M475" s="45">
        <f t="shared" si="194"/>
        <v>0.70211345939933256</v>
      </c>
      <c r="N475" s="31">
        <v>631</v>
      </c>
      <c r="O475" s="31">
        <v>0</v>
      </c>
      <c r="P475" s="31">
        <v>185</v>
      </c>
      <c r="Q475" s="31">
        <v>816</v>
      </c>
      <c r="R475" s="45">
        <f t="shared" si="195"/>
        <v>4.538375973303671E-2</v>
      </c>
      <c r="S475" s="31">
        <v>6496</v>
      </c>
      <c r="T475" s="31">
        <v>19936</v>
      </c>
      <c r="U475" s="31">
        <v>0</v>
      </c>
      <c r="V475" s="31">
        <v>19936</v>
      </c>
      <c r="W475" s="45">
        <f t="shared" si="196"/>
        <v>1.1087875417130144</v>
      </c>
      <c r="X475" s="4">
        <f t="shared" si="197"/>
        <v>0.6332263242375602</v>
      </c>
      <c r="Y475" s="4">
        <f t="shared" si="198"/>
        <v>4.0930979133226325E-2</v>
      </c>
      <c r="Z475" s="4">
        <f t="shared" si="199"/>
        <v>0.3258426966292135</v>
      </c>
      <c r="AA475" s="4">
        <f t="shared" si="200"/>
        <v>0</v>
      </c>
      <c r="AB475" s="31">
        <v>0</v>
      </c>
      <c r="AC475" s="31">
        <v>815</v>
      </c>
      <c r="AD475" s="31">
        <v>19662</v>
      </c>
      <c r="AE475" s="31">
        <v>6000</v>
      </c>
      <c r="AF475" s="31">
        <v>0</v>
      </c>
      <c r="AG475" s="31">
        <v>6000</v>
      </c>
      <c r="AH475" s="31">
        <v>0</v>
      </c>
      <c r="AI475" s="31">
        <v>6000</v>
      </c>
      <c r="AJ475" s="45">
        <f t="shared" si="201"/>
        <v>0.33370411568409342</v>
      </c>
      <c r="AK475" s="31">
        <v>0</v>
      </c>
      <c r="AL475" s="31">
        <v>0</v>
      </c>
      <c r="AM475" s="31">
        <v>0</v>
      </c>
      <c r="AN475" s="31">
        <v>0</v>
      </c>
      <c r="AO475" s="31">
        <v>2500</v>
      </c>
      <c r="AP475" s="31">
        <v>14042</v>
      </c>
      <c r="AQ475" s="31">
        <v>16542</v>
      </c>
      <c r="AR475" s="31">
        <v>22542</v>
      </c>
      <c r="AS475" s="46">
        <f t="shared" si="202"/>
        <v>1.2537263626251391</v>
      </c>
      <c r="AT475" s="31">
        <v>0</v>
      </c>
      <c r="AU475" s="31">
        <v>0</v>
      </c>
      <c r="AV475" s="31">
        <v>0</v>
      </c>
      <c r="AW475" s="31">
        <v>0</v>
      </c>
      <c r="AX475" s="31">
        <v>0</v>
      </c>
      <c r="AY475" s="31">
        <v>0</v>
      </c>
      <c r="AZ475" s="31">
        <v>0</v>
      </c>
      <c r="BA475" s="31">
        <v>0</v>
      </c>
      <c r="BB475" s="31">
        <v>0</v>
      </c>
      <c r="BC475" s="33" t="s">
        <v>26</v>
      </c>
      <c r="BD475" s="47">
        <v>6924</v>
      </c>
      <c r="BE475" s="47">
        <v>7019</v>
      </c>
      <c r="BF475" s="45">
        <f t="shared" si="203"/>
        <v>0.39037819799777529</v>
      </c>
      <c r="BG475" s="30">
        <v>90</v>
      </c>
      <c r="BH475" s="30">
        <v>90</v>
      </c>
      <c r="BI475" s="30">
        <v>0</v>
      </c>
      <c r="BJ475" s="30">
        <v>881</v>
      </c>
      <c r="BK475" s="30">
        <v>906</v>
      </c>
      <c r="BL475" s="30">
        <v>0</v>
      </c>
      <c r="BM475" s="30">
        <v>0</v>
      </c>
      <c r="BN475" s="30">
        <v>1</v>
      </c>
      <c r="BO475" s="30">
        <v>0</v>
      </c>
      <c r="BP475" s="30">
        <v>0</v>
      </c>
      <c r="BQ475" s="30">
        <v>1</v>
      </c>
      <c r="BR475" s="47">
        <v>7895</v>
      </c>
      <c r="BS475" s="47">
        <v>8016</v>
      </c>
      <c r="BT475" s="1">
        <f t="shared" si="204"/>
        <v>0.44582869855394885</v>
      </c>
      <c r="BU475" s="30">
        <v>0</v>
      </c>
      <c r="BV475" s="30">
        <v>0</v>
      </c>
      <c r="BW475" s="47">
        <v>721</v>
      </c>
      <c r="BX475" s="52">
        <f t="shared" si="205"/>
        <v>4.0100111234705228E-2</v>
      </c>
      <c r="BY475" s="47">
        <v>147</v>
      </c>
      <c r="BZ475" s="47">
        <v>0</v>
      </c>
      <c r="CA475" s="47">
        <v>1112</v>
      </c>
      <c r="CB475" s="47">
        <v>0</v>
      </c>
      <c r="CC475" s="47">
        <v>1259</v>
      </c>
      <c r="CD475" s="55">
        <f t="shared" si="206"/>
        <v>7.0022246941045613E-2</v>
      </c>
      <c r="CE475" s="3">
        <f t="shared" si="207"/>
        <v>2014.4</v>
      </c>
      <c r="CF475" s="55">
        <f t="shared" si="208"/>
        <v>0.96846153846153848</v>
      </c>
      <c r="CG475" s="55">
        <f t="shared" si="209"/>
        <v>1.3523093447905479</v>
      </c>
      <c r="CH475" s="55">
        <f t="shared" si="210"/>
        <v>0.15706087824351297</v>
      </c>
      <c r="CI475" s="30">
        <v>5</v>
      </c>
      <c r="CJ475" s="30">
        <v>0</v>
      </c>
      <c r="CK475" s="30">
        <v>0</v>
      </c>
      <c r="CL475" s="30">
        <v>5</v>
      </c>
      <c r="CM475" s="30">
        <v>120</v>
      </c>
      <c r="CN475" s="30">
        <v>0</v>
      </c>
      <c r="CO475" s="30">
        <v>0</v>
      </c>
      <c r="CP475" s="30">
        <v>120</v>
      </c>
      <c r="CQ475" s="1">
        <f t="shared" si="218"/>
        <v>6.6740823136818691E-3</v>
      </c>
      <c r="CR475" s="47">
        <v>931</v>
      </c>
      <c r="CS475" s="55">
        <f t="shared" si="211"/>
        <v>5.1779755283648497E-2</v>
      </c>
      <c r="CT475" s="59">
        <v>455</v>
      </c>
      <c r="CU475" s="29" t="s">
        <v>26</v>
      </c>
      <c r="CV475" s="29" t="s">
        <v>25</v>
      </c>
      <c r="CW475" s="29" t="s">
        <v>25</v>
      </c>
      <c r="CX475" s="35">
        <v>0</v>
      </c>
      <c r="CY475" s="49">
        <v>0</v>
      </c>
      <c r="CZ475" s="35">
        <v>0.625</v>
      </c>
      <c r="DA475" s="35">
        <v>0</v>
      </c>
      <c r="DB475" s="35">
        <v>0.625</v>
      </c>
      <c r="DC475" s="49">
        <f t="shared" si="212"/>
        <v>28768</v>
      </c>
      <c r="DD475" s="30">
        <v>0</v>
      </c>
      <c r="DE475" s="31">
        <v>12544</v>
      </c>
      <c r="DF475" s="35">
        <v>25</v>
      </c>
      <c r="DG475" s="29" t="s">
        <v>26</v>
      </c>
      <c r="DH475" s="29" t="s">
        <v>26</v>
      </c>
      <c r="DI475" s="29" t="s">
        <v>26</v>
      </c>
      <c r="DJ475" s="47">
        <v>0</v>
      </c>
      <c r="DK475" s="47">
        <v>0</v>
      </c>
      <c r="DL475" s="47">
        <v>3</v>
      </c>
      <c r="DM475" s="47">
        <v>931</v>
      </c>
      <c r="DN475" s="47">
        <v>1</v>
      </c>
      <c r="DO475" s="47">
        <v>0</v>
      </c>
      <c r="DP475" s="29" t="s">
        <v>83</v>
      </c>
      <c r="DQ475" s="47">
        <v>0</v>
      </c>
      <c r="DR475" s="47">
        <v>1300</v>
      </c>
      <c r="DS475" s="30">
        <v>52</v>
      </c>
      <c r="DT475" s="30">
        <v>25</v>
      </c>
      <c r="DU475" s="30">
        <v>25</v>
      </c>
      <c r="DV475" s="30">
        <v>25</v>
      </c>
      <c r="DX475" s="2">
        <f t="shared" si="213"/>
        <v>1300</v>
      </c>
      <c r="DY475" s="33" t="s">
        <v>2185</v>
      </c>
      <c r="DZ475" s="33" t="s">
        <v>1217</v>
      </c>
      <c r="EA475" s="33" t="s">
        <v>2032</v>
      </c>
      <c r="EB475" s="33" t="s">
        <v>2026</v>
      </c>
      <c r="EC475" s="36">
        <v>361</v>
      </c>
      <c r="ED475" s="29" t="s">
        <v>1216</v>
      </c>
      <c r="EE475" s="29" t="s">
        <v>331</v>
      </c>
      <c r="EF475" s="37">
        <v>41640</v>
      </c>
      <c r="EG475" s="37">
        <v>42004</v>
      </c>
      <c r="EH475" s="29" t="s">
        <v>1216</v>
      </c>
      <c r="EI475" s="55">
        <f t="shared" si="214"/>
        <v>8.17575083426029E-3</v>
      </c>
      <c r="EJ475" s="54">
        <f t="shared" si="215"/>
        <v>0</v>
      </c>
      <c r="EK475" s="55">
        <f t="shared" si="216"/>
        <v>6.1846496106785318E-2</v>
      </c>
      <c r="EL475" s="54">
        <f t="shared" si="217"/>
        <v>0</v>
      </c>
    </row>
    <row r="476" spans="1:142" ht="28.8" x14ac:dyDescent="0.3">
      <c r="A476" s="29" t="s">
        <v>8</v>
      </c>
      <c r="B476" s="29"/>
      <c r="C476" s="30">
        <v>39724</v>
      </c>
      <c r="D476" s="30">
        <v>0</v>
      </c>
      <c r="E476" s="30">
        <v>0</v>
      </c>
      <c r="F476" s="30">
        <v>19323</v>
      </c>
      <c r="H476" s="2">
        <f t="shared" si="193"/>
        <v>19323</v>
      </c>
      <c r="I476" s="1">
        <f t="shared" si="192"/>
        <v>0.48643137649783508</v>
      </c>
      <c r="J476" s="31">
        <v>414153</v>
      </c>
      <c r="K476" s="31">
        <v>192348</v>
      </c>
      <c r="L476" s="31">
        <v>606501</v>
      </c>
      <c r="M476" s="45">
        <f t="shared" si="194"/>
        <v>15.267873325949049</v>
      </c>
      <c r="N476" s="31">
        <v>44639</v>
      </c>
      <c r="O476" s="31">
        <v>24603</v>
      </c>
      <c r="P476" s="31">
        <v>18150</v>
      </c>
      <c r="Q476" s="31">
        <v>87392</v>
      </c>
      <c r="R476" s="45">
        <f t="shared" si="195"/>
        <v>2.199979861041184</v>
      </c>
      <c r="S476" s="31">
        <v>151180</v>
      </c>
      <c r="T476" s="31">
        <v>845073</v>
      </c>
      <c r="U476" s="31">
        <v>0</v>
      </c>
      <c r="V476" s="31">
        <v>845073</v>
      </c>
      <c r="W476" s="45">
        <f t="shared" si="196"/>
        <v>21.273612929211559</v>
      </c>
      <c r="X476" s="4">
        <f t="shared" si="197"/>
        <v>0.71769066104348378</v>
      </c>
      <c r="Y476" s="4">
        <f t="shared" si="198"/>
        <v>0.10341355125533534</v>
      </c>
      <c r="Z476" s="4">
        <f t="shared" si="199"/>
        <v>0.17889578770118084</v>
      </c>
      <c r="AA476" s="4">
        <f t="shared" si="200"/>
        <v>0</v>
      </c>
      <c r="AB476" s="31">
        <v>0</v>
      </c>
      <c r="AC476" s="31">
        <v>87392</v>
      </c>
      <c r="AD476" s="31">
        <v>845073</v>
      </c>
      <c r="AE476" s="31">
        <v>835703</v>
      </c>
      <c r="AF476" s="31">
        <v>845073</v>
      </c>
      <c r="AG476" s="31">
        <v>0</v>
      </c>
      <c r="AH476" s="31">
        <v>0</v>
      </c>
      <c r="AI476" s="31">
        <v>845073</v>
      </c>
      <c r="AJ476" s="45">
        <f t="shared" si="201"/>
        <v>21.273612929211559</v>
      </c>
      <c r="AK476" s="31">
        <v>0</v>
      </c>
      <c r="AL476" s="31">
        <v>0</v>
      </c>
      <c r="AM476" s="31">
        <v>0</v>
      </c>
      <c r="AN476" s="31">
        <v>0</v>
      </c>
      <c r="AO476" s="31">
        <v>0</v>
      </c>
      <c r="AP476" s="31">
        <v>0</v>
      </c>
      <c r="AQ476" s="31">
        <v>0</v>
      </c>
      <c r="AR476" s="31">
        <v>845073</v>
      </c>
      <c r="AS476" s="46">
        <f t="shared" si="202"/>
        <v>21.273612929211559</v>
      </c>
      <c r="AT476" s="31">
        <v>0</v>
      </c>
      <c r="AU476" s="31">
        <v>0</v>
      </c>
      <c r="AV476" s="31">
        <v>0</v>
      </c>
      <c r="AW476" s="31">
        <v>0</v>
      </c>
      <c r="AX476" s="31">
        <v>0</v>
      </c>
      <c r="AY476" s="31">
        <v>0</v>
      </c>
      <c r="AZ476" s="31">
        <v>0</v>
      </c>
      <c r="BA476" s="31">
        <v>0</v>
      </c>
      <c r="BB476" s="31">
        <v>0</v>
      </c>
      <c r="BC476" s="33" t="s">
        <v>25</v>
      </c>
      <c r="BD476" s="47">
        <v>86710</v>
      </c>
      <c r="BE476" s="47">
        <v>96799</v>
      </c>
      <c r="BF476" s="45">
        <f t="shared" si="203"/>
        <v>2.4367888430168159</v>
      </c>
      <c r="BG476" s="30">
        <v>4040</v>
      </c>
      <c r="BH476" s="30">
        <v>7696</v>
      </c>
      <c r="BI476" s="30">
        <v>248</v>
      </c>
      <c r="BJ476" s="30">
        <v>4331</v>
      </c>
      <c r="BK476" s="30">
        <v>4955</v>
      </c>
      <c r="BL476" s="30">
        <v>0</v>
      </c>
      <c r="BM476" s="30">
        <v>929</v>
      </c>
      <c r="BN476" s="30">
        <v>5</v>
      </c>
      <c r="BO476" s="30">
        <v>51</v>
      </c>
      <c r="BP476" s="30">
        <v>9</v>
      </c>
      <c r="BQ476" s="30">
        <v>65</v>
      </c>
      <c r="BR476" s="47">
        <v>95081</v>
      </c>
      <c r="BS476" s="47">
        <v>110632</v>
      </c>
      <c r="BT476" s="1">
        <f t="shared" si="204"/>
        <v>2.7850166146410231</v>
      </c>
      <c r="BU476" s="30">
        <v>118</v>
      </c>
      <c r="BV476" s="30">
        <v>16</v>
      </c>
      <c r="BW476" s="47">
        <v>46832</v>
      </c>
      <c r="BX476" s="52">
        <f t="shared" si="205"/>
        <v>1.1789346490786425</v>
      </c>
      <c r="BY476" s="47">
        <v>72206</v>
      </c>
      <c r="BZ476" s="47">
        <v>2443</v>
      </c>
      <c r="CA476" s="47">
        <v>83829</v>
      </c>
      <c r="CB476" s="47">
        <v>7329</v>
      </c>
      <c r="CC476" s="47">
        <v>165807</v>
      </c>
      <c r="CD476" s="55">
        <f t="shared" si="206"/>
        <v>4.1739754304702448</v>
      </c>
      <c r="CE476" s="3">
        <f t="shared" si="207"/>
        <v>15073.363636363636</v>
      </c>
      <c r="CF476" s="55">
        <f t="shared" si="208"/>
        <v>61.615384615384613</v>
      </c>
      <c r="CG476" s="55">
        <f t="shared" si="209"/>
        <v>1.1973872351488366</v>
      </c>
      <c r="CH476" s="55">
        <f t="shared" si="210"/>
        <v>1.4103966302697231</v>
      </c>
      <c r="CI476" s="30">
        <v>428</v>
      </c>
      <c r="CJ476" s="30">
        <v>36</v>
      </c>
      <c r="CK476" s="30">
        <v>85</v>
      </c>
      <c r="CL476" s="30">
        <v>549</v>
      </c>
      <c r="CM476" s="30">
        <v>10921</v>
      </c>
      <c r="CN476" s="30">
        <v>1366</v>
      </c>
      <c r="CO476" s="30">
        <v>1680</v>
      </c>
      <c r="CP476" s="30">
        <v>13967</v>
      </c>
      <c r="CQ476" s="1">
        <f t="shared" si="218"/>
        <v>0.35160104722585844</v>
      </c>
      <c r="CR476" s="47">
        <v>138474</v>
      </c>
      <c r="CS476" s="55">
        <f t="shared" si="211"/>
        <v>3.4859027288289197</v>
      </c>
      <c r="CT476" s="59">
        <v>36342</v>
      </c>
      <c r="CU476" s="29" t="s">
        <v>25</v>
      </c>
      <c r="CV476" s="29" t="s">
        <v>25</v>
      </c>
      <c r="CW476" s="29" t="s">
        <v>25</v>
      </c>
      <c r="CX476" s="35">
        <v>4</v>
      </c>
      <c r="CY476" s="49">
        <f>C476/CX476</f>
        <v>9931</v>
      </c>
      <c r="CZ476" s="35">
        <v>0</v>
      </c>
      <c r="DA476" s="35">
        <v>7</v>
      </c>
      <c r="DB476" s="35">
        <v>11</v>
      </c>
      <c r="DC476" s="49">
        <f t="shared" si="212"/>
        <v>3611.2727272727275</v>
      </c>
      <c r="DD476" s="30">
        <v>1320</v>
      </c>
      <c r="DE476" s="31">
        <v>74204</v>
      </c>
      <c r="DF476" s="35">
        <v>40</v>
      </c>
      <c r="DG476" s="29" t="s">
        <v>25</v>
      </c>
      <c r="DH476" s="29" t="s">
        <v>26</v>
      </c>
      <c r="DI476" s="29" t="s">
        <v>26</v>
      </c>
      <c r="DJ476" s="47">
        <v>1093</v>
      </c>
      <c r="DK476" s="47">
        <v>451</v>
      </c>
      <c r="DL476" s="47">
        <v>17</v>
      </c>
      <c r="DM476" s="47">
        <v>19567</v>
      </c>
      <c r="DN476" s="47">
        <v>3166</v>
      </c>
      <c r="DO476" s="47">
        <v>2191</v>
      </c>
      <c r="DP476" s="29" t="s">
        <v>25</v>
      </c>
      <c r="DQ476" s="47">
        <v>36853</v>
      </c>
      <c r="DR476" s="47">
        <v>2691</v>
      </c>
      <c r="DS476" s="30">
        <v>52</v>
      </c>
      <c r="DT476" s="30">
        <v>54</v>
      </c>
      <c r="DU476" s="30">
        <v>54</v>
      </c>
      <c r="DV476" s="30">
        <v>54</v>
      </c>
      <c r="DX476" s="2">
        <f t="shared" si="213"/>
        <v>2691</v>
      </c>
      <c r="DY476" s="33" t="s">
        <v>2182</v>
      </c>
      <c r="DZ476" s="33" t="s">
        <v>1219</v>
      </c>
      <c r="EA476" s="33" t="s">
        <v>2030</v>
      </c>
      <c r="EB476" s="33" t="s">
        <v>2027</v>
      </c>
      <c r="EC476" s="36">
        <v>362</v>
      </c>
      <c r="ED476" s="29" t="s">
        <v>1218</v>
      </c>
      <c r="EE476" s="29" t="s">
        <v>421</v>
      </c>
      <c r="EF476" s="37">
        <v>41548</v>
      </c>
      <c r="EG476" s="37">
        <v>41912</v>
      </c>
      <c r="EH476" s="29" t="s">
        <v>1218</v>
      </c>
      <c r="EI476" s="55">
        <f t="shared" si="214"/>
        <v>1.8176920753197059</v>
      </c>
      <c r="EJ476" s="54">
        <f t="shared" si="215"/>
        <v>6.1499345483838487E-2</v>
      </c>
      <c r="EK476" s="55">
        <f t="shared" si="216"/>
        <v>2.1102859732151846</v>
      </c>
      <c r="EL476" s="54">
        <f t="shared" si="217"/>
        <v>0.18449803645151547</v>
      </c>
    </row>
    <row r="477" spans="1:142" ht="28.8" x14ac:dyDescent="0.3">
      <c r="A477" s="29" t="s">
        <v>1637</v>
      </c>
      <c r="B477" s="29"/>
      <c r="C477" s="30">
        <v>2107</v>
      </c>
      <c r="D477" s="30">
        <v>0</v>
      </c>
      <c r="E477" s="30">
        <v>0</v>
      </c>
      <c r="F477" s="30">
        <v>5560</v>
      </c>
      <c r="H477" s="2">
        <f t="shared" si="193"/>
        <v>5560</v>
      </c>
      <c r="I477" s="1">
        <f t="shared" si="192"/>
        <v>2.6388229710488846</v>
      </c>
      <c r="J477" s="31">
        <v>60885</v>
      </c>
      <c r="K477" s="31">
        <v>20782</v>
      </c>
      <c r="L477" s="31">
        <v>81667</v>
      </c>
      <c r="M477" s="45">
        <f t="shared" si="194"/>
        <v>38.759848125296628</v>
      </c>
      <c r="N477" s="31">
        <v>12183</v>
      </c>
      <c r="O477" s="31">
        <v>0</v>
      </c>
      <c r="P477" s="31">
        <v>1947</v>
      </c>
      <c r="Q477" s="31">
        <v>14130</v>
      </c>
      <c r="R477" s="45">
        <f t="shared" si="195"/>
        <v>6.7062173706691981</v>
      </c>
      <c r="S477" s="31">
        <v>35593</v>
      </c>
      <c r="T477" s="31">
        <v>131390</v>
      </c>
      <c r="U477" s="31">
        <v>0</v>
      </c>
      <c r="V477" s="31">
        <v>131390</v>
      </c>
      <c r="W477" s="45">
        <f t="shared" si="196"/>
        <v>62.35880398671096</v>
      </c>
      <c r="X477" s="4">
        <f t="shared" si="197"/>
        <v>0.62156176269122465</v>
      </c>
      <c r="Y477" s="4">
        <f t="shared" si="198"/>
        <v>0.10754243093081665</v>
      </c>
      <c r="Z477" s="4">
        <f t="shared" si="199"/>
        <v>0.27089580637795874</v>
      </c>
      <c r="AA477" s="4">
        <f t="shared" si="200"/>
        <v>0</v>
      </c>
      <c r="AB477" s="31">
        <v>0</v>
      </c>
      <c r="AC477" s="31">
        <v>14130</v>
      </c>
      <c r="AD477" s="31">
        <v>131390</v>
      </c>
      <c r="AE477" s="31">
        <v>119836</v>
      </c>
      <c r="AF477" s="31">
        <v>119836</v>
      </c>
      <c r="AG477" s="31">
        <v>0</v>
      </c>
      <c r="AH477" s="31">
        <v>0</v>
      </c>
      <c r="AI477" s="31">
        <v>119836</v>
      </c>
      <c r="AJ477" s="45">
        <f t="shared" si="201"/>
        <v>56.875177978168011</v>
      </c>
      <c r="AK477" s="31">
        <v>0</v>
      </c>
      <c r="AL477" s="31">
        <v>0</v>
      </c>
      <c r="AM477" s="31">
        <v>0</v>
      </c>
      <c r="AN477" s="31">
        <v>0</v>
      </c>
      <c r="AO477" s="31">
        <v>5200</v>
      </c>
      <c r="AP477" s="31">
        <v>6973</v>
      </c>
      <c r="AQ477" s="31">
        <v>12173</v>
      </c>
      <c r="AR477" s="31">
        <v>132009</v>
      </c>
      <c r="AS477" s="46">
        <f t="shared" si="202"/>
        <v>62.652586616041766</v>
      </c>
      <c r="AT477" s="31">
        <v>0</v>
      </c>
      <c r="AU477" s="31">
        <v>0</v>
      </c>
      <c r="AV477" s="31">
        <v>0</v>
      </c>
      <c r="AW477" s="31">
        <v>0</v>
      </c>
      <c r="AX477" s="31">
        <v>0</v>
      </c>
      <c r="AY477" s="31">
        <v>0</v>
      </c>
      <c r="AZ477" s="31">
        <v>0</v>
      </c>
      <c r="BA477" s="31">
        <v>0</v>
      </c>
      <c r="BB477" s="31">
        <v>0</v>
      </c>
      <c r="BC477" s="33" t="s">
        <v>25</v>
      </c>
      <c r="BD477" s="47">
        <v>14111</v>
      </c>
      <c r="BE477" s="47">
        <v>14376</v>
      </c>
      <c r="BF477" s="45">
        <f t="shared" si="203"/>
        <v>6.8229710488846704</v>
      </c>
      <c r="BG477" s="30">
        <v>481</v>
      </c>
      <c r="BH477" s="30">
        <v>481</v>
      </c>
      <c r="BI477" s="30">
        <v>0</v>
      </c>
      <c r="BJ477" s="30">
        <v>1868</v>
      </c>
      <c r="BK477" s="30">
        <v>1868</v>
      </c>
      <c r="BL477" s="30">
        <v>0</v>
      </c>
      <c r="BM477" s="30">
        <v>0</v>
      </c>
      <c r="BN477" s="30">
        <v>0</v>
      </c>
      <c r="BO477" s="30">
        <v>51</v>
      </c>
      <c r="BP477" s="30">
        <v>0</v>
      </c>
      <c r="BQ477" s="30">
        <v>51</v>
      </c>
      <c r="BR477" s="47">
        <v>16460</v>
      </c>
      <c r="BS477" s="47">
        <v>16725</v>
      </c>
      <c r="BT477" s="1">
        <f t="shared" si="204"/>
        <v>7.9378262933080208</v>
      </c>
      <c r="BU477" s="30">
        <v>41</v>
      </c>
      <c r="BV477" s="30">
        <v>0</v>
      </c>
      <c r="BW477" s="47">
        <v>4397</v>
      </c>
      <c r="BX477" s="52">
        <f t="shared" si="205"/>
        <v>2.0868533459895584</v>
      </c>
      <c r="BY477" s="47">
        <v>12705</v>
      </c>
      <c r="BZ477" s="47">
        <v>0</v>
      </c>
      <c r="CA477" s="47">
        <v>16037</v>
      </c>
      <c r="CB477" s="47">
        <v>0</v>
      </c>
      <c r="CC477" s="47">
        <v>28742</v>
      </c>
      <c r="CD477" s="55">
        <f t="shared" si="206"/>
        <v>13.641196013289036</v>
      </c>
      <c r="CE477" s="3">
        <f t="shared" si="207"/>
        <v>14371</v>
      </c>
      <c r="CF477" s="55">
        <f t="shared" si="208"/>
        <v>13.046754425783023</v>
      </c>
      <c r="CG477" s="55">
        <f t="shared" si="209"/>
        <v>1.9988872661520272</v>
      </c>
      <c r="CH477" s="55">
        <f t="shared" si="210"/>
        <v>1.7185052316890881</v>
      </c>
      <c r="CI477" s="30">
        <v>11</v>
      </c>
      <c r="CJ477" s="30">
        <v>0</v>
      </c>
      <c r="CK477" s="30">
        <v>2</v>
      </c>
      <c r="CL477" s="30">
        <v>13</v>
      </c>
      <c r="CM477" s="30">
        <v>1423</v>
      </c>
      <c r="CN477" s="30">
        <v>0</v>
      </c>
      <c r="CO477" s="30">
        <v>78</v>
      </c>
      <c r="CP477" s="30">
        <v>1501</v>
      </c>
      <c r="CQ477" s="1">
        <f t="shared" si="218"/>
        <v>0.71238728049359279</v>
      </c>
      <c r="CR477" s="47">
        <v>14379</v>
      </c>
      <c r="CS477" s="55">
        <f t="shared" si="211"/>
        <v>6.8243948742287612</v>
      </c>
      <c r="CT477" s="59">
        <v>3530</v>
      </c>
      <c r="CU477" s="29" t="s">
        <v>25</v>
      </c>
      <c r="CV477" s="29" t="s">
        <v>25</v>
      </c>
      <c r="CW477" s="29" t="s">
        <v>25</v>
      </c>
      <c r="CX477" s="35">
        <v>0</v>
      </c>
      <c r="CY477" s="49">
        <v>0</v>
      </c>
      <c r="CZ477" s="35">
        <v>2</v>
      </c>
      <c r="DA477" s="35">
        <v>0</v>
      </c>
      <c r="DB477" s="35">
        <v>2</v>
      </c>
      <c r="DC477" s="49">
        <f t="shared" si="212"/>
        <v>1053.5</v>
      </c>
      <c r="DD477" s="30">
        <v>705</v>
      </c>
      <c r="DE477" s="31">
        <v>31002</v>
      </c>
      <c r="DF477" s="35">
        <v>40</v>
      </c>
      <c r="DG477" s="29" t="s">
        <v>25</v>
      </c>
      <c r="DH477" s="29" t="s">
        <v>25</v>
      </c>
      <c r="DI477" s="29" t="s">
        <v>25</v>
      </c>
      <c r="DJ477" s="47">
        <v>70</v>
      </c>
      <c r="DK477" s="47">
        <v>9</v>
      </c>
      <c r="DL477" s="47">
        <v>3</v>
      </c>
      <c r="DM477" s="47">
        <v>5421</v>
      </c>
      <c r="DN477" s="47">
        <v>2</v>
      </c>
      <c r="DO477" s="47">
        <v>2065</v>
      </c>
      <c r="DP477" s="29" t="s">
        <v>2028</v>
      </c>
      <c r="DQ477" s="47">
        <v>0</v>
      </c>
      <c r="DR477" s="47">
        <v>2203</v>
      </c>
      <c r="DS477" s="30">
        <v>52</v>
      </c>
      <c r="DT477" s="30">
        <v>44</v>
      </c>
      <c r="DU477" s="30">
        <v>44</v>
      </c>
      <c r="DV477" s="30">
        <v>44</v>
      </c>
      <c r="DX477" s="2">
        <f t="shared" si="213"/>
        <v>2203</v>
      </c>
      <c r="DY477" s="33" t="s">
        <v>2180</v>
      </c>
      <c r="DZ477" s="33" t="s">
        <v>1639</v>
      </c>
      <c r="EA477" s="33" t="s">
        <v>2030</v>
      </c>
      <c r="EB477" s="33" t="s">
        <v>2027</v>
      </c>
      <c r="EC477" s="36">
        <v>555</v>
      </c>
      <c r="ED477" s="29" t="s">
        <v>1638</v>
      </c>
      <c r="EE477" s="29" t="s">
        <v>631</v>
      </c>
      <c r="EF477" s="37">
        <v>41395</v>
      </c>
      <c r="EG477" s="37">
        <v>41759</v>
      </c>
      <c r="EH477" s="29" t="s">
        <v>1638</v>
      </c>
      <c r="EI477" s="55">
        <f t="shared" si="214"/>
        <v>6.0299003322259139</v>
      </c>
      <c r="EJ477" s="54">
        <f t="shared" si="215"/>
        <v>0</v>
      </c>
      <c r="EK477" s="55">
        <f t="shared" si="216"/>
        <v>7.6112956810631225</v>
      </c>
      <c r="EL477" s="54">
        <f t="shared" si="217"/>
        <v>0</v>
      </c>
    </row>
    <row r="478" spans="1:142" ht="28.8" x14ac:dyDescent="0.3">
      <c r="A478" s="29" t="s">
        <v>1220</v>
      </c>
      <c r="B478" s="29"/>
      <c r="C478" s="30">
        <v>16296</v>
      </c>
      <c r="D478" s="30">
        <v>0</v>
      </c>
      <c r="E478" s="30">
        <v>0</v>
      </c>
      <c r="F478" s="30">
        <v>7900</v>
      </c>
      <c r="H478" s="2">
        <f t="shared" si="193"/>
        <v>7900</v>
      </c>
      <c r="I478" s="1">
        <f t="shared" si="192"/>
        <v>0.48478154148257241</v>
      </c>
      <c r="J478" s="31">
        <v>94458</v>
      </c>
      <c r="K478" s="31">
        <v>50107</v>
      </c>
      <c r="L478" s="31">
        <v>144565</v>
      </c>
      <c r="M478" s="45">
        <f t="shared" si="194"/>
        <v>8.8711953853706422</v>
      </c>
      <c r="N478" s="31">
        <v>26000</v>
      </c>
      <c r="O478" s="31">
        <v>0</v>
      </c>
      <c r="P478" s="31">
        <v>3000</v>
      </c>
      <c r="Q478" s="31">
        <v>29000</v>
      </c>
      <c r="R478" s="45">
        <f t="shared" si="195"/>
        <v>1.7795778105056455</v>
      </c>
      <c r="S478" s="31">
        <v>29780</v>
      </c>
      <c r="T478" s="31">
        <v>203345</v>
      </c>
      <c r="U478" s="31">
        <v>0</v>
      </c>
      <c r="V478" s="31">
        <v>203345</v>
      </c>
      <c r="W478" s="45">
        <f t="shared" si="196"/>
        <v>12.478215513009328</v>
      </c>
      <c r="X478" s="4">
        <f t="shared" si="197"/>
        <v>0.71093461850549555</v>
      </c>
      <c r="Y478" s="4">
        <f t="shared" si="198"/>
        <v>0.14261476800511447</v>
      </c>
      <c r="Z478" s="4">
        <f t="shared" si="199"/>
        <v>0.14645061348938995</v>
      </c>
      <c r="AA478" s="4">
        <f t="shared" si="200"/>
        <v>0</v>
      </c>
      <c r="AB478" s="31">
        <v>0</v>
      </c>
      <c r="AC478" s="31">
        <v>29000</v>
      </c>
      <c r="AD478" s="31">
        <v>203345</v>
      </c>
      <c r="AE478" s="31">
        <v>195065</v>
      </c>
      <c r="AF478" s="31">
        <v>186695</v>
      </c>
      <c r="AG478" s="31">
        <v>9000</v>
      </c>
      <c r="AH478" s="31">
        <v>0</v>
      </c>
      <c r="AI478" s="31">
        <v>195695</v>
      </c>
      <c r="AJ478" s="45">
        <f t="shared" si="201"/>
        <v>12.008775159548355</v>
      </c>
      <c r="AK478" s="31">
        <v>0</v>
      </c>
      <c r="AL478" s="31">
        <v>0</v>
      </c>
      <c r="AM478" s="31">
        <v>0</v>
      </c>
      <c r="AN478" s="31">
        <v>0</v>
      </c>
      <c r="AO478" s="31">
        <v>0</v>
      </c>
      <c r="AP478" s="31">
        <v>0</v>
      </c>
      <c r="AQ478" s="31">
        <v>0</v>
      </c>
      <c r="AR478" s="31">
        <v>195695</v>
      </c>
      <c r="AS478" s="46">
        <f t="shared" si="202"/>
        <v>12.008775159548355</v>
      </c>
      <c r="AT478" s="31">
        <v>0</v>
      </c>
      <c r="AU478" s="31">
        <v>0</v>
      </c>
      <c r="AV478" s="31">
        <v>0</v>
      </c>
      <c r="AW478" s="31">
        <v>0</v>
      </c>
      <c r="AX478" s="31">
        <v>0</v>
      </c>
      <c r="AY478" s="31">
        <v>0</v>
      </c>
      <c r="AZ478" s="31">
        <v>0</v>
      </c>
      <c r="BA478" s="31">
        <v>0</v>
      </c>
      <c r="BB478" s="31">
        <v>0</v>
      </c>
      <c r="BC478" s="33" t="s">
        <v>25</v>
      </c>
      <c r="BD478" s="47">
        <v>45658</v>
      </c>
      <c r="BE478" s="47">
        <v>48292</v>
      </c>
      <c r="BF478" s="45">
        <f t="shared" si="203"/>
        <v>2.9634266077565048</v>
      </c>
      <c r="BG478" s="30">
        <v>999</v>
      </c>
      <c r="BH478" s="30">
        <v>3704</v>
      </c>
      <c r="BI478" s="30">
        <v>0</v>
      </c>
      <c r="BJ478" s="30">
        <v>0</v>
      </c>
      <c r="BK478" s="30">
        <v>0</v>
      </c>
      <c r="BL478" s="30">
        <v>0</v>
      </c>
      <c r="BM478" s="30">
        <v>0</v>
      </c>
      <c r="BN478" s="30">
        <v>0</v>
      </c>
      <c r="BO478" s="30">
        <v>51</v>
      </c>
      <c r="BP478" s="30">
        <v>0</v>
      </c>
      <c r="BQ478" s="30">
        <v>51</v>
      </c>
      <c r="BR478" s="47">
        <v>46657</v>
      </c>
      <c r="BS478" s="47">
        <v>51996</v>
      </c>
      <c r="BT478" s="1">
        <f t="shared" si="204"/>
        <v>3.1907216494845363</v>
      </c>
      <c r="BU478" s="30">
        <v>12</v>
      </c>
      <c r="BV478" s="30">
        <v>1</v>
      </c>
      <c r="BW478" s="47">
        <v>2146</v>
      </c>
      <c r="BX478" s="52">
        <f t="shared" si="205"/>
        <v>0.13168875797741778</v>
      </c>
      <c r="BY478" s="47">
        <v>14174</v>
      </c>
      <c r="BZ478" s="47">
        <v>0</v>
      </c>
      <c r="CA478" s="47">
        <v>37822</v>
      </c>
      <c r="CB478" s="47">
        <v>0</v>
      </c>
      <c r="CC478" s="47">
        <v>51996</v>
      </c>
      <c r="CD478" s="55">
        <f t="shared" si="206"/>
        <v>3.1907216494845363</v>
      </c>
      <c r="CE478" s="3">
        <f t="shared" si="207"/>
        <v>25998</v>
      </c>
      <c r="CF478" s="55">
        <f t="shared" si="208"/>
        <v>21.664999999999999</v>
      </c>
      <c r="CG478" s="55">
        <f t="shared" si="209"/>
        <v>0.88619978525045595</v>
      </c>
      <c r="CH478" s="55">
        <f t="shared" si="210"/>
        <v>1</v>
      </c>
      <c r="CI478" s="30">
        <v>7</v>
      </c>
      <c r="CJ478" s="30">
        <v>0</v>
      </c>
      <c r="CK478" s="30">
        <v>0</v>
      </c>
      <c r="CL478" s="30">
        <v>7</v>
      </c>
      <c r="CM478" s="30">
        <v>358</v>
      </c>
      <c r="CN478" s="30">
        <v>0</v>
      </c>
      <c r="CO478" s="30">
        <v>0</v>
      </c>
      <c r="CP478" s="30">
        <v>358</v>
      </c>
      <c r="CQ478" s="1">
        <f t="shared" si="218"/>
        <v>2.1968581246931761E-2</v>
      </c>
      <c r="CR478" s="47">
        <v>58673</v>
      </c>
      <c r="CS478" s="55">
        <f t="shared" si="211"/>
        <v>3.6004540991654395</v>
      </c>
      <c r="CT478" s="59">
        <v>21595</v>
      </c>
      <c r="CU478" s="29" t="s">
        <v>25</v>
      </c>
      <c r="CV478" s="29" t="s">
        <v>25</v>
      </c>
      <c r="CW478" s="29" t="s">
        <v>25</v>
      </c>
      <c r="CX478" s="35">
        <v>0</v>
      </c>
      <c r="CY478" s="49">
        <v>0</v>
      </c>
      <c r="CZ478" s="35">
        <v>1</v>
      </c>
      <c r="DA478" s="35">
        <v>1</v>
      </c>
      <c r="DB478" s="35">
        <v>2</v>
      </c>
      <c r="DC478" s="49">
        <f t="shared" si="212"/>
        <v>8148</v>
      </c>
      <c r="DD478" s="30">
        <v>1573</v>
      </c>
      <c r="DE478" s="31">
        <v>38220</v>
      </c>
      <c r="DF478" s="35">
        <v>40</v>
      </c>
      <c r="DG478" s="29" t="s">
        <v>25</v>
      </c>
      <c r="DH478" s="29" t="s">
        <v>26</v>
      </c>
      <c r="DI478" s="29" t="s">
        <v>26</v>
      </c>
      <c r="DJ478" s="47">
        <v>0</v>
      </c>
      <c r="DK478" s="47">
        <v>0</v>
      </c>
      <c r="DL478" s="47">
        <v>12</v>
      </c>
      <c r="DM478" s="47">
        <v>10237</v>
      </c>
      <c r="DN478" s="47">
        <v>621</v>
      </c>
      <c r="DO478" s="47">
        <v>0</v>
      </c>
      <c r="DP478" s="29" t="s">
        <v>2028</v>
      </c>
      <c r="DQ478" s="47">
        <v>0</v>
      </c>
      <c r="DR478" s="47">
        <v>2400</v>
      </c>
      <c r="DS478" s="30">
        <v>52</v>
      </c>
      <c r="DT478" s="30">
        <v>49</v>
      </c>
      <c r="DU478" s="30">
        <v>49</v>
      </c>
      <c r="DV478" s="30">
        <v>49</v>
      </c>
      <c r="DX478" s="2">
        <f t="shared" si="213"/>
        <v>2400</v>
      </c>
      <c r="DY478" s="33" t="s">
        <v>2185</v>
      </c>
      <c r="DZ478" s="33" t="s">
        <v>1222</v>
      </c>
      <c r="EA478" s="33" t="s">
        <v>2030</v>
      </c>
      <c r="EB478" s="33" t="s">
        <v>2027</v>
      </c>
      <c r="EC478" s="36">
        <v>363</v>
      </c>
      <c r="ED478" s="29" t="s">
        <v>1221</v>
      </c>
      <c r="EE478" s="29" t="s">
        <v>772</v>
      </c>
      <c r="EF478" s="37">
        <v>41548</v>
      </c>
      <c r="EG478" s="37">
        <v>41912</v>
      </c>
      <c r="EH478" s="29" t="s">
        <v>1221</v>
      </c>
      <c r="EI478" s="55">
        <f t="shared" si="214"/>
        <v>0.86978399607265589</v>
      </c>
      <c r="EJ478" s="54">
        <f t="shared" si="215"/>
        <v>0</v>
      </c>
      <c r="EK478" s="55">
        <f t="shared" si="216"/>
        <v>2.3209376534118804</v>
      </c>
      <c r="EL478" s="54">
        <f t="shared" si="217"/>
        <v>0</v>
      </c>
    </row>
    <row r="479" spans="1:142" ht="28.8" x14ac:dyDescent="0.3">
      <c r="A479" s="29" t="s">
        <v>1223</v>
      </c>
      <c r="B479" s="29"/>
      <c r="C479" s="30">
        <v>7714</v>
      </c>
      <c r="D479" s="30">
        <v>0</v>
      </c>
      <c r="E479" s="30">
        <v>0</v>
      </c>
      <c r="F479" s="30">
        <v>7225</v>
      </c>
      <c r="H479" s="2">
        <f t="shared" si="193"/>
        <v>7225</v>
      </c>
      <c r="I479" s="1">
        <f t="shared" si="192"/>
        <v>0.93660876328752918</v>
      </c>
      <c r="J479" s="31">
        <v>101261</v>
      </c>
      <c r="K479" s="31">
        <v>37025</v>
      </c>
      <c r="L479" s="31">
        <v>138286</v>
      </c>
      <c r="M479" s="45">
        <f t="shared" si="194"/>
        <v>17.926626912107857</v>
      </c>
      <c r="N479" s="31">
        <v>10491</v>
      </c>
      <c r="O479" s="31">
        <v>0</v>
      </c>
      <c r="P479" s="31">
        <v>3043</v>
      </c>
      <c r="Q479" s="31">
        <v>13534</v>
      </c>
      <c r="R479" s="45">
        <f t="shared" si="195"/>
        <v>1.7544723878662172</v>
      </c>
      <c r="S479" s="31">
        <v>35621</v>
      </c>
      <c r="T479" s="31">
        <v>187441</v>
      </c>
      <c r="U479" s="31">
        <v>0</v>
      </c>
      <c r="V479" s="31">
        <v>187441</v>
      </c>
      <c r="W479" s="45">
        <f t="shared" si="196"/>
        <v>24.298807363235674</v>
      </c>
      <c r="X479" s="4">
        <f t="shared" si="197"/>
        <v>0.73775748102069449</v>
      </c>
      <c r="Y479" s="4">
        <f t="shared" si="198"/>
        <v>7.2204053542181276E-2</v>
      </c>
      <c r="Z479" s="4">
        <f t="shared" si="199"/>
        <v>0.19003846543712422</v>
      </c>
      <c r="AA479" s="4">
        <f t="shared" si="200"/>
        <v>0</v>
      </c>
      <c r="AB479" s="31">
        <v>0</v>
      </c>
      <c r="AC479" s="31">
        <v>13534</v>
      </c>
      <c r="AD479" s="31">
        <v>187441</v>
      </c>
      <c r="AE479" s="31">
        <v>184598</v>
      </c>
      <c r="AF479" s="31">
        <v>183598</v>
      </c>
      <c r="AG479" s="31">
        <v>1000</v>
      </c>
      <c r="AH479" s="31">
        <v>0</v>
      </c>
      <c r="AI479" s="31">
        <v>184598</v>
      </c>
      <c r="AJ479" s="45">
        <f t="shared" si="201"/>
        <v>23.93025667617319</v>
      </c>
      <c r="AK479" s="31">
        <v>0</v>
      </c>
      <c r="AL479" s="31">
        <v>0</v>
      </c>
      <c r="AM479" s="31">
        <v>0</v>
      </c>
      <c r="AN479" s="31">
        <v>0</v>
      </c>
      <c r="AO479" s="31">
        <v>0</v>
      </c>
      <c r="AP479" s="31">
        <v>2843</v>
      </c>
      <c r="AQ479" s="31">
        <v>2843</v>
      </c>
      <c r="AR479" s="31">
        <v>187441</v>
      </c>
      <c r="AS479" s="46">
        <f t="shared" si="202"/>
        <v>24.298807363235674</v>
      </c>
      <c r="AT479" s="31">
        <v>0</v>
      </c>
      <c r="AU479" s="31">
        <v>0</v>
      </c>
      <c r="AV479" s="31">
        <v>0</v>
      </c>
      <c r="AW479" s="31">
        <v>0</v>
      </c>
      <c r="AX479" s="31">
        <v>0</v>
      </c>
      <c r="AY479" s="31">
        <v>0</v>
      </c>
      <c r="AZ479" s="31">
        <v>0</v>
      </c>
      <c r="BA479" s="31">
        <v>0</v>
      </c>
      <c r="BB479" s="31">
        <v>0</v>
      </c>
      <c r="BC479" s="33" t="s">
        <v>25</v>
      </c>
      <c r="BD479" s="47">
        <v>22526</v>
      </c>
      <c r="BE479" s="47">
        <v>23205</v>
      </c>
      <c r="BF479" s="45">
        <f t="shared" si="203"/>
        <v>3.0081669691470054</v>
      </c>
      <c r="BG479" s="30">
        <v>297</v>
      </c>
      <c r="BH479" s="30">
        <v>297</v>
      </c>
      <c r="BI479" s="30">
        <v>0</v>
      </c>
      <c r="BJ479" s="30">
        <v>502</v>
      </c>
      <c r="BK479" s="30">
        <v>502</v>
      </c>
      <c r="BL479" s="30">
        <v>0</v>
      </c>
      <c r="BM479" s="30">
        <v>0</v>
      </c>
      <c r="BN479" s="30">
        <v>0</v>
      </c>
      <c r="BO479" s="30">
        <v>51</v>
      </c>
      <c r="BP479" s="30">
        <v>0</v>
      </c>
      <c r="BQ479" s="30">
        <v>51</v>
      </c>
      <c r="BR479" s="47">
        <v>23325</v>
      </c>
      <c r="BS479" s="47">
        <v>24004</v>
      </c>
      <c r="BT479" s="1">
        <f t="shared" si="204"/>
        <v>3.1117448794399793</v>
      </c>
      <c r="BU479" s="30">
        <v>39</v>
      </c>
      <c r="BV479" s="30">
        <v>0</v>
      </c>
      <c r="BW479" s="47">
        <v>3170</v>
      </c>
      <c r="BX479" s="52">
        <f t="shared" si="205"/>
        <v>0.41094114596836923</v>
      </c>
      <c r="BY479" s="47">
        <v>8731</v>
      </c>
      <c r="BZ479" s="47">
        <v>0</v>
      </c>
      <c r="CA479" s="47">
        <v>8668</v>
      </c>
      <c r="CB479" s="47">
        <v>0</v>
      </c>
      <c r="CC479" s="47">
        <v>17399</v>
      </c>
      <c r="CD479" s="55">
        <f t="shared" si="206"/>
        <v>2.255509463313456</v>
      </c>
      <c r="CE479" s="3">
        <f t="shared" si="207"/>
        <v>4349.75</v>
      </c>
      <c r="CF479" s="55">
        <f t="shared" si="208"/>
        <v>7.0441295546558704</v>
      </c>
      <c r="CG479" s="55">
        <f t="shared" si="209"/>
        <v>0.73469301579258506</v>
      </c>
      <c r="CH479" s="55">
        <f t="shared" si="210"/>
        <v>0.72483752707882021</v>
      </c>
      <c r="CI479" s="30">
        <v>147</v>
      </c>
      <c r="CJ479" s="30">
        <v>14</v>
      </c>
      <c r="CK479" s="30">
        <v>12</v>
      </c>
      <c r="CL479" s="30">
        <v>173</v>
      </c>
      <c r="CM479" s="30">
        <v>4855</v>
      </c>
      <c r="CN479" s="30">
        <v>289</v>
      </c>
      <c r="CO479" s="30">
        <v>113</v>
      </c>
      <c r="CP479" s="30">
        <v>5257</v>
      </c>
      <c r="CQ479" s="1">
        <f t="shared" si="218"/>
        <v>0.68148820326678761</v>
      </c>
      <c r="CR479" s="47">
        <v>23682</v>
      </c>
      <c r="CS479" s="55">
        <f t="shared" si="211"/>
        <v>3.0700025926886183</v>
      </c>
      <c r="CT479" s="59">
        <v>6601</v>
      </c>
      <c r="CU479" s="29" t="s">
        <v>25</v>
      </c>
      <c r="CV479" s="29" t="s">
        <v>25</v>
      </c>
      <c r="CW479" s="29" t="s">
        <v>25</v>
      </c>
      <c r="CX479" s="35">
        <v>0</v>
      </c>
      <c r="CY479" s="49">
        <v>0</v>
      </c>
      <c r="CZ479" s="35">
        <v>1</v>
      </c>
      <c r="DA479" s="35">
        <v>3</v>
      </c>
      <c r="DB479" s="35">
        <v>4</v>
      </c>
      <c r="DC479" s="49">
        <f t="shared" si="212"/>
        <v>1928.5</v>
      </c>
      <c r="DD479" s="30">
        <v>276</v>
      </c>
      <c r="DE479" s="31">
        <v>40080</v>
      </c>
      <c r="DF479" s="35">
        <v>40</v>
      </c>
      <c r="DG479" s="29" t="s">
        <v>25</v>
      </c>
      <c r="DH479" s="29" t="s">
        <v>26</v>
      </c>
      <c r="DI479" s="29" t="s">
        <v>26</v>
      </c>
      <c r="DJ479" s="47">
        <v>3</v>
      </c>
      <c r="DK479" s="47">
        <v>0</v>
      </c>
      <c r="DL479" s="47">
        <v>12</v>
      </c>
      <c r="DM479" s="47">
        <v>8146</v>
      </c>
      <c r="DN479" s="47">
        <v>47</v>
      </c>
      <c r="DO479" s="47">
        <v>1310</v>
      </c>
      <c r="DP479" s="29" t="s">
        <v>2028</v>
      </c>
      <c r="DQ479" s="47">
        <v>0</v>
      </c>
      <c r="DR479" s="47">
        <v>2470</v>
      </c>
      <c r="DS479" s="30">
        <v>52</v>
      </c>
      <c r="DT479" s="30">
        <v>51</v>
      </c>
      <c r="DU479" s="30">
        <v>51</v>
      </c>
      <c r="DV479" s="30">
        <v>51</v>
      </c>
      <c r="DX479" s="2">
        <f t="shared" si="213"/>
        <v>2470</v>
      </c>
      <c r="DY479" s="33" t="s">
        <v>2180</v>
      </c>
      <c r="DZ479" s="33" t="s">
        <v>1225</v>
      </c>
      <c r="EA479" s="33" t="s">
        <v>2030</v>
      </c>
      <c r="EB479" s="33" t="s">
        <v>2027</v>
      </c>
      <c r="EC479" s="36">
        <v>365</v>
      </c>
      <c r="ED479" s="29" t="s">
        <v>1224</v>
      </c>
      <c r="EE479" s="29" t="s">
        <v>81</v>
      </c>
      <c r="EF479" s="37">
        <v>41548</v>
      </c>
      <c r="EG479" s="37">
        <v>41912</v>
      </c>
      <c r="EH479" s="29" t="s">
        <v>1224</v>
      </c>
      <c r="EI479" s="55">
        <f t="shared" si="214"/>
        <v>1.1318382162302307</v>
      </c>
      <c r="EJ479" s="54">
        <f t="shared" si="215"/>
        <v>0</v>
      </c>
      <c r="EK479" s="55">
        <f t="shared" si="216"/>
        <v>1.1236712470832253</v>
      </c>
      <c r="EL479" s="54">
        <f t="shared" si="217"/>
        <v>0</v>
      </c>
    </row>
    <row r="480" spans="1:142" ht="28.8" x14ac:dyDescent="0.3">
      <c r="A480" s="29" t="s">
        <v>1423</v>
      </c>
      <c r="B480" s="29"/>
      <c r="C480" s="30">
        <v>6809</v>
      </c>
      <c r="D480" s="30">
        <v>0</v>
      </c>
      <c r="E480" s="30">
        <v>0</v>
      </c>
      <c r="F480" s="30">
        <v>2513</v>
      </c>
      <c r="H480" s="2">
        <f t="shared" si="193"/>
        <v>2513</v>
      </c>
      <c r="I480" s="1">
        <f t="shared" si="192"/>
        <v>0.36907034806873257</v>
      </c>
      <c r="J480" s="31">
        <v>37516</v>
      </c>
      <c r="K480" s="31">
        <v>8676</v>
      </c>
      <c r="L480" s="31">
        <v>46192</v>
      </c>
      <c r="M480" s="45">
        <f t="shared" si="194"/>
        <v>6.783962402702306</v>
      </c>
      <c r="N480" s="31">
        <v>6341</v>
      </c>
      <c r="O480" s="31">
        <v>0</v>
      </c>
      <c r="P480" s="31">
        <v>0</v>
      </c>
      <c r="Q480" s="31">
        <v>6341</v>
      </c>
      <c r="R480" s="45">
        <f t="shared" si="195"/>
        <v>0.93126744015273899</v>
      </c>
      <c r="S480" s="31">
        <v>5309</v>
      </c>
      <c r="T480" s="31">
        <v>57842</v>
      </c>
      <c r="U480" s="31">
        <v>0</v>
      </c>
      <c r="V480" s="31">
        <v>57842</v>
      </c>
      <c r="W480" s="45">
        <f t="shared" si="196"/>
        <v>8.494933176677927</v>
      </c>
      <c r="X480" s="4">
        <f t="shared" si="197"/>
        <v>0.79858926039901801</v>
      </c>
      <c r="Y480" s="4">
        <f t="shared" si="198"/>
        <v>0.10962622315964178</v>
      </c>
      <c r="Z480" s="4">
        <f t="shared" si="199"/>
        <v>9.1784516441340197E-2</v>
      </c>
      <c r="AA480" s="4">
        <f t="shared" si="200"/>
        <v>0</v>
      </c>
      <c r="AB480" s="31">
        <v>0</v>
      </c>
      <c r="AC480" s="31">
        <v>6341</v>
      </c>
      <c r="AD480" s="31">
        <v>57842</v>
      </c>
      <c r="AE480" s="31">
        <v>57842</v>
      </c>
      <c r="AF480" s="31">
        <v>43081</v>
      </c>
      <c r="AG480" s="31">
        <v>14762</v>
      </c>
      <c r="AH480" s="31">
        <v>0</v>
      </c>
      <c r="AI480" s="31">
        <v>57843</v>
      </c>
      <c r="AJ480" s="45">
        <f t="shared" si="201"/>
        <v>8.4950800411220442</v>
      </c>
      <c r="AK480" s="31">
        <v>0</v>
      </c>
      <c r="AL480" s="31">
        <v>0</v>
      </c>
      <c r="AM480" s="31">
        <v>0</v>
      </c>
      <c r="AN480" s="31">
        <v>0</v>
      </c>
      <c r="AO480" s="31">
        <v>0</v>
      </c>
      <c r="AP480" s="31">
        <v>1872</v>
      </c>
      <c r="AQ480" s="31">
        <v>1872</v>
      </c>
      <c r="AR480" s="31">
        <v>59715</v>
      </c>
      <c r="AS480" s="46">
        <f t="shared" si="202"/>
        <v>8.7700102805110891</v>
      </c>
      <c r="AT480" s="31">
        <v>0</v>
      </c>
      <c r="AU480" s="31">
        <v>0</v>
      </c>
      <c r="AV480" s="31">
        <v>0</v>
      </c>
      <c r="AW480" s="31">
        <v>0</v>
      </c>
      <c r="AX480" s="31">
        <v>0</v>
      </c>
      <c r="AY480" s="31">
        <v>0</v>
      </c>
      <c r="AZ480" s="31">
        <v>0</v>
      </c>
      <c r="BA480" s="31">
        <v>0</v>
      </c>
      <c r="BB480" s="31">
        <v>0</v>
      </c>
      <c r="BC480" s="33" t="s">
        <v>25</v>
      </c>
      <c r="BD480" s="47">
        <v>11463</v>
      </c>
      <c r="BE480" s="47">
        <v>11537</v>
      </c>
      <c r="BF480" s="45">
        <f t="shared" si="203"/>
        <v>1.6943750917902776</v>
      </c>
      <c r="BG480" s="30">
        <v>155</v>
      </c>
      <c r="BH480" s="30">
        <v>159</v>
      </c>
      <c r="BI480" s="30">
        <v>0</v>
      </c>
      <c r="BJ480" s="30">
        <v>836</v>
      </c>
      <c r="BK480" s="30">
        <v>856</v>
      </c>
      <c r="BL480" s="30">
        <v>0</v>
      </c>
      <c r="BM480" s="30">
        <v>0</v>
      </c>
      <c r="BN480" s="30">
        <v>0</v>
      </c>
      <c r="BO480" s="30">
        <v>51</v>
      </c>
      <c r="BP480" s="30">
        <v>0</v>
      </c>
      <c r="BQ480" s="30">
        <v>51</v>
      </c>
      <c r="BR480" s="47">
        <v>12454</v>
      </c>
      <c r="BS480" s="47">
        <v>12552</v>
      </c>
      <c r="BT480" s="1">
        <f t="shared" si="204"/>
        <v>1.8434425025701278</v>
      </c>
      <c r="BU480" s="30">
        <v>60</v>
      </c>
      <c r="BV480" s="30">
        <v>0</v>
      </c>
      <c r="BW480" s="47">
        <v>497</v>
      </c>
      <c r="BX480" s="52">
        <f t="shared" si="205"/>
        <v>7.299162872668527E-2</v>
      </c>
      <c r="BY480" s="47">
        <v>976</v>
      </c>
      <c r="BZ480" s="47">
        <v>0</v>
      </c>
      <c r="CA480" s="47">
        <v>10057</v>
      </c>
      <c r="CB480" s="47">
        <v>0</v>
      </c>
      <c r="CC480" s="47">
        <v>11033</v>
      </c>
      <c r="CD480" s="55">
        <f t="shared" si="206"/>
        <v>1.6203554119547658</v>
      </c>
      <c r="CE480" s="3">
        <f t="shared" si="207"/>
        <v>8826.4</v>
      </c>
      <c r="CF480" s="55">
        <f t="shared" si="208"/>
        <v>6.2157746478873239</v>
      </c>
      <c r="CG480" s="55">
        <f t="shared" si="209"/>
        <v>1.1153457339264052</v>
      </c>
      <c r="CH480" s="55">
        <f t="shared" si="210"/>
        <v>0.87898342893562775</v>
      </c>
      <c r="CI480" s="30">
        <v>5</v>
      </c>
      <c r="CJ480" s="30">
        <v>0</v>
      </c>
      <c r="CK480" s="30">
        <v>0</v>
      </c>
      <c r="CL480" s="30">
        <v>5</v>
      </c>
      <c r="CM480" s="30">
        <v>147</v>
      </c>
      <c r="CN480" s="30">
        <v>0</v>
      </c>
      <c r="CO480" s="30">
        <v>0</v>
      </c>
      <c r="CP480" s="30">
        <v>147</v>
      </c>
      <c r="CQ480" s="1">
        <f t="shared" si="218"/>
        <v>2.1589073285357616E-2</v>
      </c>
      <c r="CR480" s="47">
        <v>9892</v>
      </c>
      <c r="CS480" s="55">
        <f t="shared" si="211"/>
        <v>1.4527830812160376</v>
      </c>
      <c r="CT480" s="59">
        <v>2096</v>
      </c>
      <c r="CU480" s="29" t="s">
        <v>25</v>
      </c>
      <c r="CV480" s="29" t="s">
        <v>25</v>
      </c>
      <c r="CW480" s="29" t="s">
        <v>25</v>
      </c>
      <c r="CX480" s="35">
        <v>0</v>
      </c>
      <c r="CY480" s="49">
        <v>0</v>
      </c>
      <c r="CZ480" s="35">
        <v>0.875</v>
      </c>
      <c r="DA480" s="35">
        <v>0.375</v>
      </c>
      <c r="DB480" s="35">
        <v>1.25</v>
      </c>
      <c r="DC480" s="49">
        <f t="shared" si="212"/>
        <v>5447.2</v>
      </c>
      <c r="DD480" s="30">
        <v>65</v>
      </c>
      <c r="DE480" s="31">
        <v>27892</v>
      </c>
      <c r="DF480" s="35">
        <v>35</v>
      </c>
      <c r="DG480" s="29" t="s">
        <v>25</v>
      </c>
      <c r="DH480" s="29" t="s">
        <v>25</v>
      </c>
      <c r="DI480" s="29" t="s">
        <v>25</v>
      </c>
      <c r="DJ480" s="47">
        <v>45</v>
      </c>
      <c r="DK480" s="47">
        <v>0</v>
      </c>
      <c r="DL480" s="47">
        <v>6</v>
      </c>
      <c r="DM480" s="47">
        <v>3975</v>
      </c>
      <c r="DN480" s="47">
        <v>2</v>
      </c>
      <c r="DO480" s="47">
        <v>157</v>
      </c>
      <c r="DP480" s="29" t="s">
        <v>2028</v>
      </c>
      <c r="DQ480" s="47">
        <v>0</v>
      </c>
      <c r="DR480" s="47">
        <v>1775</v>
      </c>
      <c r="DS480" s="30">
        <v>52</v>
      </c>
      <c r="DT480" s="30">
        <v>35</v>
      </c>
      <c r="DU480" s="30">
        <v>35</v>
      </c>
      <c r="DV480" s="30">
        <v>35</v>
      </c>
      <c r="DX480" s="2">
        <f t="shared" si="213"/>
        <v>1775</v>
      </c>
      <c r="DY480" s="33" t="s">
        <v>2178</v>
      </c>
      <c r="DZ480" s="33" t="s">
        <v>1425</v>
      </c>
      <c r="EA480" s="33" t="s">
        <v>2030</v>
      </c>
      <c r="EB480" s="33" t="s">
        <v>2027</v>
      </c>
      <c r="EC480" s="36">
        <v>447</v>
      </c>
      <c r="ED480" s="29" t="s">
        <v>1424</v>
      </c>
      <c r="EE480" s="29" t="s">
        <v>844</v>
      </c>
      <c r="EF480" s="37">
        <v>41548</v>
      </c>
      <c r="EG480" s="37">
        <v>41912</v>
      </c>
      <c r="EH480" s="29" t="s">
        <v>1424</v>
      </c>
      <c r="EI480" s="55">
        <f t="shared" si="214"/>
        <v>0.14333969745924513</v>
      </c>
      <c r="EJ480" s="54">
        <f t="shared" si="215"/>
        <v>0</v>
      </c>
      <c r="EK480" s="55">
        <f t="shared" si="216"/>
        <v>1.4770157144955207</v>
      </c>
      <c r="EL480" s="54">
        <f t="shared" si="217"/>
        <v>0</v>
      </c>
    </row>
    <row r="481" spans="1:142" ht="28.8" x14ac:dyDescent="0.3">
      <c r="A481" s="29" t="s">
        <v>1226</v>
      </c>
      <c r="B481" s="29"/>
      <c r="C481" s="30">
        <v>15715</v>
      </c>
      <c r="D481" s="30">
        <v>0</v>
      </c>
      <c r="E481" s="30">
        <v>0</v>
      </c>
      <c r="F481" s="30">
        <v>7200</v>
      </c>
      <c r="H481" s="2">
        <f t="shared" si="193"/>
        <v>7200</v>
      </c>
      <c r="I481" s="1">
        <f t="shared" si="192"/>
        <v>0.45816099268215082</v>
      </c>
      <c r="J481" s="31">
        <v>142133</v>
      </c>
      <c r="K481" s="31">
        <v>37633</v>
      </c>
      <c r="L481" s="31">
        <v>179766</v>
      </c>
      <c r="M481" s="45">
        <f t="shared" si="194"/>
        <v>11.439134584791601</v>
      </c>
      <c r="N481" s="31">
        <v>23719</v>
      </c>
      <c r="O481" s="31">
        <v>2307</v>
      </c>
      <c r="P481" s="31">
        <v>3078</v>
      </c>
      <c r="Q481" s="31">
        <v>29104</v>
      </c>
      <c r="R481" s="45">
        <f t="shared" si="195"/>
        <v>1.851988545975183</v>
      </c>
      <c r="S481" s="31">
        <v>59129</v>
      </c>
      <c r="T481" s="31">
        <v>267999</v>
      </c>
      <c r="U481" s="31">
        <v>0</v>
      </c>
      <c r="V481" s="31">
        <v>267999</v>
      </c>
      <c r="W481" s="45">
        <f t="shared" si="196"/>
        <v>17.053706649697741</v>
      </c>
      <c r="X481" s="4">
        <f t="shared" si="197"/>
        <v>0.67077115959387912</v>
      </c>
      <c r="Y481" s="4">
        <f t="shared" si="198"/>
        <v>0.10859742013962739</v>
      </c>
      <c r="Z481" s="4">
        <f t="shared" si="199"/>
        <v>0.22063142026649354</v>
      </c>
      <c r="AA481" s="4">
        <f t="shared" si="200"/>
        <v>0</v>
      </c>
      <c r="AB481" s="31">
        <v>0</v>
      </c>
      <c r="AC481" s="31">
        <v>27908</v>
      </c>
      <c r="AD481" s="31">
        <v>251895</v>
      </c>
      <c r="AE481" s="31">
        <v>228009</v>
      </c>
      <c r="AF481" s="31">
        <v>219509</v>
      </c>
      <c r="AG481" s="31">
        <v>8500</v>
      </c>
      <c r="AH481" s="31">
        <v>0</v>
      </c>
      <c r="AI481" s="31">
        <v>228009</v>
      </c>
      <c r="AJ481" s="45">
        <f t="shared" si="201"/>
        <v>14.509004136175628</v>
      </c>
      <c r="AK481" s="31">
        <v>0</v>
      </c>
      <c r="AL481" s="31">
        <v>0</v>
      </c>
      <c r="AM481" s="31">
        <v>0</v>
      </c>
      <c r="AN481" s="31">
        <v>0</v>
      </c>
      <c r="AO481" s="31">
        <v>8700</v>
      </c>
      <c r="AP481" s="31">
        <v>35678</v>
      </c>
      <c r="AQ481" s="31">
        <v>44378</v>
      </c>
      <c r="AR481" s="31">
        <v>272387</v>
      </c>
      <c r="AS481" s="46">
        <f t="shared" si="202"/>
        <v>17.332930321349028</v>
      </c>
      <c r="AT481" s="31">
        <v>1798</v>
      </c>
      <c r="AU481" s="31">
        <v>0</v>
      </c>
      <c r="AV481" s="31">
        <v>0</v>
      </c>
      <c r="AW481" s="31">
        <v>0</v>
      </c>
      <c r="AX481" s="31">
        <v>0</v>
      </c>
      <c r="AY481" s="31">
        <v>0</v>
      </c>
      <c r="AZ481" s="31">
        <v>0</v>
      </c>
      <c r="BA481" s="31">
        <v>0</v>
      </c>
      <c r="BB481" s="31">
        <v>1798</v>
      </c>
      <c r="BC481" s="33" t="s">
        <v>25</v>
      </c>
      <c r="BD481" s="47">
        <v>45032</v>
      </c>
      <c r="BE481" s="47">
        <v>46348</v>
      </c>
      <c r="BF481" s="45">
        <f t="shared" si="203"/>
        <v>2.9492841234489342</v>
      </c>
      <c r="BG481" s="30">
        <v>1675</v>
      </c>
      <c r="BH481" s="30">
        <v>1678</v>
      </c>
      <c r="BI481" s="30">
        <v>460</v>
      </c>
      <c r="BJ481" s="30">
        <v>4161</v>
      </c>
      <c r="BK481" s="30">
        <v>4180</v>
      </c>
      <c r="BL481" s="30">
        <v>0</v>
      </c>
      <c r="BM481" s="30">
        <v>1555</v>
      </c>
      <c r="BN481" s="30">
        <v>2</v>
      </c>
      <c r="BO481" s="30">
        <v>51</v>
      </c>
      <c r="BP481" s="30">
        <v>1</v>
      </c>
      <c r="BQ481" s="30">
        <v>54</v>
      </c>
      <c r="BR481" s="47">
        <v>50868</v>
      </c>
      <c r="BS481" s="47">
        <v>54223</v>
      </c>
      <c r="BT481" s="1">
        <f t="shared" si="204"/>
        <v>3.4503977091950366</v>
      </c>
      <c r="BU481" s="30">
        <v>49</v>
      </c>
      <c r="BV481" s="30">
        <v>1</v>
      </c>
      <c r="BW481" s="47">
        <v>10937</v>
      </c>
      <c r="BX481" s="52">
        <f t="shared" si="205"/>
        <v>0.69595927457842821</v>
      </c>
      <c r="BY481" s="47">
        <v>11131</v>
      </c>
      <c r="BZ481" s="47">
        <v>177</v>
      </c>
      <c r="CA481" s="47">
        <v>55141</v>
      </c>
      <c r="CB481" s="47">
        <v>387</v>
      </c>
      <c r="CC481" s="47">
        <v>66836</v>
      </c>
      <c r="CD481" s="55">
        <f t="shared" si="206"/>
        <v>4.2530066815144769</v>
      </c>
      <c r="CE481" s="3">
        <f t="shared" si="207"/>
        <v>10956.72131147541</v>
      </c>
      <c r="CF481" s="55">
        <f t="shared" si="208"/>
        <v>29.931034482758619</v>
      </c>
      <c r="CG481" s="55">
        <f t="shared" si="209"/>
        <v>3.0181079250395122</v>
      </c>
      <c r="CH481" s="55">
        <f t="shared" si="210"/>
        <v>1.2222119764675508</v>
      </c>
      <c r="CI481" s="30">
        <v>204</v>
      </c>
      <c r="CJ481" s="30">
        <v>18</v>
      </c>
      <c r="CK481" s="30">
        <v>449</v>
      </c>
      <c r="CL481" s="30">
        <v>671</v>
      </c>
      <c r="CM481" s="30">
        <v>3234</v>
      </c>
      <c r="CN481" s="30">
        <v>301</v>
      </c>
      <c r="CO481" s="30">
        <v>3283</v>
      </c>
      <c r="CP481" s="30">
        <v>6818</v>
      </c>
      <c r="CQ481" s="1">
        <f t="shared" si="218"/>
        <v>0.4338530066815145</v>
      </c>
      <c r="CR481" s="47">
        <v>22145</v>
      </c>
      <c r="CS481" s="55">
        <f t="shared" si="211"/>
        <v>1.409163219853643</v>
      </c>
      <c r="CT481" s="59">
        <v>9460</v>
      </c>
      <c r="CU481" s="29" t="s">
        <v>25</v>
      </c>
      <c r="CV481" s="29" t="s">
        <v>25</v>
      </c>
      <c r="CW481" s="29" t="s">
        <v>25</v>
      </c>
      <c r="CX481" s="35">
        <v>0</v>
      </c>
      <c r="CY481" s="49">
        <v>0</v>
      </c>
      <c r="CZ481" s="35">
        <v>1</v>
      </c>
      <c r="DA481" s="35">
        <v>5.0999999999999996</v>
      </c>
      <c r="DB481" s="35">
        <v>6.1</v>
      </c>
      <c r="DC481" s="49">
        <f t="shared" si="212"/>
        <v>2576.2295081967213</v>
      </c>
      <c r="DD481" s="30">
        <v>2626</v>
      </c>
      <c r="DE481" s="31">
        <v>56917</v>
      </c>
      <c r="DF481" s="35">
        <v>40</v>
      </c>
      <c r="DG481" s="29" t="s">
        <v>25</v>
      </c>
      <c r="DH481" s="29" t="s">
        <v>25</v>
      </c>
      <c r="DI481" s="29" t="s">
        <v>25</v>
      </c>
      <c r="DJ481" s="47">
        <v>47</v>
      </c>
      <c r="DK481" s="47">
        <v>198</v>
      </c>
      <c r="DL481" s="47">
        <v>17</v>
      </c>
      <c r="DM481" s="47">
        <v>9007</v>
      </c>
      <c r="DN481" s="47">
        <v>65</v>
      </c>
      <c r="DO481" s="47">
        <v>525</v>
      </c>
      <c r="DP481" s="29" t="s">
        <v>25</v>
      </c>
      <c r="DQ481" s="47">
        <v>5716</v>
      </c>
      <c r="DR481" s="47">
        <v>2233</v>
      </c>
      <c r="DS481" s="30">
        <v>52</v>
      </c>
      <c r="DT481" s="30">
        <v>45</v>
      </c>
      <c r="DU481" s="30">
        <v>45</v>
      </c>
      <c r="DV481" s="30">
        <v>45</v>
      </c>
      <c r="DX481" s="2">
        <f t="shared" si="213"/>
        <v>2233</v>
      </c>
      <c r="DY481" s="33" t="s">
        <v>2186</v>
      </c>
      <c r="DZ481" s="33" t="s">
        <v>1229</v>
      </c>
      <c r="EA481" s="33" t="s">
        <v>2030</v>
      </c>
      <c r="EB481" s="33" t="s">
        <v>2027</v>
      </c>
      <c r="EC481" s="36">
        <v>367</v>
      </c>
      <c r="ED481" s="29" t="s">
        <v>1227</v>
      </c>
      <c r="EE481" s="29" t="s">
        <v>129</v>
      </c>
      <c r="EF481" s="37">
        <v>41548</v>
      </c>
      <c r="EG481" s="37">
        <v>41912</v>
      </c>
      <c r="EH481" s="29" t="s">
        <v>1227</v>
      </c>
      <c r="EI481" s="55">
        <f t="shared" si="214"/>
        <v>0.70830416799236395</v>
      </c>
      <c r="EJ481" s="54">
        <f t="shared" si="215"/>
        <v>1.1263124403436207E-2</v>
      </c>
      <c r="EK481" s="55">
        <f t="shared" si="216"/>
        <v>3.5088132357620108</v>
      </c>
      <c r="EL481" s="54">
        <f t="shared" si="217"/>
        <v>2.4626153356665605E-2</v>
      </c>
    </row>
    <row r="482" spans="1:142" ht="28.8" x14ac:dyDescent="0.3">
      <c r="A482" s="29" t="s">
        <v>1228</v>
      </c>
      <c r="B482" s="29"/>
      <c r="C482" s="30">
        <v>17302</v>
      </c>
      <c r="D482" s="30">
        <v>0</v>
      </c>
      <c r="E482" s="30">
        <v>0</v>
      </c>
      <c r="F482" s="30">
        <v>11457</v>
      </c>
      <c r="H482" s="2">
        <f t="shared" si="193"/>
        <v>11457</v>
      </c>
      <c r="I482" s="1">
        <f t="shared" si="192"/>
        <v>0.66217778291526996</v>
      </c>
      <c r="J482" s="31">
        <v>201140</v>
      </c>
      <c r="K482" s="31">
        <v>88050</v>
      </c>
      <c r="L482" s="31">
        <v>289190</v>
      </c>
      <c r="M482" s="45">
        <f t="shared" si="194"/>
        <v>16.714252687550573</v>
      </c>
      <c r="N482" s="31">
        <v>55628</v>
      </c>
      <c r="O482" s="31">
        <v>4529</v>
      </c>
      <c r="P482" s="31">
        <v>11660</v>
      </c>
      <c r="Q482" s="31">
        <v>71817</v>
      </c>
      <c r="R482" s="45">
        <f t="shared" si="195"/>
        <v>4.1507918159750314</v>
      </c>
      <c r="S482" s="31">
        <v>46183</v>
      </c>
      <c r="T482" s="31">
        <v>407190</v>
      </c>
      <c r="U482" s="31">
        <v>0</v>
      </c>
      <c r="V482" s="31">
        <v>407190</v>
      </c>
      <c r="W482" s="45">
        <f t="shared" si="196"/>
        <v>23.534273494393712</v>
      </c>
      <c r="X482" s="4">
        <f t="shared" si="197"/>
        <v>0.71020899334463028</v>
      </c>
      <c r="Y482" s="4">
        <f t="shared" si="198"/>
        <v>0.17637220953363295</v>
      </c>
      <c r="Z482" s="4">
        <f t="shared" si="199"/>
        <v>0.11341879712173678</v>
      </c>
      <c r="AA482" s="4">
        <f t="shared" si="200"/>
        <v>0</v>
      </c>
      <c r="AB482" s="31">
        <v>0</v>
      </c>
      <c r="AC482" s="31">
        <v>71817</v>
      </c>
      <c r="AD482" s="31">
        <v>407194</v>
      </c>
      <c r="AE482" s="31">
        <v>399199</v>
      </c>
      <c r="AF482" s="31">
        <v>0</v>
      </c>
      <c r="AG482" s="31">
        <v>399199</v>
      </c>
      <c r="AH482" s="31">
        <v>0</v>
      </c>
      <c r="AI482" s="31">
        <v>399199</v>
      </c>
      <c r="AJ482" s="45">
        <f t="shared" si="201"/>
        <v>23.072419373482834</v>
      </c>
      <c r="AK482" s="31">
        <v>0</v>
      </c>
      <c r="AL482" s="31">
        <v>0</v>
      </c>
      <c r="AM482" s="31">
        <v>0</v>
      </c>
      <c r="AN482" s="31">
        <v>0</v>
      </c>
      <c r="AO482" s="31">
        <v>0</v>
      </c>
      <c r="AP482" s="31">
        <v>17549</v>
      </c>
      <c r="AQ482" s="31">
        <v>17549</v>
      </c>
      <c r="AR482" s="31">
        <v>416748</v>
      </c>
      <c r="AS482" s="46">
        <f t="shared" si="202"/>
        <v>24.086695179748006</v>
      </c>
      <c r="AT482" s="31">
        <v>0</v>
      </c>
      <c r="AU482" s="31">
        <v>0</v>
      </c>
      <c r="AV482" s="31">
        <v>0</v>
      </c>
      <c r="AW482" s="31">
        <v>0</v>
      </c>
      <c r="AX482" s="31">
        <v>0</v>
      </c>
      <c r="AY482" s="31">
        <v>0</v>
      </c>
      <c r="AZ482" s="31">
        <v>0</v>
      </c>
      <c r="BA482" s="31">
        <v>0</v>
      </c>
      <c r="BB482" s="31">
        <v>0</v>
      </c>
      <c r="BC482" s="33" t="s">
        <v>25</v>
      </c>
      <c r="BD482" s="47">
        <v>57455</v>
      </c>
      <c r="BE482" s="47">
        <v>57860</v>
      </c>
      <c r="BF482" s="45">
        <f t="shared" si="203"/>
        <v>3.3441220668130853</v>
      </c>
      <c r="BG482" s="30">
        <v>1414</v>
      </c>
      <c r="BH482" s="30">
        <v>1415</v>
      </c>
      <c r="BI482" s="30">
        <v>843</v>
      </c>
      <c r="BJ482" s="30">
        <v>2971</v>
      </c>
      <c r="BK482" s="30">
        <v>2986</v>
      </c>
      <c r="BL482" s="30">
        <v>4</v>
      </c>
      <c r="BM482" s="30">
        <v>8768</v>
      </c>
      <c r="BN482" s="30">
        <v>0</v>
      </c>
      <c r="BO482" s="30">
        <v>51</v>
      </c>
      <c r="BP482" s="30">
        <v>1</v>
      </c>
      <c r="BQ482" s="30">
        <v>52</v>
      </c>
      <c r="BR482" s="47">
        <v>61840</v>
      </c>
      <c r="BS482" s="47">
        <v>71876</v>
      </c>
      <c r="BT482" s="1">
        <f t="shared" si="204"/>
        <v>4.1542018263784533</v>
      </c>
      <c r="BU482" s="30">
        <v>60</v>
      </c>
      <c r="BV482" s="30">
        <v>0</v>
      </c>
      <c r="BW482" s="47">
        <v>6838</v>
      </c>
      <c r="BX482" s="52">
        <f t="shared" si="205"/>
        <v>0.39521442607791007</v>
      </c>
      <c r="BY482" s="47">
        <v>25556</v>
      </c>
      <c r="BZ482" s="47">
        <v>0</v>
      </c>
      <c r="CA482" s="47">
        <v>53596</v>
      </c>
      <c r="CB482" s="47">
        <v>17607</v>
      </c>
      <c r="CC482" s="47">
        <v>96759</v>
      </c>
      <c r="CD482" s="55">
        <f t="shared" si="206"/>
        <v>5.5923592648248759</v>
      </c>
      <c r="CE482" s="3">
        <f t="shared" si="207"/>
        <v>16399.830508474577</v>
      </c>
      <c r="CF482" s="55">
        <f t="shared" si="208"/>
        <v>38.381197937326455</v>
      </c>
      <c r="CG482" s="55">
        <f t="shared" si="209"/>
        <v>1.507995137460258</v>
      </c>
      <c r="CH482" s="55">
        <f t="shared" si="210"/>
        <v>1.1012298959318827</v>
      </c>
      <c r="CI482" s="30">
        <v>358</v>
      </c>
      <c r="CJ482" s="30">
        <v>28</v>
      </c>
      <c r="CK482" s="30">
        <v>120</v>
      </c>
      <c r="CL482" s="30">
        <v>506</v>
      </c>
      <c r="CM482" s="30">
        <v>7720</v>
      </c>
      <c r="CN482" s="30">
        <v>230</v>
      </c>
      <c r="CO482" s="30">
        <v>872</v>
      </c>
      <c r="CP482" s="30">
        <v>8822</v>
      </c>
      <c r="CQ482" s="1">
        <f t="shared" si="218"/>
        <v>0.5098832504912727</v>
      </c>
      <c r="CR482" s="47">
        <v>64164</v>
      </c>
      <c r="CS482" s="55">
        <f t="shared" si="211"/>
        <v>3.7084730089007052</v>
      </c>
      <c r="CT482" s="59">
        <v>8538</v>
      </c>
      <c r="CU482" s="29" t="s">
        <v>25</v>
      </c>
      <c r="CV482" s="29" t="s">
        <v>25</v>
      </c>
      <c r="CW482" s="29" t="s">
        <v>25</v>
      </c>
      <c r="CX482" s="35">
        <v>0</v>
      </c>
      <c r="CY482" s="49">
        <v>0</v>
      </c>
      <c r="CZ482" s="35">
        <v>1</v>
      </c>
      <c r="DA482" s="35">
        <v>4.9000000000000004</v>
      </c>
      <c r="DB482" s="35">
        <v>5.9</v>
      </c>
      <c r="DC482" s="49">
        <f t="shared" si="212"/>
        <v>2932.5423728813557</v>
      </c>
      <c r="DD482" s="30">
        <v>752</v>
      </c>
      <c r="DE482" s="31">
        <v>45313</v>
      </c>
      <c r="DF482" s="35">
        <v>40</v>
      </c>
      <c r="DG482" s="29" t="s">
        <v>25</v>
      </c>
      <c r="DH482" s="29" t="s">
        <v>25</v>
      </c>
      <c r="DI482" s="29" t="s">
        <v>25</v>
      </c>
      <c r="DJ482" s="47">
        <v>66</v>
      </c>
      <c r="DK482" s="47">
        <v>83</v>
      </c>
      <c r="DL482" s="47">
        <v>21</v>
      </c>
      <c r="DM482" s="47">
        <v>6774</v>
      </c>
      <c r="DN482" s="47">
        <v>1425</v>
      </c>
      <c r="DO482" s="47">
        <v>5371</v>
      </c>
      <c r="DP482" s="29" t="s">
        <v>2028</v>
      </c>
      <c r="DQ482" s="47">
        <v>0</v>
      </c>
      <c r="DR482" s="47">
        <v>2521</v>
      </c>
      <c r="DS482" s="30">
        <v>52</v>
      </c>
      <c r="DT482" s="30">
        <v>53</v>
      </c>
      <c r="DU482" s="30">
        <v>53</v>
      </c>
      <c r="DV482" s="30">
        <v>53</v>
      </c>
      <c r="DX482" s="2">
        <f t="shared" si="213"/>
        <v>2521</v>
      </c>
      <c r="DY482" s="33" t="s">
        <v>2179</v>
      </c>
      <c r="DZ482" s="33" t="s">
        <v>1232</v>
      </c>
      <c r="EA482" s="33" t="s">
        <v>2031</v>
      </c>
      <c r="EB482" s="33" t="s">
        <v>2027</v>
      </c>
      <c r="EC482" s="36">
        <v>368</v>
      </c>
      <c r="ED482" s="29" t="s">
        <v>1230</v>
      </c>
      <c r="EE482" s="29" t="s">
        <v>1231</v>
      </c>
      <c r="EF482" s="37">
        <v>41640</v>
      </c>
      <c r="EG482" s="37">
        <v>42004</v>
      </c>
      <c r="EH482" s="29" t="s">
        <v>1230</v>
      </c>
      <c r="EI482" s="55">
        <f t="shared" si="214"/>
        <v>1.4770546757600278</v>
      </c>
      <c r="EJ482" s="54">
        <f t="shared" si="215"/>
        <v>0</v>
      </c>
      <c r="EK482" s="55">
        <f t="shared" si="216"/>
        <v>3.0976765691827532</v>
      </c>
      <c r="EL482" s="54">
        <f t="shared" si="217"/>
        <v>1.0176280198820946</v>
      </c>
    </row>
    <row r="483" spans="1:142" ht="28.8" x14ac:dyDescent="0.3">
      <c r="A483" s="29" t="s">
        <v>1233</v>
      </c>
      <c r="B483" s="29"/>
      <c r="C483" s="30">
        <v>4006</v>
      </c>
      <c r="D483" s="30">
        <v>0</v>
      </c>
      <c r="E483" s="30">
        <v>0</v>
      </c>
      <c r="F483" s="30">
        <v>5400</v>
      </c>
      <c r="H483" s="2">
        <f t="shared" si="193"/>
        <v>5400</v>
      </c>
      <c r="I483" s="1">
        <f t="shared" si="192"/>
        <v>1.3479780329505742</v>
      </c>
      <c r="J483" s="31">
        <v>114298</v>
      </c>
      <c r="K483" s="31">
        <v>37368</v>
      </c>
      <c r="L483" s="31">
        <v>151666</v>
      </c>
      <c r="M483" s="45">
        <f t="shared" si="194"/>
        <v>37.859710434348479</v>
      </c>
      <c r="N483" s="31">
        <v>6440</v>
      </c>
      <c r="O483" s="31">
        <v>1500</v>
      </c>
      <c r="P483" s="31">
        <v>1758</v>
      </c>
      <c r="Q483" s="31">
        <v>9698</v>
      </c>
      <c r="R483" s="45">
        <f t="shared" si="195"/>
        <v>2.4208686969545683</v>
      </c>
      <c r="S483" s="31">
        <v>24210</v>
      </c>
      <c r="T483" s="31">
        <v>185574</v>
      </c>
      <c r="U483" s="31">
        <v>0</v>
      </c>
      <c r="V483" s="31">
        <v>185574</v>
      </c>
      <c r="W483" s="45">
        <f t="shared" si="196"/>
        <v>46.324013979031456</v>
      </c>
      <c r="X483" s="4">
        <f t="shared" si="197"/>
        <v>0.81728043799239114</v>
      </c>
      <c r="Y483" s="4">
        <f t="shared" si="198"/>
        <v>5.2259476004181619E-2</v>
      </c>
      <c r="Z483" s="4">
        <f t="shared" si="199"/>
        <v>0.13046008600342721</v>
      </c>
      <c r="AA483" s="4">
        <f t="shared" si="200"/>
        <v>0</v>
      </c>
      <c r="AB483" s="31">
        <v>0</v>
      </c>
      <c r="AC483" s="31">
        <v>9698</v>
      </c>
      <c r="AD483" s="31">
        <v>185574</v>
      </c>
      <c r="AE483" s="31">
        <v>185574</v>
      </c>
      <c r="AF483" s="31">
        <v>0</v>
      </c>
      <c r="AG483" s="31">
        <v>185574</v>
      </c>
      <c r="AH483" s="31">
        <v>0</v>
      </c>
      <c r="AI483" s="31">
        <v>185574</v>
      </c>
      <c r="AJ483" s="45">
        <f t="shared" si="201"/>
        <v>46.324013979031456</v>
      </c>
      <c r="AK483" s="31">
        <v>0</v>
      </c>
      <c r="AL483" s="31">
        <v>0</v>
      </c>
      <c r="AM483" s="31">
        <v>0</v>
      </c>
      <c r="AN483" s="31">
        <v>0</v>
      </c>
      <c r="AO483" s="31">
        <v>0</v>
      </c>
      <c r="AP483" s="31">
        <v>2598</v>
      </c>
      <c r="AQ483" s="31">
        <v>2598</v>
      </c>
      <c r="AR483" s="31">
        <v>188172</v>
      </c>
      <c r="AS483" s="46">
        <f t="shared" si="202"/>
        <v>46.972541188217676</v>
      </c>
      <c r="AT483" s="31">
        <v>0</v>
      </c>
      <c r="AU483" s="31">
        <v>0</v>
      </c>
      <c r="AV483" s="31">
        <v>0</v>
      </c>
      <c r="AW483" s="31">
        <v>0</v>
      </c>
      <c r="AX483" s="31">
        <v>0</v>
      </c>
      <c r="AY483" s="31">
        <v>0</v>
      </c>
      <c r="AZ483" s="31">
        <v>0</v>
      </c>
      <c r="BA483" s="31">
        <v>0</v>
      </c>
      <c r="BB483" s="31">
        <v>0</v>
      </c>
      <c r="BC483" s="33" t="s">
        <v>25</v>
      </c>
      <c r="BD483" s="47">
        <v>17261</v>
      </c>
      <c r="BE483" s="47">
        <v>17589</v>
      </c>
      <c r="BF483" s="45">
        <f t="shared" si="203"/>
        <v>4.3906640039940088</v>
      </c>
      <c r="BG483" s="30">
        <v>1383</v>
      </c>
      <c r="BH483" s="30">
        <v>7079</v>
      </c>
      <c r="BI483" s="30">
        <v>231</v>
      </c>
      <c r="BJ483" s="30">
        <v>0</v>
      </c>
      <c r="BK483" s="30">
        <v>0</v>
      </c>
      <c r="BL483" s="30">
        <v>0</v>
      </c>
      <c r="BM483" s="30">
        <v>302</v>
      </c>
      <c r="BN483" s="30">
        <v>0</v>
      </c>
      <c r="BO483" s="30">
        <v>51</v>
      </c>
      <c r="BP483" s="30">
        <v>0</v>
      </c>
      <c r="BQ483" s="30">
        <v>51</v>
      </c>
      <c r="BR483" s="47">
        <v>18644</v>
      </c>
      <c r="BS483" s="47">
        <v>25201</v>
      </c>
      <c r="BT483" s="1">
        <f t="shared" si="204"/>
        <v>6.2908137793310033</v>
      </c>
      <c r="BU483" s="30">
        <v>14</v>
      </c>
      <c r="BV483" s="30">
        <v>0</v>
      </c>
      <c r="BW483" s="47">
        <v>184</v>
      </c>
      <c r="BX483" s="52">
        <f t="shared" si="205"/>
        <v>4.593110334498253E-2</v>
      </c>
      <c r="BY483" s="47">
        <v>2361</v>
      </c>
      <c r="BZ483" s="47">
        <v>0</v>
      </c>
      <c r="CA483" s="47">
        <v>3158</v>
      </c>
      <c r="CB483" s="47">
        <v>457</v>
      </c>
      <c r="CC483" s="47">
        <v>5976</v>
      </c>
      <c r="CD483" s="55">
        <f t="shared" si="206"/>
        <v>1.491762356465302</v>
      </c>
      <c r="CE483" s="3">
        <f t="shared" si="207"/>
        <v>2988</v>
      </c>
      <c r="CF483" s="55">
        <f t="shared" si="208"/>
        <v>2.7628294036061027</v>
      </c>
      <c r="CG483" s="55">
        <f t="shared" si="209"/>
        <v>1.2541448058761804</v>
      </c>
      <c r="CH483" s="55">
        <f t="shared" si="210"/>
        <v>0.21899924606166421</v>
      </c>
      <c r="CI483" s="30">
        <v>14</v>
      </c>
      <c r="CJ483" s="30">
        <v>0</v>
      </c>
      <c r="CK483" s="30">
        <v>0</v>
      </c>
      <c r="CL483" s="30">
        <v>14</v>
      </c>
      <c r="CM483" s="30">
        <v>418</v>
      </c>
      <c r="CN483" s="30">
        <v>0</v>
      </c>
      <c r="CO483" s="30">
        <v>0</v>
      </c>
      <c r="CP483" s="30">
        <v>418</v>
      </c>
      <c r="CQ483" s="1">
        <f t="shared" si="218"/>
        <v>0.10434348477284074</v>
      </c>
      <c r="CR483" s="47">
        <v>4765</v>
      </c>
      <c r="CS483" s="55">
        <f t="shared" si="211"/>
        <v>1.189465801298053</v>
      </c>
      <c r="CT483" s="59">
        <v>1725</v>
      </c>
      <c r="CU483" s="29" t="s">
        <v>25</v>
      </c>
      <c r="CV483" s="29" t="s">
        <v>25</v>
      </c>
      <c r="CW483" s="29" t="s">
        <v>25</v>
      </c>
      <c r="CX483" s="35">
        <v>0</v>
      </c>
      <c r="CY483" s="49">
        <v>0</v>
      </c>
      <c r="CZ483" s="35">
        <v>1</v>
      </c>
      <c r="DA483" s="35">
        <v>1</v>
      </c>
      <c r="DB483" s="35">
        <v>2</v>
      </c>
      <c r="DC483" s="49">
        <f t="shared" si="212"/>
        <v>2003</v>
      </c>
      <c r="DD483" s="30">
        <v>32</v>
      </c>
      <c r="DE483" s="31">
        <v>46139</v>
      </c>
      <c r="DF483" s="35">
        <v>40</v>
      </c>
      <c r="DG483" s="29" t="s">
        <v>25</v>
      </c>
      <c r="DH483" s="29" t="s">
        <v>25</v>
      </c>
      <c r="DI483" s="29" t="s">
        <v>25</v>
      </c>
      <c r="DJ483" s="47">
        <v>38</v>
      </c>
      <c r="DK483" s="47">
        <v>4</v>
      </c>
      <c r="DL483" s="47">
        <v>12</v>
      </c>
      <c r="DM483" s="47">
        <v>2284</v>
      </c>
      <c r="DN483" s="47">
        <v>35</v>
      </c>
      <c r="DO483" s="47">
        <v>45</v>
      </c>
      <c r="DP483" s="29" t="s">
        <v>2028</v>
      </c>
      <c r="DQ483" s="47">
        <v>0</v>
      </c>
      <c r="DR483" s="47">
        <v>2163</v>
      </c>
      <c r="DS483" s="30">
        <v>50</v>
      </c>
      <c r="DT483" s="30">
        <v>43</v>
      </c>
      <c r="DU483" s="30">
        <v>43</v>
      </c>
      <c r="DV483" s="30">
        <v>43</v>
      </c>
      <c r="DX483" s="2">
        <f t="shared" si="213"/>
        <v>2163</v>
      </c>
      <c r="DY483" s="33" t="s">
        <v>2179</v>
      </c>
      <c r="DZ483" s="33" t="s">
        <v>1235</v>
      </c>
      <c r="EA483" s="33" t="s">
        <v>2031</v>
      </c>
      <c r="EB483" s="33" t="s">
        <v>2027</v>
      </c>
      <c r="EC483" s="36">
        <v>369</v>
      </c>
      <c r="ED483" s="29" t="s">
        <v>1234</v>
      </c>
      <c r="EE483" s="29" t="s">
        <v>375</v>
      </c>
      <c r="EF483" s="37">
        <v>41548</v>
      </c>
      <c r="EG483" s="37">
        <v>41912</v>
      </c>
      <c r="EH483" s="29" t="s">
        <v>1234</v>
      </c>
      <c r="EI483" s="55">
        <f t="shared" si="214"/>
        <v>0.58936595107338996</v>
      </c>
      <c r="EJ483" s="54">
        <f t="shared" si="215"/>
        <v>0</v>
      </c>
      <c r="EK483" s="55">
        <f t="shared" si="216"/>
        <v>0.78831752371442831</v>
      </c>
      <c r="EL483" s="54">
        <f t="shared" si="217"/>
        <v>0.11407888167748377</v>
      </c>
    </row>
    <row r="484" spans="1:142" ht="43.2" x14ac:dyDescent="0.3">
      <c r="A484" s="29" t="s">
        <v>1237</v>
      </c>
      <c r="B484" s="29"/>
      <c r="C484" s="30">
        <v>4358</v>
      </c>
      <c r="D484" s="30">
        <v>0</v>
      </c>
      <c r="E484" s="30">
        <v>0</v>
      </c>
      <c r="F484" s="30">
        <v>4050</v>
      </c>
      <c r="H484" s="2">
        <f t="shared" si="193"/>
        <v>4050</v>
      </c>
      <c r="I484" s="1">
        <f t="shared" si="192"/>
        <v>0.92932537861404318</v>
      </c>
      <c r="J484" s="31">
        <v>42445</v>
      </c>
      <c r="K484" s="31">
        <v>11884</v>
      </c>
      <c r="L484" s="31">
        <v>54329</v>
      </c>
      <c r="M484" s="45">
        <f t="shared" si="194"/>
        <v>12.466498393758604</v>
      </c>
      <c r="N484" s="31">
        <v>4609</v>
      </c>
      <c r="O484" s="31">
        <v>0</v>
      </c>
      <c r="P484" s="31">
        <v>1820</v>
      </c>
      <c r="Q484" s="31">
        <v>6429</v>
      </c>
      <c r="R484" s="45">
        <f t="shared" si="195"/>
        <v>1.4752179899036255</v>
      </c>
      <c r="S484" s="31">
        <v>16881</v>
      </c>
      <c r="T484" s="31">
        <v>77639</v>
      </c>
      <c r="U484" s="31">
        <v>0</v>
      </c>
      <c r="V484" s="31">
        <v>77639</v>
      </c>
      <c r="W484" s="45">
        <f t="shared" si="196"/>
        <v>17.81528223955943</v>
      </c>
      <c r="X484" s="4">
        <f t="shared" si="197"/>
        <v>0.69976429371836324</v>
      </c>
      <c r="Y484" s="4">
        <f t="shared" si="198"/>
        <v>8.2806321565192756E-2</v>
      </c>
      <c r="Z484" s="4">
        <f t="shared" si="199"/>
        <v>0.21742938471644405</v>
      </c>
      <c r="AA484" s="4">
        <f t="shared" si="200"/>
        <v>0</v>
      </c>
      <c r="AB484" s="31">
        <v>0</v>
      </c>
      <c r="AC484" s="31">
        <v>6429</v>
      </c>
      <c r="AD484" s="31">
        <v>71210</v>
      </c>
      <c r="AE484" s="31">
        <v>71210</v>
      </c>
      <c r="AF484" s="31">
        <v>70639</v>
      </c>
      <c r="AG484" s="31">
        <v>7000</v>
      </c>
      <c r="AH484" s="31">
        <v>0</v>
      </c>
      <c r="AI484" s="31">
        <v>77639</v>
      </c>
      <c r="AJ484" s="45">
        <f t="shared" si="201"/>
        <v>17.81528223955943</v>
      </c>
      <c r="AK484" s="31">
        <v>0</v>
      </c>
      <c r="AL484" s="31">
        <v>0</v>
      </c>
      <c r="AM484" s="31">
        <v>0</v>
      </c>
      <c r="AN484" s="31">
        <v>0</v>
      </c>
      <c r="AO484" s="31">
        <v>0</v>
      </c>
      <c r="AP484" s="31">
        <v>2836</v>
      </c>
      <c r="AQ484" s="31">
        <v>2836</v>
      </c>
      <c r="AR484" s="31">
        <v>80475</v>
      </c>
      <c r="AS484" s="46">
        <f t="shared" si="202"/>
        <v>18.466039467645707</v>
      </c>
      <c r="AT484" s="31">
        <v>0</v>
      </c>
      <c r="AU484" s="31">
        <v>0</v>
      </c>
      <c r="AV484" s="31">
        <v>0</v>
      </c>
      <c r="AW484" s="31">
        <v>0</v>
      </c>
      <c r="AX484" s="31">
        <v>0</v>
      </c>
      <c r="AY484" s="31">
        <v>0</v>
      </c>
      <c r="AZ484" s="31">
        <v>0</v>
      </c>
      <c r="BA484" s="31">
        <v>0</v>
      </c>
      <c r="BB484" s="31">
        <v>0</v>
      </c>
      <c r="BC484" s="33" t="s">
        <v>25</v>
      </c>
      <c r="BD484" s="47">
        <v>19804</v>
      </c>
      <c r="BE484" s="47">
        <v>19907</v>
      </c>
      <c r="BF484" s="45">
        <f t="shared" si="203"/>
        <v>4.5679210647085817</v>
      </c>
      <c r="BG484" s="30">
        <v>2243</v>
      </c>
      <c r="BH484" s="30">
        <v>2376</v>
      </c>
      <c r="BI484" s="30">
        <v>0</v>
      </c>
      <c r="BJ484" s="30">
        <v>924</v>
      </c>
      <c r="BK484" s="30">
        <v>932</v>
      </c>
      <c r="BL484" s="30">
        <v>0</v>
      </c>
      <c r="BM484" s="30">
        <v>0</v>
      </c>
      <c r="BN484" s="30">
        <v>0</v>
      </c>
      <c r="BO484" s="30">
        <v>0</v>
      </c>
      <c r="BP484" s="30">
        <v>0</v>
      </c>
      <c r="BQ484" s="30">
        <v>0</v>
      </c>
      <c r="BR484" s="47">
        <v>22971</v>
      </c>
      <c r="BS484" s="47">
        <v>23215</v>
      </c>
      <c r="BT484" s="1">
        <f t="shared" si="204"/>
        <v>5.3269848554382744</v>
      </c>
      <c r="BU484" s="30">
        <v>17</v>
      </c>
      <c r="BV484" s="30">
        <v>0</v>
      </c>
      <c r="BW484" s="47">
        <v>2537</v>
      </c>
      <c r="BX484" s="52">
        <f t="shared" si="205"/>
        <v>0.58214777420835251</v>
      </c>
      <c r="BY484" s="47">
        <v>4823</v>
      </c>
      <c r="BZ484" s="47">
        <v>0</v>
      </c>
      <c r="CA484" s="47">
        <v>17435</v>
      </c>
      <c r="CB484" s="47">
        <v>0</v>
      </c>
      <c r="CC484" s="47">
        <v>22258</v>
      </c>
      <c r="CD484" s="55">
        <f t="shared" si="206"/>
        <v>5.1073887104176228</v>
      </c>
      <c r="CE484" s="3">
        <f t="shared" si="207"/>
        <v>11129</v>
      </c>
      <c r="CF484" s="55">
        <f t="shared" si="208"/>
        <v>8.6877439500390317</v>
      </c>
      <c r="CG484" s="55">
        <f t="shared" si="209"/>
        <v>1.0291764923475286</v>
      </c>
      <c r="CH484" s="55">
        <f t="shared" si="210"/>
        <v>0.95877665302606074</v>
      </c>
      <c r="CI484" s="30">
        <v>1</v>
      </c>
      <c r="CJ484" s="30">
        <v>1</v>
      </c>
      <c r="CK484" s="30">
        <v>0</v>
      </c>
      <c r="CL484" s="30">
        <v>2</v>
      </c>
      <c r="CM484" s="30">
        <v>183</v>
      </c>
      <c r="CN484" s="30">
        <v>56</v>
      </c>
      <c r="CO484" s="30">
        <v>0</v>
      </c>
      <c r="CP484" s="30">
        <v>239</v>
      </c>
      <c r="CQ484" s="1">
        <f t="shared" si="218"/>
        <v>5.4841670491050938E-2</v>
      </c>
      <c r="CR484" s="47">
        <v>21627</v>
      </c>
      <c r="CS484" s="55">
        <f t="shared" si="211"/>
        <v>4.9625975217989904</v>
      </c>
      <c r="CT484" s="59">
        <v>4723</v>
      </c>
      <c r="CU484" s="29" t="s">
        <v>25</v>
      </c>
      <c r="CV484" s="29" t="s">
        <v>25</v>
      </c>
      <c r="CW484" s="29" t="s">
        <v>25</v>
      </c>
      <c r="CX484" s="35">
        <v>0</v>
      </c>
      <c r="CY484" s="49">
        <v>0</v>
      </c>
      <c r="CZ484" s="35">
        <v>1</v>
      </c>
      <c r="DA484" s="35">
        <v>1</v>
      </c>
      <c r="DB484" s="35">
        <v>2</v>
      </c>
      <c r="DC484" s="49">
        <f t="shared" si="212"/>
        <v>2179</v>
      </c>
      <c r="DD484" s="30">
        <v>167</v>
      </c>
      <c r="DE484" s="31">
        <v>24960</v>
      </c>
      <c r="DF484" s="35">
        <v>40</v>
      </c>
      <c r="DG484" s="29" t="s">
        <v>25</v>
      </c>
      <c r="DH484" s="29" t="s">
        <v>26</v>
      </c>
      <c r="DI484" s="29" t="s">
        <v>26</v>
      </c>
      <c r="DJ484" s="47">
        <v>0</v>
      </c>
      <c r="DK484" s="47">
        <v>0</v>
      </c>
      <c r="DL484" s="47">
        <v>6</v>
      </c>
      <c r="DM484" s="47">
        <v>9283</v>
      </c>
      <c r="DN484" s="47">
        <v>1507</v>
      </c>
      <c r="DO484" s="47">
        <v>456</v>
      </c>
      <c r="DP484" s="29" t="s">
        <v>2028</v>
      </c>
      <c r="DQ484" s="47">
        <v>0</v>
      </c>
      <c r="DR484" s="47">
        <v>2562</v>
      </c>
      <c r="DS484" s="30">
        <v>52</v>
      </c>
      <c r="DT484" s="30">
        <v>50</v>
      </c>
      <c r="DU484" s="30">
        <v>50</v>
      </c>
      <c r="DV484" s="30">
        <v>50</v>
      </c>
      <c r="DX484" s="2">
        <f t="shared" si="213"/>
        <v>2562</v>
      </c>
      <c r="DY484" s="33" t="s">
        <v>2185</v>
      </c>
      <c r="DZ484" s="33" t="s">
        <v>1238</v>
      </c>
      <c r="EA484" s="33" t="s">
        <v>2030</v>
      </c>
      <c r="EB484" s="33" t="s">
        <v>2027</v>
      </c>
      <c r="EC484" s="36">
        <v>370</v>
      </c>
      <c r="ED484" s="29" t="s">
        <v>1236</v>
      </c>
      <c r="EE484" s="29" t="s">
        <v>772</v>
      </c>
      <c r="EF484" s="37">
        <v>41640</v>
      </c>
      <c r="EG484" s="37">
        <v>42004</v>
      </c>
      <c r="EH484" s="29" t="s">
        <v>1236</v>
      </c>
      <c r="EI484" s="55">
        <f t="shared" si="214"/>
        <v>1.1067003212482791</v>
      </c>
      <c r="EJ484" s="54">
        <f t="shared" si="215"/>
        <v>0</v>
      </c>
      <c r="EK484" s="55">
        <f t="shared" si="216"/>
        <v>4.0006883891693441</v>
      </c>
      <c r="EL484" s="54">
        <f t="shared" si="217"/>
        <v>0</v>
      </c>
    </row>
    <row r="485" spans="1:142" ht="28.8" x14ac:dyDescent="0.3">
      <c r="A485" s="29" t="s">
        <v>1736</v>
      </c>
      <c r="B485" s="29"/>
      <c r="C485" s="30">
        <v>28234</v>
      </c>
      <c r="D485" s="30">
        <v>0</v>
      </c>
      <c r="E485" s="30">
        <v>0</v>
      </c>
      <c r="F485" s="30">
        <v>12175</v>
      </c>
      <c r="H485" s="2">
        <f t="shared" si="193"/>
        <v>12175</v>
      </c>
      <c r="I485" s="1">
        <f t="shared" si="192"/>
        <v>0.43121768081037049</v>
      </c>
      <c r="J485" s="31">
        <v>409107</v>
      </c>
      <c r="K485" s="31">
        <v>106021</v>
      </c>
      <c r="L485" s="31">
        <v>515128</v>
      </c>
      <c r="M485" s="45">
        <f t="shared" si="194"/>
        <v>18.244952893674295</v>
      </c>
      <c r="N485" s="31">
        <v>60799</v>
      </c>
      <c r="O485" s="31">
        <v>18216</v>
      </c>
      <c r="P485" s="31">
        <v>17852</v>
      </c>
      <c r="Q485" s="31">
        <v>96867</v>
      </c>
      <c r="R485" s="45">
        <f t="shared" si="195"/>
        <v>3.430863497910321</v>
      </c>
      <c r="S485" s="31">
        <v>63453</v>
      </c>
      <c r="T485" s="31">
        <v>675448</v>
      </c>
      <c r="U485" s="31">
        <v>0</v>
      </c>
      <c r="V485" s="31">
        <v>675448</v>
      </c>
      <c r="W485" s="45">
        <f t="shared" si="196"/>
        <v>23.923213147269252</v>
      </c>
      <c r="X485" s="4">
        <f t="shared" si="197"/>
        <v>0.7626464213381341</v>
      </c>
      <c r="Y485" s="4">
        <f t="shared" si="198"/>
        <v>0.14341148393362627</v>
      </c>
      <c r="Z485" s="4">
        <f t="shared" si="199"/>
        <v>9.3942094728239625E-2</v>
      </c>
      <c r="AA485" s="4">
        <f t="shared" si="200"/>
        <v>0</v>
      </c>
      <c r="AB485" s="31">
        <v>0</v>
      </c>
      <c r="AC485" s="31">
        <v>96867</v>
      </c>
      <c r="AD485" s="31">
        <v>674926</v>
      </c>
      <c r="AE485" s="31">
        <v>662929</v>
      </c>
      <c r="AF485" s="31">
        <v>662929</v>
      </c>
      <c r="AG485" s="31">
        <v>0</v>
      </c>
      <c r="AH485" s="31">
        <v>0</v>
      </c>
      <c r="AI485" s="31">
        <v>662929</v>
      </c>
      <c r="AJ485" s="45">
        <f t="shared" si="201"/>
        <v>23.479811574697173</v>
      </c>
      <c r="AK485" s="31">
        <v>522</v>
      </c>
      <c r="AL485" s="31">
        <v>0</v>
      </c>
      <c r="AM485" s="31">
        <v>0</v>
      </c>
      <c r="AN485" s="31">
        <v>0</v>
      </c>
      <c r="AO485" s="31">
        <v>4597</v>
      </c>
      <c r="AP485" s="31">
        <v>7400</v>
      </c>
      <c r="AQ485" s="31">
        <v>11997</v>
      </c>
      <c r="AR485" s="31">
        <v>675448</v>
      </c>
      <c r="AS485" s="46">
        <f t="shared" si="202"/>
        <v>23.923213147269252</v>
      </c>
      <c r="AT485" s="31">
        <v>0</v>
      </c>
      <c r="AU485" s="31">
        <v>0</v>
      </c>
      <c r="AV485" s="31">
        <v>0</v>
      </c>
      <c r="AW485" s="31">
        <v>0</v>
      </c>
      <c r="AX485" s="31">
        <v>0</v>
      </c>
      <c r="AY485" s="31">
        <v>0</v>
      </c>
      <c r="AZ485" s="31">
        <v>0</v>
      </c>
      <c r="BA485" s="31">
        <v>0</v>
      </c>
      <c r="BB485" s="31">
        <v>0</v>
      </c>
      <c r="BC485" s="33" t="s">
        <v>25</v>
      </c>
      <c r="BD485" s="47">
        <v>35677</v>
      </c>
      <c r="BE485" s="47">
        <v>39036</v>
      </c>
      <c r="BF485" s="45">
        <f t="shared" si="203"/>
        <v>1.3825883686335623</v>
      </c>
      <c r="BG485" s="30">
        <v>1672</v>
      </c>
      <c r="BH485" s="30">
        <v>1736</v>
      </c>
      <c r="BI485" s="30">
        <v>311</v>
      </c>
      <c r="BJ485" s="30">
        <v>4922</v>
      </c>
      <c r="BK485" s="30">
        <v>5731</v>
      </c>
      <c r="BL485" s="30">
        <v>0</v>
      </c>
      <c r="BM485" s="30">
        <v>1305</v>
      </c>
      <c r="BN485" s="30">
        <v>4</v>
      </c>
      <c r="BO485" s="30">
        <v>51</v>
      </c>
      <c r="BP485" s="30">
        <v>0</v>
      </c>
      <c r="BQ485" s="30">
        <v>55</v>
      </c>
      <c r="BR485" s="47">
        <v>42271</v>
      </c>
      <c r="BS485" s="47">
        <v>48123</v>
      </c>
      <c r="BT485" s="1">
        <f t="shared" si="204"/>
        <v>1.7044343699086208</v>
      </c>
      <c r="BU485" s="30">
        <v>119</v>
      </c>
      <c r="BV485" s="30">
        <v>0</v>
      </c>
      <c r="BW485" s="47">
        <v>6169</v>
      </c>
      <c r="BX485" s="52">
        <f t="shared" si="205"/>
        <v>0.21849543104058936</v>
      </c>
      <c r="BY485" s="47">
        <v>153806</v>
      </c>
      <c r="BZ485" s="47">
        <v>1681</v>
      </c>
      <c r="CA485" s="47">
        <v>133994</v>
      </c>
      <c r="CB485" s="47">
        <v>12123</v>
      </c>
      <c r="CC485" s="47">
        <v>301604</v>
      </c>
      <c r="CD485" s="55">
        <f t="shared" si="206"/>
        <v>10.682297938655521</v>
      </c>
      <c r="CE485" s="3">
        <f t="shared" si="207"/>
        <v>31831.55672823219</v>
      </c>
      <c r="CF485" s="55">
        <f t="shared" si="208"/>
        <v>107.94702934860415</v>
      </c>
      <c r="CG485" s="55">
        <f t="shared" si="209"/>
        <v>1.8271832308484537</v>
      </c>
      <c r="CH485" s="55">
        <f t="shared" si="210"/>
        <v>5.9805082808636207</v>
      </c>
      <c r="CI485" s="30">
        <v>352</v>
      </c>
      <c r="CJ485" s="30">
        <v>1</v>
      </c>
      <c r="CK485" s="30">
        <v>13</v>
      </c>
      <c r="CL485" s="30">
        <v>366</v>
      </c>
      <c r="CM485" s="30">
        <v>34131</v>
      </c>
      <c r="CN485" s="30">
        <v>250</v>
      </c>
      <c r="CO485" s="30">
        <v>1016</v>
      </c>
      <c r="CP485" s="30">
        <v>35397</v>
      </c>
      <c r="CQ485" s="1">
        <f t="shared" si="218"/>
        <v>1.2537012113055181</v>
      </c>
      <c r="CR485" s="47">
        <v>165065</v>
      </c>
      <c r="CS485" s="55">
        <f t="shared" si="211"/>
        <v>5.8463200396684849</v>
      </c>
      <c r="CT485" s="59">
        <v>16721</v>
      </c>
      <c r="CU485" s="29" t="s">
        <v>25</v>
      </c>
      <c r="CV485" s="29" t="s">
        <v>25</v>
      </c>
      <c r="CW485" s="29" t="s">
        <v>25</v>
      </c>
      <c r="CX485" s="35">
        <v>4</v>
      </c>
      <c r="CY485" s="49">
        <f>C485/CX485</f>
        <v>7058.5</v>
      </c>
      <c r="CZ485" s="35">
        <v>0</v>
      </c>
      <c r="DA485" s="35">
        <v>5.4749999999999996</v>
      </c>
      <c r="DB485" s="35">
        <v>9.4749999999999996</v>
      </c>
      <c r="DC485" s="49">
        <f t="shared" si="212"/>
        <v>2979.8416886543537</v>
      </c>
      <c r="DD485" s="30">
        <v>3588</v>
      </c>
      <c r="DE485" s="31">
        <v>65688</v>
      </c>
      <c r="DF485" s="35">
        <v>40</v>
      </c>
      <c r="DG485" s="29" t="s">
        <v>25</v>
      </c>
      <c r="DH485" s="29" t="s">
        <v>26</v>
      </c>
      <c r="DI485" s="29" t="s">
        <v>26</v>
      </c>
      <c r="DJ485" s="47">
        <v>439</v>
      </c>
      <c r="DK485" s="47">
        <v>0</v>
      </c>
      <c r="DL485" s="47">
        <v>10</v>
      </c>
      <c r="DM485" s="47">
        <v>8060</v>
      </c>
      <c r="DN485" s="47">
        <v>420</v>
      </c>
      <c r="DO485" s="47">
        <v>4236</v>
      </c>
      <c r="DP485" s="29" t="s">
        <v>2028</v>
      </c>
      <c r="DQ485" s="47">
        <v>0</v>
      </c>
      <c r="DR485" s="47">
        <v>2794</v>
      </c>
      <c r="DS485" s="30">
        <v>52</v>
      </c>
      <c r="DT485" s="30">
        <v>56</v>
      </c>
      <c r="DU485" s="30">
        <v>56</v>
      </c>
      <c r="DV485" s="30">
        <v>56</v>
      </c>
      <c r="DX485" s="2">
        <f t="shared" si="213"/>
        <v>2794</v>
      </c>
      <c r="DY485" s="33" t="s">
        <v>2181</v>
      </c>
      <c r="DZ485" s="33" t="s">
        <v>1738</v>
      </c>
      <c r="EA485" s="33" t="s">
        <v>2030</v>
      </c>
      <c r="EB485" s="33" t="s">
        <v>2027</v>
      </c>
      <c r="EC485" s="36">
        <v>602</v>
      </c>
      <c r="ED485" s="29" t="s">
        <v>1737</v>
      </c>
      <c r="EE485" s="29" t="s">
        <v>91</v>
      </c>
      <c r="EF485" s="37">
        <v>41548</v>
      </c>
      <c r="EG485" s="37">
        <v>41912</v>
      </c>
      <c r="EH485" s="29" t="s">
        <v>1737</v>
      </c>
      <c r="EI485" s="55">
        <f t="shared" si="214"/>
        <v>5.4475455125026562</v>
      </c>
      <c r="EJ485" s="54">
        <f t="shared" si="215"/>
        <v>5.9538145498335339E-2</v>
      </c>
      <c r="EK485" s="55">
        <f t="shared" si="216"/>
        <v>4.7458383509244175</v>
      </c>
      <c r="EL485" s="54">
        <f t="shared" si="217"/>
        <v>0.42937592973011263</v>
      </c>
    </row>
    <row r="486" spans="1:142" ht="28.8" x14ac:dyDescent="0.3">
      <c r="A486" s="29" t="s">
        <v>1239</v>
      </c>
      <c r="B486" s="29"/>
      <c r="C486" s="30">
        <v>4101</v>
      </c>
      <c r="D486" s="30">
        <v>0</v>
      </c>
      <c r="E486" s="30">
        <v>0</v>
      </c>
      <c r="F486" s="30">
        <v>8550</v>
      </c>
      <c r="H486" s="2">
        <f t="shared" si="193"/>
        <v>8550</v>
      </c>
      <c r="I486" s="1">
        <f t="shared" si="192"/>
        <v>2.0848573518653986</v>
      </c>
      <c r="J486" s="31">
        <v>47105</v>
      </c>
      <c r="K486" s="31">
        <v>7864</v>
      </c>
      <c r="L486" s="31">
        <v>54969</v>
      </c>
      <c r="M486" s="45">
        <f t="shared" si="194"/>
        <v>13.403803950256036</v>
      </c>
      <c r="N486" s="31">
        <v>9855</v>
      </c>
      <c r="O486" s="31">
        <v>0</v>
      </c>
      <c r="P486" s="31">
        <v>0</v>
      </c>
      <c r="Q486" s="31">
        <v>9855</v>
      </c>
      <c r="R486" s="45">
        <f t="shared" si="195"/>
        <v>2.4030724213606436</v>
      </c>
      <c r="S486" s="31">
        <v>34894</v>
      </c>
      <c r="T486" s="31">
        <v>99718</v>
      </c>
      <c r="U486" s="31">
        <v>0</v>
      </c>
      <c r="V486" s="31">
        <v>99718</v>
      </c>
      <c r="W486" s="45">
        <f t="shared" si="196"/>
        <v>24.315532796878809</v>
      </c>
      <c r="X486" s="4">
        <f t="shared" si="197"/>
        <v>0.55124450951683746</v>
      </c>
      <c r="Y486" s="4">
        <f t="shared" si="198"/>
        <v>9.8828696925329432E-2</v>
      </c>
      <c r="Z486" s="4">
        <f t="shared" si="199"/>
        <v>0.34992679355783307</v>
      </c>
      <c r="AA486" s="4">
        <f t="shared" si="200"/>
        <v>0</v>
      </c>
      <c r="AB486" s="31">
        <v>0</v>
      </c>
      <c r="AC486" s="31">
        <v>9855</v>
      </c>
      <c r="AD486" s="31">
        <v>99718</v>
      </c>
      <c r="AE486" s="31">
        <v>72600</v>
      </c>
      <c r="AF486" s="31">
        <v>37200</v>
      </c>
      <c r="AG486" s="31">
        <v>35400</v>
      </c>
      <c r="AH486" s="31">
        <v>0</v>
      </c>
      <c r="AI486" s="31">
        <v>72600</v>
      </c>
      <c r="AJ486" s="45">
        <f t="shared" si="201"/>
        <v>17.702999268471103</v>
      </c>
      <c r="AK486" s="31">
        <v>0</v>
      </c>
      <c r="AL486" s="31">
        <v>0</v>
      </c>
      <c r="AM486" s="31">
        <v>0</v>
      </c>
      <c r="AN486" s="31">
        <v>0</v>
      </c>
      <c r="AO486" s="31">
        <v>800</v>
      </c>
      <c r="AP486" s="31">
        <v>15472</v>
      </c>
      <c r="AQ486" s="31">
        <v>16272</v>
      </c>
      <c r="AR486" s="31">
        <v>88872</v>
      </c>
      <c r="AS486" s="46">
        <f t="shared" si="202"/>
        <v>21.670811997073884</v>
      </c>
      <c r="AT486" s="31">
        <v>0</v>
      </c>
      <c r="AU486" s="31">
        <v>0</v>
      </c>
      <c r="AV486" s="31">
        <v>0</v>
      </c>
      <c r="AW486" s="31">
        <v>0</v>
      </c>
      <c r="AX486" s="31">
        <v>0</v>
      </c>
      <c r="AY486" s="31">
        <v>0</v>
      </c>
      <c r="AZ486" s="31">
        <v>0</v>
      </c>
      <c r="BA486" s="31">
        <v>0</v>
      </c>
      <c r="BB486" s="31">
        <v>0</v>
      </c>
      <c r="BC486" s="33" t="s">
        <v>25</v>
      </c>
      <c r="BD486" s="47">
        <v>17870</v>
      </c>
      <c r="BE486" s="47">
        <v>17890</v>
      </c>
      <c r="BF486" s="45">
        <f t="shared" si="203"/>
        <v>4.3623506461838577</v>
      </c>
      <c r="BG486" s="30">
        <v>1001</v>
      </c>
      <c r="BH486" s="30">
        <v>1001</v>
      </c>
      <c r="BI486" s="30">
        <v>948</v>
      </c>
      <c r="BJ486" s="30">
        <v>1147</v>
      </c>
      <c r="BK486" s="30">
        <v>1147</v>
      </c>
      <c r="BL486" s="30">
        <v>23</v>
      </c>
      <c r="BM486" s="30">
        <v>3413</v>
      </c>
      <c r="BN486" s="30">
        <v>0</v>
      </c>
      <c r="BO486" s="30">
        <v>51</v>
      </c>
      <c r="BP486" s="30">
        <v>16</v>
      </c>
      <c r="BQ486" s="30">
        <v>67</v>
      </c>
      <c r="BR486" s="47">
        <v>20018</v>
      </c>
      <c r="BS486" s="47">
        <v>24422</v>
      </c>
      <c r="BT486" s="1">
        <f t="shared" si="204"/>
        <v>5.9551328944159962</v>
      </c>
      <c r="BU486" s="30">
        <v>24</v>
      </c>
      <c r="BV486" s="30">
        <v>0</v>
      </c>
      <c r="BW486" s="47">
        <v>546</v>
      </c>
      <c r="BX486" s="52">
        <f t="shared" si="205"/>
        <v>0.13313825896122897</v>
      </c>
      <c r="BY486" s="47">
        <v>2567</v>
      </c>
      <c r="BZ486" s="47">
        <v>53</v>
      </c>
      <c r="CA486" s="47">
        <v>14754</v>
      </c>
      <c r="CB486" s="47">
        <v>239</v>
      </c>
      <c r="CC486" s="47">
        <v>17613</v>
      </c>
      <c r="CD486" s="55">
        <f t="shared" si="206"/>
        <v>4.2948061448427213</v>
      </c>
      <c r="CE486" s="3">
        <f t="shared" si="207"/>
        <v>8806.5</v>
      </c>
      <c r="CF486" s="55">
        <f t="shared" si="208"/>
        <v>10.210434782608695</v>
      </c>
      <c r="CG486" s="55">
        <f t="shared" si="209"/>
        <v>1.4209762000806776</v>
      </c>
      <c r="CH486" s="55">
        <f t="shared" si="210"/>
        <v>0.70923757268037013</v>
      </c>
      <c r="CI486" s="30">
        <v>4</v>
      </c>
      <c r="CJ486" s="30">
        <v>0</v>
      </c>
      <c r="CK486" s="30">
        <v>1</v>
      </c>
      <c r="CL486" s="30">
        <v>5</v>
      </c>
      <c r="CM486" s="30">
        <v>100</v>
      </c>
      <c r="CN486" s="30">
        <v>0</v>
      </c>
      <c r="CO486" s="30">
        <v>13</v>
      </c>
      <c r="CP486" s="30">
        <v>113</v>
      </c>
      <c r="CQ486" s="1">
        <f t="shared" si="218"/>
        <v>2.7554255059741527E-2</v>
      </c>
      <c r="CR486" s="47">
        <v>12395</v>
      </c>
      <c r="CS486" s="55">
        <f t="shared" si="211"/>
        <v>3.0224335527920019</v>
      </c>
      <c r="CT486" s="59">
        <v>3134</v>
      </c>
      <c r="CU486" s="29" t="s">
        <v>25</v>
      </c>
      <c r="CV486" s="29" t="s">
        <v>25</v>
      </c>
      <c r="CW486" s="29" t="s">
        <v>25</v>
      </c>
      <c r="CX486" s="35">
        <v>0</v>
      </c>
      <c r="CY486" s="49">
        <v>0</v>
      </c>
      <c r="CZ486" s="35">
        <v>1</v>
      </c>
      <c r="DA486" s="35">
        <v>1</v>
      </c>
      <c r="DB486" s="35">
        <v>2</v>
      </c>
      <c r="DC486" s="49">
        <f t="shared" si="212"/>
        <v>2050.5</v>
      </c>
      <c r="DD486" s="30">
        <v>360</v>
      </c>
      <c r="DE486" s="31">
        <v>27405</v>
      </c>
      <c r="DF486" s="35">
        <v>40</v>
      </c>
      <c r="DG486" s="29" t="s">
        <v>25</v>
      </c>
      <c r="DH486" s="29" t="s">
        <v>25</v>
      </c>
      <c r="DI486" s="29" t="s">
        <v>25</v>
      </c>
      <c r="DJ486" s="47">
        <v>67</v>
      </c>
      <c r="DK486" s="47">
        <v>57</v>
      </c>
      <c r="DL486" s="47">
        <v>6</v>
      </c>
      <c r="DM486" s="47">
        <v>1312</v>
      </c>
      <c r="DN486" s="47">
        <v>12</v>
      </c>
      <c r="DO486" s="47">
        <v>260</v>
      </c>
      <c r="DP486" s="29" t="s">
        <v>25</v>
      </c>
      <c r="DQ486" s="47">
        <v>9888</v>
      </c>
      <c r="DR486" s="47">
        <v>1725</v>
      </c>
      <c r="DS486" s="30">
        <v>52</v>
      </c>
      <c r="DT486" s="30">
        <v>40</v>
      </c>
      <c r="DU486" s="30">
        <v>40</v>
      </c>
      <c r="DV486" s="30">
        <v>40</v>
      </c>
      <c r="DX486" s="2">
        <f t="shared" si="213"/>
        <v>1725</v>
      </c>
      <c r="DY486" s="33" t="s">
        <v>2184</v>
      </c>
      <c r="DZ486" s="33" t="s">
        <v>1241</v>
      </c>
      <c r="EA486" s="33" t="s">
        <v>2032</v>
      </c>
      <c r="EB486" s="33" t="s">
        <v>2027</v>
      </c>
      <c r="EC486" s="36">
        <v>371</v>
      </c>
      <c r="ED486" s="29" t="s">
        <v>1240</v>
      </c>
      <c r="EE486" s="29" t="s">
        <v>624</v>
      </c>
      <c r="EF486" s="37">
        <v>41640</v>
      </c>
      <c r="EG486" s="37">
        <v>42004</v>
      </c>
      <c r="EH486" s="29" t="s">
        <v>1240</v>
      </c>
      <c r="EI486" s="55">
        <f t="shared" si="214"/>
        <v>0.62594489148988053</v>
      </c>
      <c r="EJ486" s="54">
        <f t="shared" si="215"/>
        <v>1.2923677151914167E-2</v>
      </c>
      <c r="EK486" s="55">
        <f t="shared" si="216"/>
        <v>3.5976591075347475</v>
      </c>
      <c r="EL486" s="54">
        <f t="shared" si="217"/>
        <v>5.827846866617898E-2</v>
      </c>
    </row>
    <row r="487" spans="1:142" ht="28.8" x14ac:dyDescent="0.3">
      <c r="A487" s="29" t="s">
        <v>1426</v>
      </c>
      <c r="B487" s="29"/>
      <c r="C487" s="30">
        <v>9421</v>
      </c>
      <c r="D487" s="30">
        <v>0</v>
      </c>
      <c r="E487" s="30">
        <v>0</v>
      </c>
      <c r="F487" s="30">
        <v>2800</v>
      </c>
      <c r="H487" s="2">
        <f t="shared" si="193"/>
        <v>2800</v>
      </c>
      <c r="I487" s="1">
        <f t="shared" si="192"/>
        <v>0.29720836429253794</v>
      </c>
      <c r="J487" s="31">
        <v>65693</v>
      </c>
      <c r="K487" s="31">
        <v>13564</v>
      </c>
      <c r="L487" s="31">
        <v>79257</v>
      </c>
      <c r="M487" s="45">
        <f t="shared" si="194"/>
        <v>8.4128011888334573</v>
      </c>
      <c r="N487" s="31">
        <v>9642</v>
      </c>
      <c r="O487" s="31">
        <v>2000</v>
      </c>
      <c r="P487" s="31">
        <v>0</v>
      </c>
      <c r="Q487" s="31">
        <v>11642</v>
      </c>
      <c r="R487" s="45">
        <f t="shared" si="195"/>
        <v>1.2357499203906168</v>
      </c>
      <c r="S487" s="31">
        <v>14523</v>
      </c>
      <c r="T487" s="31">
        <v>105422</v>
      </c>
      <c r="U487" s="31">
        <v>0</v>
      </c>
      <c r="V487" s="31">
        <v>105422</v>
      </c>
      <c r="W487" s="45">
        <f t="shared" si="196"/>
        <v>11.190107207302834</v>
      </c>
      <c r="X487" s="4">
        <f t="shared" si="197"/>
        <v>0.75180702320198822</v>
      </c>
      <c r="Y487" s="4">
        <f t="shared" si="198"/>
        <v>0.11043235757242321</v>
      </c>
      <c r="Z487" s="4">
        <f t="shared" si="199"/>
        <v>0.13776061922558858</v>
      </c>
      <c r="AA487" s="4">
        <f t="shared" si="200"/>
        <v>0</v>
      </c>
      <c r="AB487" s="31">
        <v>20000</v>
      </c>
      <c r="AC487" s="31">
        <v>11642</v>
      </c>
      <c r="AD487" s="31">
        <v>105422</v>
      </c>
      <c r="AE487" s="31">
        <v>105422</v>
      </c>
      <c r="AF487" s="31">
        <v>89492</v>
      </c>
      <c r="AG487" s="31">
        <v>15930</v>
      </c>
      <c r="AH487" s="31">
        <v>0</v>
      </c>
      <c r="AI487" s="31">
        <v>105422</v>
      </c>
      <c r="AJ487" s="45">
        <f t="shared" si="201"/>
        <v>11.190107207302834</v>
      </c>
      <c r="AK487" s="31">
        <v>0</v>
      </c>
      <c r="AL487" s="31">
        <v>0</v>
      </c>
      <c r="AM487" s="31">
        <v>0</v>
      </c>
      <c r="AN487" s="31">
        <v>0</v>
      </c>
      <c r="AO487" s="31">
        <v>0</v>
      </c>
      <c r="AP487" s="31">
        <v>0</v>
      </c>
      <c r="AQ487" s="31">
        <v>0</v>
      </c>
      <c r="AR487" s="31">
        <v>105422</v>
      </c>
      <c r="AS487" s="46">
        <f t="shared" si="202"/>
        <v>11.190107207302834</v>
      </c>
      <c r="AT487" s="31">
        <v>20000</v>
      </c>
      <c r="AU487" s="31">
        <v>0</v>
      </c>
      <c r="AV487" s="31">
        <v>0</v>
      </c>
      <c r="AW487" s="31">
        <v>0</v>
      </c>
      <c r="AX487" s="31">
        <v>0</v>
      </c>
      <c r="AY487" s="31">
        <v>0</v>
      </c>
      <c r="AZ487" s="31">
        <v>0</v>
      </c>
      <c r="BA487" s="31">
        <v>0</v>
      </c>
      <c r="BB487" s="31">
        <v>20000</v>
      </c>
      <c r="BC487" s="33" t="s">
        <v>25</v>
      </c>
      <c r="BD487" s="47">
        <v>15546</v>
      </c>
      <c r="BE487" s="47">
        <v>15959</v>
      </c>
      <c r="BF487" s="45">
        <f t="shared" si="203"/>
        <v>1.6939815306230761</v>
      </c>
      <c r="BG487" s="30">
        <v>533</v>
      </c>
      <c r="BH487" s="30">
        <v>540</v>
      </c>
      <c r="BI487" s="30">
        <v>4771</v>
      </c>
      <c r="BJ487" s="30">
        <v>1301</v>
      </c>
      <c r="BK487" s="30">
        <v>1321</v>
      </c>
      <c r="BL487" s="30">
        <v>0</v>
      </c>
      <c r="BM487" s="30">
        <v>10616</v>
      </c>
      <c r="BN487" s="30">
        <v>1</v>
      </c>
      <c r="BO487" s="30">
        <v>0</v>
      </c>
      <c r="BP487" s="30">
        <v>0</v>
      </c>
      <c r="BQ487" s="30">
        <v>1</v>
      </c>
      <c r="BR487" s="47">
        <v>17380</v>
      </c>
      <c r="BS487" s="47">
        <v>33208</v>
      </c>
      <c r="BT487" s="1">
        <f t="shared" si="204"/>
        <v>3.5248912005094999</v>
      </c>
      <c r="BU487" s="30">
        <v>7</v>
      </c>
      <c r="BV487" s="30">
        <v>85</v>
      </c>
      <c r="BW487" s="47">
        <v>130</v>
      </c>
      <c r="BX487" s="52">
        <f t="shared" si="205"/>
        <v>1.3798959770724976E-2</v>
      </c>
      <c r="BY487" s="47">
        <v>7432</v>
      </c>
      <c r="BZ487" s="47">
        <v>55</v>
      </c>
      <c r="CA487" s="47">
        <v>25667</v>
      </c>
      <c r="CB487" s="47">
        <v>1197</v>
      </c>
      <c r="CC487" s="47">
        <v>34351</v>
      </c>
      <c r="CD487" s="55">
        <f t="shared" si="206"/>
        <v>3.6462159006474897</v>
      </c>
      <c r="CE487" s="3">
        <f t="shared" si="207"/>
        <v>13470.980392156864</v>
      </c>
      <c r="CF487" s="55">
        <f t="shared" si="208"/>
        <v>17.826154644525168</v>
      </c>
      <c r="CG487" s="55">
        <f t="shared" si="209"/>
        <v>1.9555391096436296</v>
      </c>
      <c r="CH487" s="55">
        <f t="shared" si="210"/>
        <v>0.99671765839556736</v>
      </c>
      <c r="CI487" s="30">
        <v>5</v>
      </c>
      <c r="CJ487" s="30">
        <v>0</v>
      </c>
      <c r="CK487" s="30">
        <v>0</v>
      </c>
      <c r="CL487" s="30">
        <v>5</v>
      </c>
      <c r="CM487" s="30">
        <v>269</v>
      </c>
      <c r="CN487" s="30">
        <v>0</v>
      </c>
      <c r="CO487" s="30">
        <v>0</v>
      </c>
      <c r="CP487" s="30">
        <v>269</v>
      </c>
      <c r="CQ487" s="1">
        <f t="shared" si="218"/>
        <v>2.8553232140961681E-2</v>
      </c>
      <c r="CR487" s="47">
        <v>17566</v>
      </c>
      <c r="CS487" s="55">
        <f t="shared" si="211"/>
        <v>1.8645579025581149</v>
      </c>
      <c r="CT487" s="59">
        <v>4787</v>
      </c>
      <c r="CU487" s="29" t="s">
        <v>25</v>
      </c>
      <c r="CV487" s="29" t="s">
        <v>25</v>
      </c>
      <c r="CW487" s="29" t="s">
        <v>25</v>
      </c>
      <c r="CX487" s="35">
        <v>0.57499999999999996</v>
      </c>
      <c r="CY487" s="49">
        <f>C487/CX487</f>
        <v>16384.347826086956</v>
      </c>
      <c r="CZ487" s="35">
        <v>0.85</v>
      </c>
      <c r="DA487" s="35">
        <v>1.125</v>
      </c>
      <c r="DB487" s="35">
        <v>2.5499999999999998</v>
      </c>
      <c r="DC487" s="49">
        <f t="shared" si="212"/>
        <v>3694.5098039215691</v>
      </c>
      <c r="DD487" s="30">
        <v>41</v>
      </c>
      <c r="DE487" s="31">
        <v>25485</v>
      </c>
      <c r="DF487" s="35">
        <v>34</v>
      </c>
      <c r="DG487" s="29" t="s">
        <v>25</v>
      </c>
      <c r="DH487" s="29" t="s">
        <v>25</v>
      </c>
      <c r="DI487" s="29" t="s">
        <v>25</v>
      </c>
      <c r="DJ487" s="47">
        <v>2006</v>
      </c>
      <c r="DK487" s="47">
        <v>1745</v>
      </c>
      <c r="DL487" s="47">
        <v>7</v>
      </c>
      <c r="DM487" s="47">
        <v>4720</v>
      </c>
      <c r="DN487" s="47">
        <v>4</v>
      </c>
      <c r="DO487" s="47">
        <v>3120</v>
      </c>
      <c r="DP487" s="29" t="s">
        <v>25</v>
      </c>
      <c r="DQ487" s="47">
        <v>9103</v>
      </c>
      <c r="DR487" s="47">
        <v>1927</v>
      </c>
      <c r="DS487" s="30">
        <v>52</v>
      </c>
      <c r="DT487" s="30">
        <v>38</v>
      </c>
      <c r="DU487" s="30">
        <v>38</v>
      </c>
      <c r="DV487" s="30">
        <v>38</v>
      </c>
      <c r="DX487" s="2">
        <f t="shared" si="213"/>
        <v>1927</v>
      </c>
      <c r="DY487" s="33" t="s">
        <v>2181</v>
      </c>
      <c r="DZ487" s="33" t="s">
        <v>1428</v>
      </c>
      <c r="EA487" s="33" t="s">
        <v>2030</v>
      </c>
      <c r="EB487" s="33" t="s">
        <v>2026</v>
      </c>
      <c r="EC487" s="36">
        <v>448</v>
      </c>
      <c r="ED487" s="29" t="s">
        <v>1427</v>
      </c>
      <c r="EE487" s="29" t="s">
        <v>1325</v>
      </c>
      <c r="EF487" s="37">
        <v>41548</v>
      </c>
      <c r="EG487" s="37">
        <v>41912</v>
      </c>
      <c r="EH487" s="29" t="s">
        <v>1427</v>
      </c>
      <c r="EI487" s="55">
        <f t="shared" si="214"/>
        <v>0.78887591550790781</v>
      </c>
      <c r="EJ487" s="54">
        <f t="shared" si="215"/>
        <v>5.8380214414605665E-3</v>
      </c>
      <c r="EK487" s="55">
        <f t="shared" si="216"/>
        <v>2.7244453879630615</v>
      </c>
      <c r="EL487" s="54">
        <f t="shared" si="217"/>
        <v>0.12705657573505996</v>
      </c>
    </row>
    <row r="488" spans="1:142" ht="43.2" x14ac:dyDescent="0.3">
      <c r="A488" s="29" t="s">
        <v>1242</v>
      </c>
      <c r="B488" s="29"/>
      <c r="C488" s="30">
        <v>2291</v>
      </c>
      <c r="D488" s="30">
        <v>0</v>
      </c>
      <c r="E488" s="30">
        <v>0</v>
      </c>
      <c r="F488" s="30">
        <v>5000</v>
      </c>
      <c r="H488" s="2">
        <f t="shared" si="193"/>
        <v>5000</v>
      </c>
      <c r="I488" s="1">
        <f t="shared" si="192"/>
        <v>2.1824530772588391</v>
      </c>
      <c r="J488" s="31">
        <v>12534</v>
      </c>
      <c r="K488" s="31">
        <v>214</v>
      </c>
      <c r="L488" s="31">
        <v>12748</v>
      </c>
      <c r="M488" s="45">
        <f t="shared" si="194"/>
        <v>5.564382365779136</v>
      </c>
      <c r="N488" s="31">
        <v>2720</v>
      </c>
      <c r="O488" s="31">
        <v>1500</v>
      </c>
      <c r="P488" s="31">
        <v>0</v>
      </c>
      <c r="Q488" s="31">
        <v>4220</v>
      </c>
      <c r="R488" s="45">
        <f t="shared" si="195"/>
        <v>1.84199039720646</v>
      </c>
      <c r="S488" s="31">
        <v>9474</v>
      </c>
      <c r="T488" s="31">
        <v>26442</v>
      </c>
      <c r="U488" s="31">
        <v>0</v>
      </c>
      <c r="V488" s="31">
        <v>26442</v>
      </c>
      <c r="W488" s="45">
        <f t="shared" si="196"/>
        <v>11.541684853775644</v>
      </c>
      <c r="X488" s="4">
        <f t="shared" si="197"/>
        <v>0.48211179184630509</v>
      </c>
      <c r="Y488" s="4">
        <f t="shared" si="198"/>
        <v>0.15959458437334542</v>
      </c>
      <c r="Z488" s="4">
        <f t="shared" si="199"/>
        <v>0.35829362378034946</v>
      </c>
      <c r="AA488" s="4">
        <f t="shared" si="200"/>
        <v>0</v>
      </c>
      <c r="AB488" s="31">
        <v>0</v>
      </c>
      <c r="AC488" s="31">
        <v>4220</v>
      </c>
      <c r="AD488" s="31">
        <v>22008</v>
      </c>
      <c r="AE488" s="31">
        <v>15000</v>
      </c>
      <c r="AF488" s="31">
        <v>7500</v>
      </c>
      <c r="AG488" s="31">
        <v>7500</v>
      </c>
      <c r="AH488" s="31">
        <v>0</v>
      </c>
      <c r="AI488" s="31">
        <v>15000</v>
      </c>
      <c r="AJ488" s="45">
        <f t="shared" si="201"/>
        <v>6.5473592317765172</v>
      </c>
      <c r="AK488" s="31">
        <v>0</v>
      </c>
      <c r="AL488" s="31">
        <v>0</v>
      </c>
      <c r="AM488" s="31">
        <v>0</v>
      </c>
      <c r="AN488" s="31">
        <v>0</v>
      </c>
      <c r="AO488" s="31">
        <v>0</v>
      </c>
      <c r="AP488" s="31">
        <v>3858</v>
      </c>
      <c r="AQ488" s="31">
        <v>3858</v>
      </c>
      <c r="AR488" s="31">
        <v>18858</v>
      </c>
      <c r="AS488" s="46">
        <f t="shared" si="202"/>
        <v>8.2313400261894376</v>
      </c>
      <c r="AT488" s="31">
        <v>0</v>
      </c>
      <c r="AU488" s="31">
        <v>0</v>
      </c>
      <c r="AV488" s="31">
        <v>0</v>
      </c>
      <c r="AW488" s="31">
        <v>0</v>
      </c>
      <c r="AX488" s="31">
        <v>0</v>
      </c>
      <c r="AY488" s="31">
        <v>0</v>
      </c>
      <c r="AZ488" s="31">
        <v>0</v>
      </c>
      <c r="BA488" s="31">
        <v>0</v>
      </c>
      <c r="BB488" s="31">
        <v>0</v>
      </c>
      <c r="BC488" s="33" t="s">
        <v>25</v>
      </c>
      <c r="BD488" s="47">
        <v>14484</v>
      </c>
      <c r="BE488" s="47">
        <v>15504</v>
      </c>
      <c r="BF488" s="45">
        <f t="shared" si="203"/>
        <v>6.7673505019642075</v>
      </c>
      <c r="BG488" s="30">
        <v>100</v>
      </c>
      <c r="BH488" s="30">
        <v>101</v>
      </c>
      <c r="BI488" s="30">
        <v>325</v>
      </c>
      <c r="BJ488" s="30">
        <v>442</v>
      </c>
      <c r="BK488" s="30">
        <v>445</v>
      </c>
      <c r="BL488" s="30">
        <v>0</v>
      </c>
      <c r="BM488" s="30">
        <v>8400</v>
      </c>
      <c r="BN488" s="30">
        <v>0</v>
      </c>
      <c r="BO488" s="30">
        <v>51</v>
      </c>
      <c r="BP488" s="30">
        <v>0</v>
      </c>
      <c r="BQ488" s="30">
        <v>51</v>
      </c>
      <c r="BR488" s="47">
        <v>15026</v>
      </c>
      <c r="BS488" s="47">
        <v>24775</v>
      </c>
      <c r="BT488" s="1">
        <f t="shared" si="204"/>
        <v>10.814054997817546</v>
      </c>
      <c r="BU488" s="30">
        <v>10</v>
      </c>
      <c r="BV488" s="30">
        <v>0</v>
      </c>
      <c r="BW488" s="47">
        <v>425</v>
      </c>
      <c r="BX488" s="52">
        <f t="shared" si="205"/>
        <v>0.18550851156700132</v>
      </c>
      <c r="BY488" s="47">
        <v>490</v>
      </c>
      <c r="BZ488" s="47">
        <v>0</v>
      </c>
      <c r="CA488" s="47">
        <v>2839</v>
      </c>
      <c r="CB488" s="47">
        <v>780</v>
      </c>
      <c r="CC488" s="47">
        <v>4109</v>
      </c>
      <c r="CD488" s="55">
        <f t="shared" si="206"/>
        <v>1.7935399388913138</v>
      </c>
      <c r="CE488" s="3">
        <f t="shared" si="207"/>
        <v>4109</v>
      </c>
      <c r="CF488" s="55">
        <f t="shared" si="208"/>
        <v>4.0885572139303479</v>
      </c>
      <c r="CG488" s="55">
        <f t="shared" si="209"/>
        <v>1.1777013470908571</v>
      </c>
      <c r="CH488" s="55">
        <f t="shared" si="210"/>
        <v>0.13436932391523712</v>
      </c>
      <c r="CI488" s="30">
        <v>24</v>
      </c>
      <c r="CJ488" s="30">
        <v>0</v>
      </c>
      <c r="CK488" s="30">
        <v>13</v>
      </c>
      <c r="CL488" s="30">
        <v>37</v>
      </c>
      <c r="CM488" s="30">
        <v>272</v>
      </c>
      <c r="CN488" s="30">
        <v>0</v>
      </c>
      <c r="CO488" s="30">
        <v>142</v>
      </c>
      <c r="CP488" s="30">
        <v>414</v>
      </c>
      <c r="CQ488" s="1">
        <f t="shared" si="218"/>
        <v>0.18070711479703186</v>
      </c>
      <c r="CR488" s="47">
        <v>3489</v>
      </c>
      <c r="CS488" s="55">
        <f t="shared" si="211"/>
        <v>1.5229157573112178</v>
      </c>
      <c r="CT488" s="59">
        <v>808</v>
      </c>
      <c r="CU488" s="29" t="s">
        <v>25</v>
      </c>
      <c r="CV488" s="29" t="s">
        <v>25</v>
      </c>
      <c r="CW488" s="29" t="s">
        <v>25</v>
      </c>
      <c r="CX488" s="35">
        <v>0</v>
      </c>
      <c r="CY488" s="49">
        <v>0</v>
      </c>
      <c r="CZ488" s="35">
        <v>0.5</v>
      </c>
      <c r="DA488" s="35">
        <v>0.5</v>
      </c>
      <c r="DB488" s="35">
        <v>1</v>
      </c>
      <c r="DC488" s="49">
        <f t="shared" si="212"/>
        <v>2291</v>
      </c>
      <c r="DD488" s="30">
        <v>425</v>
      </c>
      <c r="DE488" s="31">
        <v>4280</v>
      </c>
      <c r="DF488" s="35">
        <v>20</v>
      </c>
      <c r="DG488" s="29" t="s">
        <v>25</v>
      </c>
      <c r="DH488" s="29" t="s">
        <v>25</v>
      </c>
      <c r="DI488" s="29" t="s">
        <v>25</v>
      </c>
      <c r="DJ488" s="47">
        <v>9</v>
      </c>
      <c r="DK488" s="47">
        <v>31</v>
      </c>
      <c r="DL488" s="47">
        <v>7</v>
      </c>
      <c r="DM488" s="47">
        <v>795</v>
      </c>
      <c r="DN488" s="47">
        <v>25</v>
      </c>
      <c r="DO488" s="47">
        <v>30</v>
      </c>
      <c r="DP488" s="29" t="s">
        <v>2028</v>
      </c>
      <c r="DQ488" s="47">
        <v>0</v>
      </c>
      <c r="DR488" s="47">
        <v>1005</v>
      </c>
      <c r="DS488" s="30">
        <v>52</v>
      </c>
      <c r="DT488" s="30">
        <v>20</v>
      </c>
      <c r="DU488" s="30">
        <v>20</v>
      </c>
      <c r="DV488" s="30">
        <v>20</v>
      </c>
      <c r="DX488" s="2">
        <f t="shared" si="213"/>
        <v>1005</v>
      </c>
      <c r="DY488" s="33" t="s">
        <v>2178</v>
      </c>
      <c r="DZ488" s="33" t="s">
        <v>1245</v>
      </c>
      <c r="EA488" s="33" t="s">
        <v>2030</v>
      </c>
      <c r="EB488" s="33" t="s">
        <v>2027</v>
      </c>
      <c r="EC488" s="36">
        <v>373</v>
      </c>
      <c r="ED488" s="29" t="s">
        <v>1243</v>
      </c>
      <c r="EE488" s="29" t="s">
        <v>1244</v>
      </c>
      <c r="EF488" s="37">
        <v>41518</v>
      </c>
      <c r="EG488" s="37">
        <v>41882</v>
      </c>
      <c r="EH488" s="29" t="s">
        <v>1243</v>
      </c>
      <c r="EI488" s="55">
        <f t="shared" si="214"/>
        <v>0.2138804015713662</v>
      </c>
      <c r="EJ488" s="54">
        <f t="shared" si="215"/>
        <v>0</v>
      </c>
      <c r="EK488" s="55">
        <f t="shared" si="216"/>
        <v>1.2391968572675687</v>
      </c>
      <c r="EL488" s="54">
        <f t="shared" si="217"/>
        <v>0.3404626800523789</v>
      </c>
    </row>
    <row r="489" spans="1:142" ht="28.8" x14ac:dyDescent="0.3">
      <c r="A489" s="29" t="s">
        <v>19</v>
      </c>
      <c r="B489" s="29"/>
      <c r="C489" s="30">
        <v>3040</v>
      </c>
      <c r="D489" s="30">
        <v>0</v>
      </c>
      <c r="E489" s="30">
        <v>0</v>
      </c>
      <c r="F489" s="30">
        <v>2000</v>
      </c>
      <c r="H489" s="2">
        <f t="shared" si="193"/>
        <v>2000</v>
      </c>
      <c r="I489" s="1">
        <f t="shared" si="192"/>
        <v>0.65789473684210531</v>
      </c>
      <c r="J489" s="31">
        <v>21925</v>
      </c>
      <c r="K489" s="31">
        <v>10515</v>
      </c>
      <c r="L489" s="31">
        <v>32440</v>
      </c>
      <c r="M489" s="45">
        <f t="shared" si="194"/>
        <v>10.671052631578947</v>
      </c>
      <c r="N489" s="31">
        <v>4550</v>
      </c>
      <c r="O489" s="31">
        <v>0</v>
      </c>
      <c r="P489" s="31">
        <v>0</v>
      </c>
      <c r="Q489" s="31">
        <v>4550</v>
      </c>
      <c r="R489" s="45">
        <f t="shared" si="195"/>
        <v>1.4967105263157894</v>
      </c>
      <c r="S489" s="31">
        <v>29304</v>
      </c>
      <c r="T489" s="31">
        <v>66294</v>
      </c>
      <c r="U489" s="31">
        <v>0</v>
      </c>
      <c r="V489" s="31">
        <v>66294</v>
      </c>
      <c r="W489" s="45">
        <f t="shared" si="196"/>
        <v>21.807236842105262</v>
      </c>
      <c r="X489" s="4">
        <f t="shared" si="197"/>
        <v>0.48933538480103778</v>
      </c>
      <c r="Y489" s="4">
        <f t="shared" si="198"/>
        <v>6.8633662171538906E-2</v>
      </c>
      <c r="Z489" s="4">
        <f t="shared" si="199"/>
        <v>0.44203095302742329</v>
      </c>
      <c r="AA489" s="4">
        <f t="shared" si="200"/>
        <v>0</v>
      </c>
      <c r="AB489" s="31">
        <v>0</v>
      </c>
      <c r="AC489" s="31">
        <v>4550</v>
      </c>
      <c r="AD489" s="31">
        <v>66294</v>
      </c>
      <c r="AE489" s="31">
        <v>57477</v>
      </c>
      <c r="AF489" s="31">
        <v>57477</v>
      </c>
      <c r="AG489" s="31">
        <v>0</v>
      </c>
      <c r="AH489" s="31">
        <v>0</v>
      </c>
      <c r="AI489" s="31">
        <v>57477</v>
      </c>
      <c r="AJ489" s="45">
        <f t="shared" si="201"/>
        <v>18.906907894736843</v>
      </c>
      <c r="AK489" s="31">
        <v>0</v>
      </c>
      <c r="AL489" s="31">
        <v>0</v>
      </c>
      <c r="AM489" s="31">
        <v>0</v>
      </c>
      <c r="AN489" s="31">
        <v>0</v>
      </c>
      <c r="AO489" s="31">
        <v>0</v>
      </c>
      <c r="AP489" s="31">
        <v>8817</v>
      </c>
      <c r="AQ489" s="31">
        <v>8817</v>
      </c>
      <c r="AR489" s="31">
        <v>66294</v>
      </c>
      <c r="AS489" s="46">
        <f t="shared" si="202"/>
        <v>21.807236842105262</v>
      </c>
      <c r="AT489" s="31">
        <v>0</v>
      </c>
      <c r="AU489" s="31">
        <v>0</v>
      </c>
      <c r="AV489" s="31">
        <v>0</v>
      </c>
      <c r="AW489" s="31">
        <v>0</v>
      </c>
      <c r="AX489" s="31">
        <v>0</v>
      </c>
      <c r="AY489" s="31">
        <v>0</v>
      </c>
      <c r="AZ489" s="31">
        <v>0</v>
      </c>
      <c r="BA489" s="31">
        <v>0</v>
      </c>
      <c r="BB489" s="31">
        <v>0</v>
      </c>
      <c r="BC489" s="33" t="s">
        <v>25</v>
      </c>
      <c r="BD489" s="47">
        <v>12253</v>
      </c>
      <c r="BE489" s="47">
        <v>12497</v>
      </c>
      <c r="BF489" s="45">
        <f t="shared" si="203"/>
        <v>4.1108552631578945</v>
      </c>
      <c r="BG489" s="30">
        <v>145</v>
      </c>
      <c r="BH489" s="30">
        <v>145</v>
      </c>
      <c r="BI489" s="30">
        <v>0</v>
      </c>
      <c r="BJ489" s="30">
        <v>468</v>
      </c>
      <c r="BK489" s="30">
        <v>468</v>
      </c>
      <c r="BL489" s="30">
        <v>0</v>
      </c>
      <c r="BM489" s="30">
        <v>0</v>
      </c>
      <c r="BN489" s="30">
        <v>0</v>
      </c>
      <c r="BO489" s="30">
        <v>51</v>
      </c>
      <c r="BP489" s="30">
        <v>5</v>
      </c>
      <c r="BQ489" s="30">
        <v>56</v>
      </c>
      <c r="BR489" s="47">
        <v>12866</v>
      </c>
      <c r="BS489" s="47">
        <v>13110</v>
      </c>
      <c r="BT489" s="1">
        <f t="shared" si="204"/>
        <v>4.3125</v>
      </c>
      <c r="BU489" s="30">
        <v>25</v>
      </c>
      <c r="BV489" s="30">
        <v>0</v>
      </c>
      <c r="BW489" s="47">
        <v>189</v>
      </c>
      <c r="BX489" s="52">
        <f t="shared" si="205"/>
        <v>6.2171052631578946E-2</v>
      </c>
      <c r="BY489" s="47">
        <v>1062</v>
      </c>
      <c r="BZ489" s="47">
        <v>0</v>
      </c>
      <c r="CA489" s="47">
        <v>2784</v>
      </c>
      <c r="CB489" s="47">
        <v>0</v>
      </c>
      <c r="CC489" s="47">
        <v>3846</v>
      </c>
      <c r="CD489" s="55">
        <f t="shared" si="206"/>
        <v>1.2651315789473685</v>
      </c>
      <c r="CE489" s="3">
        <f t="shared" si="207"/>
        <v>2262.3529411764707</v>
      </c>
      <c r="CF489" s="55">
        <f t="shared" si="208"/>
        <v>2.7669064748201437</v>
      </c>
      <c r="CG489" s="55">
        <f t="shared" si="209"/>
        <v>0.88393472764881631</v>
      </c>
      <c r="CH489" s="55">
        <f t="shared" si="210"/>
        <v>0.2933638443935927</v>
      </c>
      <c r="CI489" s="30">
        <v>6</v>
      </c>
      <c r="CJ489" s="30">
        <v>1</v>
      </c>
      <c r="CK489" s="30">
        <v>1</v>
      </c>
      <c r="CL489" s="30">
        <v>8</v>
      </c>
      <c r="CM489" s="30">
        <v>225</v>
      </c>
      <c r="CN489" s="30">
        <v>17</v>
      </c>
      <c r="CO489" s="30">
        <v>67</v>
      </c>
      <c r="CP489" s="30">
        <v>309</v>
      </c>
      <c r="CQ489" s="1">
        <f t="shared" si="218"/>
        <v>0.10164473684210526</v>
      </c>
      <c r="CR489" s="47">
        <v>4351</v>
      </c>
      <c r="CS489" s="55">
        <f t="shared" si="211"/>
        <v>1.4312499999999999</v>
      </c>
      <c r="CT489" s="59">
        <v>2223</v>
      </c>
      <c r="CU489" s="29" t="s">
        <v>25</v>
      </c>
      <c r="CV489" s="29" t="s">
        <v>25</v>
      </c>
      <c r="CW489" s="29" t="s">
        <v>25</v>
      </c>
      <c r="CX489" s="35">
        <v>0</v>
      </c>
      <c r="CY489" s="49">
        <v>0</v>
      </c>
      <c r="CZ489" s="35">
        <v>1</v>
      </c>
      <c r="DA489" s="35">
        <v>0.7</v>
      </c>
      <c r="DB489" s="35">
        <v>1.7</v>
      </c>
      <c r="DC489" s="49">
        <f t="shared" si="212"/>
        <v>1788.2352941176471</v>
      </c>
      <c r="DD489" s="30">
        <v>118</v>
      </c>
      <c r="DE489" s="31">
        <v>19865</v>
      </c>
      <c r="DF489" s="35">
        <v>30</v>
      </c>
      <c r="DG489" s="29" t="s">
        <v>25</v>
      </c>
      <c r="DH489" s="29" t="s">
        <v>26</v>
      </c>
      <c r="DI489" s="29" t="s">
        <v>26</v>
      </c>
      <c r="DJ489" s="47">
        <v>0</v>
      </c>
      <c r="DK489" s="47">
        <v>0</v>
      </c>
      <c r="DL489" s="47">
        <v>6</v>
      </c>
      <c r="DM489" s="47">
        <v>1812</v>
      </c>
      <c r="DN489" s="47">
        <v>63</v>
      </c>
      <c r="DO489" s="47">
        <v>0</v>
      </c>
      <c r="DP489" s="29" t="s">
        <v>2028</v>
      </c>
      <c r="DQ489" s="47">
        <v>0</v>
      </c>
      <c r="DR489" s="47">
        <v>1390</v>
      </c>
      <c r="DS489" s="30">
        <v>52</v>
      </c>
      <c r="DT489" s="30">
        <v>28</v>
      </c>
      <c r="DU489" s="30">
        <v>28</v>
      </c>
      <c r="DV489" s="30">
        <v>28</v>
      </c>
      <c r="DX489" s="2">
        <f t="shared" si="213"/>
        <v>1390</v>
      </c>
      <c r="DY489" s="33" t="s">
        <v>2179</v>
      </c>
      <c r="DZ489" s="33" t="s">
        <v>1247</v>
      </c>
      <c r="EA489" s="33" t="s">
        <v>2030</v>
      </c>
      <c r="EB489" s="33" t="s">
        <v>2027</v>
      </c>
      <c r="EC489" s="36">
        <v>374</v>
      </c>
      <c r="ED489" s="29" t="s">
        <v>1246</v>
      </c>
      <c r="EE489" s="29" t="s">
        <v>78</v>
      </c>
      <c r="EF489" s="37">
        <v>41548</v>
      </c>
      <c r="EG489" s="37">
        <v>41912</v>
      </c>
      <c r="EH489" s="29" t="s">
        <v>1246</v>
      </c>
      <c r="EI489" s="55">
        <f t="shared" si="214"/>
        <v>0.3493421052631579</v>
      </c>
      <c r="EJ489" s="54">
        <f t="shared" si="215"/>
        <v>0</v>
      </c>
      <c r="EK489" s="55">
        <f t="shared" si="216"/>
        <v>0.91578947368421049</v>
      </c>
      <c r="EL489" s="54">
        <f t="shared" si="217"/>
        <v>0</v>
      </c>
    </row>
    <row r="490" spans="1:142" ht="28.8" x14ac:dyDescent="0.3">
      <c r="A490" s="29" t="s">
        <v>1248</v>
      </c>
      <c r="B490" s="29"/>
      <c r="C490" s="30">
        <v>5312</v>
      </c>
      <c r="D490" s="30">
        <v>0</v>
      </c>
      <c r="E490" s="30">
        <v>0</v>
      </c>
      <c r="F490" s="30">
        <v>6600</v>
      </c>
      <c r="H490" s="2">
        <f t="shared" si="193"/>
        <v>6600</v>
      </c>
      <c r="I490" s="1">
        <f t="shared" si="192"/>
        <v>1.2424698795180722</v>
      </c>
      <c r="J490" s="31">
        <v>87791</v>
      </c>
      <c r="K490" s="31">
        <v>41935</v>
      </c>
      <c r="L490" s="31">
        <v>129726</v>
      </c>
      <c r="M490" s="45">
        <f t="shared" si="194"/>
        <v>24.421310240963855</v>
      </c>
      <c r="N490" s="31">
        <v>18935</v>
      </c>
      <c r="O490" s="31">
        <v>0</v>
      </c>
      <c r="P490" s="31">
        <v>2380</v>
      </c>
      <c r="Q490" s="31">
        <v>21315</v>
      </c>
      <c r="R490" s="45">
        <f t="shared" si="195"/>
        <v>4.0126129518072293</v>
      </c>
      <c r="S490" s="31">
        <v>20236</v>
      </c>
      <c r="T490" s="31">
        <v>171277</v>
      </c>
      <c r="U490" s="31">
        <v>0</v>
      </c>
      <c r="V490" s="31">
        <v>171277</v>
      </c>
      <c r="W490" s="45">
        <f t="shared" si="196"/>
        <v>32.24341114457831</v>
      </c>
      <c r="X490" s="4">
        <f t="shared" si="197"/>
        <v>0.75740467196412831</v>
      </c>
      <c r="Y490" s="4">
        <f t="shared" si="198"/>
        <v>0.12444753235986152</v>
      </c>
      <c r="Z490" s="4">
        <f t="shared" si="199"/>
        <v>0.11814779567601021</v>
      </c>
      <c r="AA490" s="4">
        <f t="shared" si="200"/>
        <v>0</v>
      </c>
      <c r="AB490" s="31">
        <v>0</v>
      </c>
      <c r="AC490" s="31">
        <v>21315</v>
      </c>
      <c r="AD490" s="31">
        <v>201797</v>
      </c>
      <c r="AE490" s="31">
        <v>167451</v>
      </c>
      <c r="AF490" s="31">
        <v>0</v>
      </c>
      <c r="AG490" s="31">
        <v>167451</v>
      </c>
      <c r="AH490" s="31">
        <v>0</v>
      </c>
      <c r="AI490" s="31">
        <v>167451</v>
      </c>
      <c r="AJ490" s="45">
        <f t="shared" si="201"/>
        <v>31.523155120481928</v>
      </c>
      <c r="AK490" s="31">
        <v>0</v>
      </c>
      <c r="AL490" s="31">
        <v>0</v>
      </c>
      <c r="AM490" s="31">
        <v>0</v>
      </c>
      <c r="AN490" s="31">
        <v>0</v>
      </c>
      <c r="AO490" s="31">
        <v>0</v>
      </c>
      <c r="AP490" s="31">
        <v>2380</v>
      </c>
      <c r="AQ490" s="31">
        <v>2380</v>
      </c>
      <c r="AR490" s="31">
        <v>169831</v>
      </c>
      <c r="AS490" s="46">
        <f t="shared" si="202"/>
        <v>31.971197289156628</v>
      </c>
      <c r="AT490" s="31">
        <v>0</v>
      </c>
      <c r="AU490" s="31">
        <v>0</v>
      </c>
      <c r="AV490" s="31">
        <v>0</v>
      </c>
      <c r="AW490" s="31">
        <v>0</v>
      </c>
      <c r="AX490" s="31">
        <v>0</v>
      </c>
      <c r="AY490" s="31">
        <v>0</v>
      </c>
      <c r="AZ490" s="31">
        <v>0</v>
      </c>
      <c r="BA490" s="31">
        <v>0</v>
      </c>
      <c r="BB490" s="31">
        <v>0</v>
      </c>
      <c r="BC490" s="33" t="s">
        <v>25</v>
      </c>
      <c r="BD490" s="47">
        <v>26474</v>
      </c>
      <c r="BE490" s="47">
        <v>26474</v>
      </c>
      <c r="BF490" s="45">
        <f t="shared" si="203"/>
        <v>4.9838102409638552</v>
      </c>
      <c r="BG490" s="30">
        <v>899</v>
      </c>
      <c r="BH490" s="30">
        <v>899</v>
      </c>
      <c r="BI490" s="30">
        <v>0</v>
      </c>
      <c r="BJ490" s="30">
        <v>1720</v>
      </c>
      <c r="BK490" s="30">
        <v>1720</v>
      </c>
      <c r="BL490" s="30">
        <v>0</v>
      </c>
      <c r="BM490" s="30">
        <v>0</v>
      </c>
      <c r="BN490" s="30">
        <v>0</v>
      </c>
      <c r="BO490" s="30">
        <v>51</v>
      </c>
      <c r="BP490" s="30">
        <v>0</v>
      </c>
      <c r="BQ490" s="30">
        <v>51</v>
      </c>
      <c r="BR490" s="47">
        <v>29093</v>
      </c>
      <c r="BS490" s="47">
        <v>29093</v>
      </c>
      <c r="BT490" s="1">
        <f t="shared" si="204"/>
        <v>5.4768448795180724</v>
      </c>
      <c r="BU490" s="30">
        <v>29</v>
      </c>
      <c r="BV490" s="30">
        <v>0</v>
      </c>
      <c r="BW490" s="47">
        <v>10425</v>
      </c>
      <c r="BX490" s="52">
        <f t="shared" si="205"/>
        <v>1.9625376506024097</v>
      </c>
      <c r="BY490" s="47">
        <v>4688</v>
      </c>
      <c r="BZ490" s="47">
        <v>0</v>
      </c>
      <c r="CA490" s="47">
        <v>6548</v>
      </c>
      <c r="CB490" s="47">
        <v>0</v>
      </c>
      <c r="CC490" s="47">
        <v>11236</v>
      </c>
      <c r="CD490" s="55">
        <f t="shared" si="206"/>
        <v>2.115210843373494</v>
      </c>
      <c r="CE490" s="3">
        <f t="shared" si="207"/>
        <v>5618</v>
      </c>
      <c r="CF490" s="55">
        <f t="shared" si="208"/>
        <v>5.6405622489959839</v>
      </c>
      <c r="CG490" s="55">
        <f t="shared" si="209"/>
        <v>0.60515969192653629</v>
      </c>
      <c r="CH490" s="55">
        <f t="shared" si="210"/>
        <v>0.38620974117485307</v>
      </c>
      <c r="CI490" s="30">
        <v>12</v>
      </c>
      <c r="CJ490" s="30">
        <v>8</v>
      </c>
      <c r="CK490" s="30">
        <v>0</v>
      </c>
      <c r="CL490" s="30">
        <v>20</v>
      </c>
      <c r="CM490" s="30">
        <v>124</v>
      </c>
      <c r="CN490" s="30">
        <v>21</v>
      </c>
      <c r="CO490" s="30">
        <v>0</v>
      </c>
      <c r="CP490" s="30">
        <v>145</v>
      </c>
      <c r="CQ490" s="1">
        <f t="shared" si="218"/>
        <v>2.7296686746987951E-2</v>
      </c>
      <c r="CR490" s="47">
        <v>18567</v>
      </c>
      <c r="CS490" s="55">
        <f t="shared" si="211"/>
        <v>3.4952936746987953</v>
      </c>
      <c r="CT490" s="59">
        <v>2915</v>
      </c>
      <c r="CU490" s="29" t="s">
        <v>25</v>
      </c>
      <c r="CV490" s="29" t="s">
        <v>25</v>
      </c>
      <c r="CW490" s="29" t="s">
        <v>25</v>
      </c>
      <c r="CX490" s="35">
        <v>0</v>
      </c>
      <c r="CY490" s="49">
        <v>0</v>
      </c>
      <c r="CZ490" s="35">
        <v>2</v>
      </c>
      <c r="DA490" s="35">
        <v>0</v>
      </c>
      <c r="DB490" s="35">
        <v>2</v>
      </c>
      <c r="DC490" s="49">
        <f t="shared" si="212"/>
        <v>2656</v>
      </c>
      <c r="DD490" s="30">
        <v>524</v>
      </c>
      <c r="DE490" s="31">
        <v>40992</v>
      </c>
      <c r="DF490" s="35">
        <v>40</v>
      </c>
      <c r="DG490" s="29" t="s">
        <v>25</v>
      </c>
      <c r="DH490" s="29" t="s">
        <v>25</v>
      </c>
      <c r="DI490" s="29" t="s">
        <v>25</v>
      </c>
      <c r="DJ490" s="47">
        <v>108</v>
      </c>
      <c r="DK490" s="47">
        <v>71</v>
      </c>
      <c r="DL490" s="47">
        <v>16</v>
      </c>
      <c r="DM490" s="47">
        <v>2086</v>
      </c>
      <c r="DN490" s="47">
        <v>1476</v>
      </c>
      <c r="DO490" s="47">
        <v>360</v>
      </c>
      <c r="DP490" s="29" t="s">
        <v>2028</v>
      </c>
      <c r="DQ490" s="47">
        <v>0</v>
      </c>
      <c r="DR490" s="47">
        <v>1992</v>
      </c>
      <c r="DS490" s="30">
        <v>52</v>
      </c>
      <c r="DT490" s="30">
        <v>45</v>
      </c>
      <c r="DU490" s="30">
        <v>45</v>
      </c>
      <c r="DV490" s="30">
        <v>45</v>
      </c>
      <c r="DX490" s="2">
        <f t="shared" si="213"/>
        <v>1992</v>
      </c>
      <c r="DY490" s="33" t="s">
        <v>2178</v>
      </c>
      <c r="DZ490" s="33" t="s">
        <v>1250</v>
      </c>
      <c r="EA490" s="33" t="s">
        <v>2031</v>
      </c>
      <c r="EB490" s="33" t="s">
        <v>2027</v>
      </c>
      <c r="EC490" s="36">
        <v>375</v>
      </c>
      <c r="ED490" s="29" t="s">
        <v>1249</v>
      </c>
      <c r="EE490" s="29" t="s">
        <v>265</v>
      </c>
      <c r="EF490" s="37">
        <v>41640</v>
      </c>
      <c r="EG490" s="37">
        <v>42004</v>
      </c>
      <c r="EH490" s="29" t="s">
        <v>1249</v>
      </c>
      <c r="EI490" s="55">
        <f t="shared" si="214"/>
        <v>0.88253012048192769</v>
      </c>
      <c r="EJ490" s="54">
        <f t="shared" si="215"/>
        <v>0</v>
      </c>
      <c r="EK490" s="55">
        <f t="shared" si="216"/>
        <v>1.2326807228915662</v>
      </c>
      <c r="EL490" s="54">
        <f t="shared" si="217"/>
        <v>0</v>
      </c>
    </row>
    <row r="491" spans="1:142" ht="28.8" x14ac:dyDescent="0.3">
      <c r="A491" s="29" t="s">
        <v>1251</v>
      </c>
      <c r="B491" s="29"/>
      <c r="C491" s="30">
        <v>18561</v>
      </c>
      <c r="D491" s="30">
        <v>0</v>
      </c>
      <c r="E491" s="30">
        <v>0</v>
      </c>
      <c r="F491" s="30">
        <v>4577</v>
      </c>
      <c r="H491" s="2">
        <f t="shared" si="193"/>
        <v>4577</v>
      </c>
      <c r="I491" s="1">
        <f t="shared" si="192"/>
        <v>0.24659231722428748</v>
      </c>
      <c r="J491" s="31">
        <v>120360</v>
      </c>
      <c r="K491" s="31">
        <v>43737</v>
      </c>
      <c r="L491" s="31">
        <v>164097</v>
      </c>
      <c r="M491" s="45">
        <f t="shared" si="194"/>
        <v>8.8409568449975762</v>
      </c>
      <c r="N491" s="31">
        <v>19413</v>
      </c>
      <c r="O491" s="31">
        <v>0</v>
      </c>
      <c r="P491" s="31">
        <v>2000</v>
      </c>
      <c r="Q491" s="31">
        <v>21413</v>
      </c>
      <c r="R491" s="45">
        <f t="shared" si="195"/>
        <v>1.1536555142503098</v>
      </c>
      <c r="S491" s="31">
        <v>35289</v>
      </c>
      <c r="T491" s="31">
        <v>220799</v>
      </c>
      <c r="U491" s="31">
        <v>3636</v>
      </c>
      <c r="V491" s="31">
        <v>224435</v>
      </c>
      <c r="W491" s="45">
        <f t="shared" si="196"/>
        <v>12.091751522008513</v>
      </c>
      <c r="X491" s="4">
        <f t="shared" si="197"/>
        <v>0.73115601399068775</v>
      </c>
      <c r="Y491" s="4">
        <f t="shared" si="198"/>
        <v>9.5408470158397748E-2</v>
      </c>
      <c r="Z491" s="4">
        <f t="shared" si="199"/>
        <v>0.15723483413906031</v>
      </c>
      <c r="AA491" s="4">
        <f t="shared" si="200"/>
        <v>1.6200681711854212E-2</v>
      </c>
      <c r="AB491" s="31">
        <v>0</v>
      </c>
      <c r="AC491" s="31">
        <v>21413</v>
      </c>
      <c r="AD491" s="31">
        <v>224435</v>
      </c>
      <c r="AE491" s="31">
        <v>224435</v>
      </c>
      <c r="AF491" s="31">
        <v>220799</v>
      </c>
      <c r="AG491" s="31">
        <v>0</v>
      </c>
      <c r="AH491" s="31">
        <v>0</v>
      </c>
      <c r="AI491" s="31">
        <v>220799</v>
      </c>
      <c r="AJ491" s="45">
        <f t="shared" si="201"/>
        <v>11.895856904261624</v>
      </c>
      <c r="AK491" s="31">
        <v>0</v>
      </c>
      <c r="AL491" s="31">
        <v>0</v>
      </c>
      <c r="AM491" s="31">
        <v>0</v>
      </c>
      <c r="AN491" s="31">
        <v>0</v>
      </c>
      <c r="AO491" s="31">
        <v>0</v>
      </c>
      <c r="AP491" s="31">
        <v>8883</v>
      </c>
      <c r="AQ491" s="31">
        <v>8883</v>
      </c>
      <c r="AR491" s="31">
        <v>229682</v>
      </c>
      <c r="AS491" s="46">
        <f t="shared" si="202"/>
        <v>12.374441032271967</v>
      </c>
      <c r="AT491" s="31">
        <v>0</v>
      </c>
      <c r="AU491" s="31">
        <v>0</v>
      </c>
      <c r="AV491" s="31">
        <v>0</v>
      </c>
      <c r="AW491" s="31">
        <v>0</v>
      </c>
      <c r="AX491" s="31">
        <v>0</v>
      </c>
      <c r="AY491" s="31">
        <v>0</v>
      </c>
      <c r="AZ491" s="31">
        <v>0</v>
      </c>
      <c r="BA491" s="31">
        <v>0</v>
      </c>
      <c r="BB491" s="31">
        <v>0</v>
      </c>
      <c r="BC491" s="33" t="s">
        <v>25</v>
      </c>
      <c r="BD491" s="47">
        <v>30051</v>
      </c>
      <c r="BE491" s="47">
        <v>30089</v>
      </c>
      <c r="BF491" s="45">
        <f t="shared" si="203"/>
        <v>1.6210872259037767</v>
      </c>
      <c r="BG491" s="30">
        <v>940</v>
      </c>
      <c r="BH491" s="30">
        <v>940</v>
      </c>
      <c r="BI491" s="30">
        <v>0</v>
      </c>
      <c r="BJ491" s="30">
        <v>4572</v>
      </c>
      <c r="BK491" s="30">
        <v>4572</v>
      </c>
      <c r="BL491" s="30">
        <v>0</v>
      </c>
      <c r="BM491" s="30">
        <v>0</v>
      </c>
      <c r="BN491" s="30">
        <v>0</v>
      </c>
      <c r="BO491" s="30">
        <v>51</v>
      </c>
      <c r="BP491" s="30">
        <v>0</v>
      </c>
      <c r="BQ491" s="30">
        <v>51</v>
      </c>
      <c r="BR491" s="47">
        <v>35563</v>
      </c>
      <c r="BS491" s="47">
        <v>35601</v>
      </c>
      <c r="BT491" s="1">
        <f t="shared" si="204"/>
        <v>1.9180539841603361</v>
      </c>
      <c r="BU491" s="30">
        <v>34</v>
      </c>
      <c r="BV491" s="30">
        <v>0</v>
      </c>
      <c r="BW491" s="47">
        <v>1100</v>
      </c>
      <c r="BX491" s="52">
        <f t="shared" si="205"/>
        <v>5.9264048273261136E-2</v>
      </c>
      <c r="BY491" s="47">
        <v>20427</v>
      </c>
      <c r="BZ491" s="47">
        <v>0</v>
      </c>
      <c r="CA491" s="47">
        <v>29007</v>
      </c>
      <c r="CB491" s="47">
        <v>0</v>
      </c>
      <c r="CC491" s="47">
        <v>49434</v>
      </c>
      <c r="CD491" s="55">
        <f t="shared" si="206"/>
        <v>2.6633263294003555</v>
      </c>
      <c r="CE491" s="3">
        <f t="shared" si="207"/>
        <v>12358.5</v>
      </c>
      <c r="CF491" s="55">
        <f t="shared" si="208"/>
        <v>24.716999999999999</v>
      </c>
      <c r="CG491" s="55">
        <f t="shared" si="209"/>
        <v>1.0529746309668349</v>
      </c>
      <c r="CH491" s="55">
        <f t="shared" si="210"/>
        <v>1.3885565012218757</v>
      </c>
      <c r="CI491" s="30">
        <v>143</v>
      </c>
      <c r="CJ491" s="30">
        <v>6</v>
      </c>
      <c r="CK491" s="30">
        <v>5</v>
      </c>
      <c r="CL491" s="30">
        <v>154</v>
      </c>
      <c r="CM491" s="30">
        <v>1880</v>
      </c>
      <c r="CN491" s="30">
        <v>78</v>
      </c>
      <c r="CO491" s="30">
        <v>234</v>
      </c>
      <c r="CP491" s="30">
        <v>2192</v>
      </c>
      <c r="CQ491" s="1">
        <f t="shared" si="218"/>
        <v>0.11809708528635311</v>
      </c>
      <c r="CR491" s="47">
        <v>46947</v>
      </c>
      <c r="CS491" s="55">
        <f t="shared" si="211"/>
        <v>2.5293357038952644</v>
      </c>
      <c r="CT491" s="59">
        <v>15734</v>
      </c>
      <c r="CU491" s="29" t="s">
        <v>25</v>
      </c>
      <c r="CV491" s="29" t="s">
        <v>25</v>
      </c>
      <c r="CW491" s="29" t="s">
        <v>25</v>
      </c>
      <c r="CX491" s="35">
        <v>0</v>
      </c>
      <c r="CY491" s="49">
        <v>0</v>
      </c>
      <c r="CZ491" s="35">
        <v>1</v>
      </c>
      <c r="DA491" s="35">
        <v>3</v>
      </c>
      <c r="DB491" s="35">
        <v>4</v>
      </c>
      <c r="DC491" s="49">
        <f t="shared" si="212"/>
        <v>4640.25</v>
      </c>
      <c r="DD491" s="30">
        <v>812</v>
      </c>
      <c r="DE491" s="31">
        <v>42539</v>
      </c>
      <c r="DF491" s="35">
        <v>40</v>
      </c>
      <c r="DG491" s="29" t="s">
        <v>25</v>
      </c>
      <c r="DH491" s="29" t="s">
        <v>26</v>
      </c>
      <c r="DI491" s="29" t="s">
        <v>26</v>
      </c>
      <c r="DJ491" s="47">
        <v>7</v>
      </c>
      <c r="DK491" s="47">
        <v>0</v>
      </c>
      <c r="DL491" s="47">
        <v>11</v>
      </c>
      <c r="DM491" s="47">
        <v>19901</v>
      </c>
      <c r="DN491" s="47">
        <v>4</v>
      </c>
      <c r="DO491" s="47">
        <v>0</v>
      </c>
      <c r="DP491" s="29" t="s">
        <v>2028</v>
      </c>
      <c r="DQ491" s="47">
        <v>0</v>
      </c>
      <c r="DR491" s="47">
        <v>2000</v>
      </c>
      <c r="DS491" s="30">
        <v>52</v>
      </c>
      <c r="DT491" s="30">
        <v>40</v>
      </c>
      <c r="DU491" s="30">
        <v>40</v>
      </c>
      <c r="DV491" s="30">
        <v>40</v>
      </c>
      <c r="DX491" s="2">
        <f t="shared" si="213"/>
        <v>2000</v>
      </c>
      <c r="DY491" s="33" t="s">
        <v>2181</v>
      </c>
      <c r="DZ491" s="33" t="s">
        <v>1253</v>
      </c>
      <c r="EA491" s="33" t="s">
        <v>2030</v>
      </c>
      <c r="EB491" s="33" t="s">
        <v>2027</v>
      </c>
      <c r="EC491" s="36">
        <v>376</v>
      </c>
      <c r="ED491" s="29" t="s">
        <v>1252</v>
      </c>
      <c r="EE491" s="29" t="s">
        <v>450</v>
      </c>
      <c r="EF491" s="37">
        <v>41548</v>
      </c>
      <c r="EG491" s="37">
        <v>41912</v>
      </c>
      <c r="EH491" s="29" t="s">
        <v>1252</v>
      </c>
      <c r="EI491" s="55">
        <f t="shared" si="214"/>
        <v>1.1005333764344594</v>
      </c>
      <c r="EJ491" s="54">
        <f t="shared" si="215"/>
        <v>0</v>
      </c>
      <c r="EK491" s="55">
        <f t="shared" si="216"/>
        <v>1.5627929529658962</v>
      </c>
      <c r="EL491" s="54">
        <f t="shared" si="217"/>
        <v>0</v>
      </c>
    </row>
    <row r="492" spans="1:142" ht="28.8" x14ac:dyDescent="0.3">
      <c r="A492" s="29" t="s">
        <v>1479</v>
      </c>
      <c r="B492" s="29"/>
      <c r="C492" s="30">
        <v>1219</v>
      </c>
      <c r="D492" s="30">
        <v>0</v>
      </c>
      <c r="E492" s="30">
        <v>0</v>
      </c>
      <c r="F492" s="30">
        <v>2156</v>
      </c>
      <c r="H492" s="2">
        <f t="shared" si="193"/>
        <v>2156</v>
      </c>
      <c r="I492" s="1">
        <f t="shared" si="192"/>
        <v>1.7686628383921248</v>
      </c>
      <c r="J492" s="31">
        <v>21130</v>
      </c>
      <c r="K492" s="31">
        <v>1746</v>
      </c>
      <c r="L492" s="31">
        <v>22876</v>
      </c>
      <c r="M492" s="45">
        <f t="shared" si="194"/>
        <v>18.766201804757998</v>
      </c>
      <c r="N492" s="31">
        <v>3741</v>
      </c>
      <c r="O492" s="31">
        <v>0</v>
      </c>
      <c r="P492" s="31">
        <v>0</v>
      </c>
      <c r="Q492" s="31">
        <v>3741</v>
      </c>
      <c r="R492" s="45">
        <f t="shared" si="195"/>
        <v>3.0689089417555375</v>
      </c>
      <c r="S492" s="31">
        <v>6544</v>
      </c>
      <c r="T492" s="31">
        <v>33161</v>
      </c>
      <c r="U492" s="31">
        <v>0</v>
      </c>
      <c r="V492" s="31">
        <v>33161</v>
      </c>
      <c r="W492" s="45">
        <f t="shared" si="196"/>
        <v>27.203445447087777</v>
      </c>
      <c r="X492" s="4">
        <f t="shared" si="197"/>
        <v>0.68984650643828593</v>
      </c>
      <c r="Y492" s="4">
        <f t="shared" si="198"/>
        <v>0.11281324447393022</v>
      </c>
      <c r="Z492" s="4">
        <f t="shared" si="199"/>
        <v>0.19734024908778383</v>
      </c>
      <c r="AA492" s="4">
        <f t="shared" si="200"/>
        <v>0</v>
      </c>
      <c r="AB492" s="31">
        <v>0</v>
      </c>
      <c r="AC492" s="31">
        <v>1241</v>
      </c>
      <c r="AD492" s="31">
        <v>30661</v>
      </c>
      <c r="AE492" s="31">
        <v>26876</v>
      </c>
      <c r="AF492" s="31">
        <v>0</v>
      </c>
      <c r="AG492" s="31">
        <v>26876</v>
      </c>
      <c r="AH492" s="31">
        <v>0</v>
      </c>
      <c r="AI492" s="31">
        <v>26876</v>
      </c>
      <c r="AJ492" s="45">
        <f t="shared" si="201"/>
        <v>22.04757998359311</v>
      </c>
      <c r="AK492" s="31">
        <v>0</v>
      </c>
      <c r="AL492" s="31">
        <v>0</v>
      </c>
      <c r="AM492" s="31">
        <v>0</v>
      </c>
      <c r="AN492" s="31">
        <v>0</v>
      </c>
      <c r="AO492" s="31">
        <v>0</v>
      </c>
      <c r="AP492" s="31">
        <v>2479</v>
      </c>
      <c r="AQ492" s="31">
        <v>2479</v>
      </c>
      <c r="AR492" s="31">
        <v>29355</v>
      </c>
      <c r="AS492" s="46">
        <f t="shared" si="202"/>
        <v>24.081214109926169</v>
      </c>
      <c r="AT492" s="31">
        <v>0</v>
      </c>
      <c r="AU492" s="31">
        <v>0</v>
      </c>
      <c r="AV492" s="31">
        <v>0</v>
      </c>
      <c r="AW492" s="31">
        <v>0</v>
      </c>
      <c r="AX492" s="31">
        <v>0</v>
      </c>
      <c r="AY492" s="31">
        <v>0</v>
      </c>
      <c r="AZ492" s="31">
        <v>0</v>
      </c>
      <c r="BA492" s="31">
        <v>0</v>
      </c>
      <c r="BB492" s="31">
        <v>0</v>
      </c>
      <c r="BC492" s="33" t="s">
        <v>25</v>
      </c>
      <c r="BD492" s="47">
        <v>10070</v>
      </c>
      <c r="BE492" s="47">
        <v>10210</v>
      </c>
      <c r="BF492" s="45">
        <f t="shared" si="203"/>
        <v>8.37571780147662</v>
      </c>
      <c r="BG492" s="30">
        <v>270</v>
      </c>
      <c r="BH492" s="30">
        <v>270</v>
      </c>
      <c r="BI492" s="30">
        <v>0</v>
      </c>
      <c r="BJ492" s="30">
        <v>136</v>
      </c>
      <c r="BK492" s="30">
        <v>136</v>
      </c>
      <c r="BL492" s="30">
        <v>0</v>
      </c>
      <c r="BM492" s="30">
        <v>0</v>
      </c>
      <c r="BN492" s="30">
        <v>0</v>
      </c>
      <c r="BO492" s="30">
        <v>51</v>
      </c>
      <c r="BP492" s="30">
        <v>0</v>
      </c>
      <c r="BQ492" s="30">
        <v>51</v>
      </c>
      <c r="BR492" s="47">
        <v>10476</v>
      </c>
      <c r="BS492" s="47">
        <v>10616</v>
      </c>
      <c r="BT492" s="1">
        <f t="shared" si="204"/>
        <v>8.7087776866283839</v>
      </c>
      <c r="BU492" s="30">
        <v>15</v>
      </c>
      <c r="BV492" s="30">
        <v>0</v>
      </c>
      <c r="BW492" s="47">
        <v>268</v>
      </c>
      <c r="BX492" s="52">
        <f t="shared" si="205"/>
        <v>0.21985233798195242</v>
      </c>
      <c r="BY492" s="47">
        <v>717</v>
      </c>
      <c r="BZ492" s="47">
        <v>0</v>
      </c>
      <c r="CA492" s="47">
        <v>1278</v>
      </c>
      <c r="CB492" s="47">
        <v>0</v>
      </c>
      <c r="CC492" s="47">
        <v>1995</v>
      </c>
      <c r="CD492" s="55">
        <f t="shared" si="206"/>
        <v>1.6365873666940114</v>
      </c>
      <c r="CE492" s="3">
        <f t="shared" si="207"/>
        <v>2216.6666666666665</v>
      </c>
      <c r="CF492" s="55">
        <f t="shared" si="208"/>
        <v>1.128393665158371</v>
      </c>
      <c r="CG492" s="55">
        <f t="shared" si="209"/>
        <v>0.48957055214723927</v>
      </c>
      <c r="CH492" s="55">
        <f t="shared" si="210"/>
        <v>0.18792388847023361</v>
      </c>
      <c r="CI492" s="30">
        <v>38</v>
      </c>
      <c r="CJ492" s="30">
        <v>6</v>
      </c>
      <c r="CK492" s="30">
        <v>0</v>
      </c>
      <c r="CL492" s="30">
        <v>44</v>
      </c>
      <c r="CM492" s="30">
        <v>324</v>
      </c>
      <c r="CN492" s="30">
        <v>36</v>
      </c>
      <c r="CO492" s="30">
        <v>0</v>
      </c>
      <c r="CP492" s="30">
        <v>360</v>
      </c>
      <c r="CQ492" s="1">
        <f t="shared" si="218"/>
        <v>0.29532403609515995</v>
      </c>
      <c r="CR492" s="47">
        <v>4075</v>
      </c>
      <c r="CS492" s="55">
        <f t="shared" si="211"/>
        <v>3.3429040196882691</v>
      </c>
      <c r="CT492" s="59">
        <v>997</v>
      </c>
      <c r="CU492" s="29" t="s">
        <v>25</v>
      </c>
      <c r="CV492" s="29" t="s">
        <v>25</v>
      </c>
      <c r="CW492" s="29" t="s">
        <v>25</v>
      </c>
      <c r="CX492" s="35">
        <v>0</v>
      </c>
      <c r="CY492" s="49">
        <v>0</v>
      </c>
      <c r="CZ492" s="35">
        <v>0.5</v>
      </c>
      <c r="DA492" s="35">
        <v>0.4</v>
      </c>
      <c r="DB492" s="35">
        <v>0.9</v>
      </c>
      <c r="DC492" s="49">
        <f t="shared" si="212"/>
        <v>1354.4444444444443</v>
      </c>
      <c r="DD492" s="30">
        <v>88</v>
      </c>
      <c r="DE492" s="31">
        <v>13095</v>
      </c>
      <c r="DF492" s="35">
        <v>20</v>
      </c>
      <c r="DG492" s="29" t="s">
        <v>25</v>
      </c>
      <c r="DH492" s="29" t="s">
        <v>25</v>
      </c>
      <c r="DI492" s="29" t="s">
        <v>25</v>
      </c>
      <c r="DJ492" s="47">
        <v>0</v>
      </c>
      <c r="DK492" s="47">
        <v>0</v>
      </c>
      <c r="DL492" s="47">
        <v>4</v>
      </c>
      <c r="DM492" s="47">
        <v>1080</v>
      </c>
      <c r="DN492" s="47">
        <v>11</v>
      </c>
      <c r="DO492" s="47">
        <v>86</v>
      </c>
      <c r="DP492" s="29" t="s">
        <v>2028</v>
      </c>
      <c r="DQ492" s="47">
        <v>0</v>
      </c>
      <c r="DR492" s="47">
        <v>1768</v>
      </c>
      <c r="DS492" s="30">
        <v>52</v>
      </c>
      <c r="DT492" s="30">
        <v>36</v>
      </c>
      <c r="DU492" s="30">
        <v>36</v>
      </c>
      <c r="DV492" s="30">
        <v>36</v>
      </c>
      <c r="DX492" s="2">
        <f t="shared" si="213"/>
        <v>1768</v>
      </c>
      <c r="DY492" s="33" t="s">
        <v>2179</v>
      </c>
      <c r="DZ492" s="33" t="s">
        <v>1480</v>
      </c>
      <c r="EA492" s="33" t="s">
        <v>2031</v>
      </c>
      <c r="EB492" s="33" t="s">
        <v>2027</v>
      </c>
      <c r="EC492" s="36">
        <v>471</v>
      </c>
      <c r="ED492" s="29" t="s">
        <v>1478</v>
      </c>
      <c r="EE492" s="29" t="s">
        <v>9</v>
      </c>
      <c r="EF492" s="37">
        <v>41548</v>
      </c>
      <c r="EG492" s="37">
        <v>41912</v>
      </c>
      <c r="EH492" s="29" t="s">
        <v>1478</v>
      </c>
      <c r="EI492" s="55">
        <f t="shared" si="214"/>
        <v>0.58818703855619359</v>
      </c>
      <c r="EJ492" s="54">
        <f t="shared" si="215"/>
        <v>0</v>
      </c>
      <c r="EK492" s="55">
        <f t="shared" si="216"/>
        <v>1.0484003281378178</v>
      </c>
      <c r="EL492" s="54">
        <f t="shared" si="217"/>
        <v>0</v>
      </c>
    </row>
    <row r="493" spans="1:142" ht="28.8" x14ac:dyDescent="0.3">
      <c r="A493" s="29" t="s">
        <v>10</v>
      </c>
      <c r="B493" s="29"/>
      <c r="C493" s="30">
        <v>3093</v>
      </c>
      <c r="D493" s="30">
        <v>0</v>
      </c>
      <c r="E493" s="30">
        <v>0</v>
      </c>
      <c r="F493" s="30">
        <v>4970</v>
      </c>
      <c r="H493" s="2">
        <f t="shared" si="193"/>
        <v>4970</v>
      </c>
      <c r="I493" s="1">
        <f t="shared" si="192"/>
        <v>1.6068541868735855</v>
      </c>
      <c r="J493" s="31">
        <v>59479</v>
      </c>
      <c r="K493" s="31">
        <v>26749</v>
      </c>
      <c r="L493" s="31">
        <v>86228</v>
      </c>
      <c r="M493" s="45">
        <f t="shared" si="194"/>
        <v>27.878435176204331</v>
      </c>
      <c r="N493" s="31">
        <v>13597</v>
      </c>
      <c r="O493" s="31">
        <v>0</v>
      </c>
      <c r="P493" s="31">
        <v>6448</v>
      </c>
      <c r="Q493" s="31">
        <v>20045</v>
      </c>
      <c r="R493" s="45">
        <f t="shared" si="195"/>
        <v>6.4807630132557383</v>
      </c>
      <c r="S493" s="31">
        <v>17053</v>
      </c>
      <c r="T493" s="31">
        <v>123326</v>
      </c>
      <c r="U493" s="31">
        <v>0</v>
      </c>
      <c r="V493" s="31">
        <v>123326</v>
      </c>
      <c r="W493" s="45">
        <f t="shared" si="196"/>
        <v>39.872615583575815</v>
      </c>
      <c r="X493" s="4">
        <f t="shared" si="197"/>
        <v>0.69918751925790179</v>
      </c>
      <c r="Y493" s="4">
        <f t="shared" si="198"/>
        <v>0.16253669137083826</v>
      </c>
      <c r="Z493" s="4">
        <f t="shared" si="199"/>
        <v>0.13827578937125992</v>
      </c>
      <c r="AA493" s="4">
        <f t="shared" si="200"/>
        <v>0</v>
      </c>
      <c r="AB493" s="31">
        <v>0</v>
      </c>
      <c r="AC493" s="31">
        <v>20045</v>
      </c>
      <c r="AD493" s="31">
        <v>123326</v>
      </c>
      <c r="AE493" s="31">
        <v>123326</v>
      </c>
      <c r="AF493" s="31">
        <v>0</v>
      </c>
      <c r="AG493" s="31">
        <v>123326</v>
      </c>
      <c r="AH493" s="31">
        <v>0</v>
      </c>
      <c r="AI493" s="31">
        <v>123326</v>
      </c>
      <c r="AJ493" s="45">
        <f t="shared" si="201"/>
        <v>39.872615583575815</v>
      </c>
      <c r="AK493" s="31">
        <v>0</v>
      </c>
      <c r="AL493" s="31">
        <v>0</v>
      </c>
      <c r="AM493" s="31">
        <v>0</v>
      </c>
      <c r="AN493" s="31">
        <v>0</v>
      </c>
      <c r="AO493" s="31">
        <v>0</v>
      </c>
      <c r="AP493" s="31">
        <v>0</v>
      </c>
      <c r="AQ493" s="31">
        <v>0</v>
      </c>
      <c r="AR493" s="31">
        <v>123326</v>
      </c>
      <c r="AS493" s="46">
        <f t="shared" si="202"/>
        <v>39.872615583575815</v>
      </c>
      <c r="AT493" s="31">
        <v>0</v>
      </c>
      <c r="AU493" s="31">
        <v>0</v>
      </c>
      <c r="AV493" s="31">
        <v>0</v>
      </c>
      <c r="AW493" s="31">
        <v>0</v>
      </c>
      <c r="AX493" s="31">
        <v>0</v>
      </c>
      <c r="AY493" s="31">
        <v>0</v>
      </c>
      <c r="AZ493" s="31">
        <v>0</v>
      </c>
      <c r="BA493" s="31">
        <v>0</v>
      </c>
      <c r="BB493" s="31">
        <v>0</v>
      </c>
      <c r="BC493" s="33" t="s">
        <v>25</v>
      </c>
      <c r="BD493" s="47">
        <v>19977</v>
      </c>
      <c r="BE493" s="47">
        <v>20116</v>
      </c>
      <c r="BF493" s="45">
        <f t="shared" si="203"/>
        <v>6.5037180730682183</v>
      </c>
      <c r="BG493" s="30">
        <v>1793</v>
      </c>
      <c r="BH493" s="30">
        <v>1793</v>
      </c>
      <c r="BI493" s="30">
        <v>803</v>
      </c>
      <c r="BJ493" s="30">
        <v>1023</v>
      </c>
      <c r="BK493" s="30">
        <v>1030</v>
      </c>
      <c r="BL493" s="30">
        <v>23</v>
      </c>
      <c r="BM493" s="30">
        <v>3348</v>
      </c>
      <c r="BN493" s="30">
        <v>0</v>
      </c>
      <c r="BO493" s="30">
        <v>51</v>
      </c>
      <c r="BP493" s="30">
        <v>16</v>
      </c>
      <c r="BQ493" s="30">
        <v>67</v>
      </c>
      <c r="BR493" s="47">
        <v>22793</v>
      </c>
      <c r="BS493" s="47">
        <v>27113</v>
      </c>
      <c r="BT493" s="1">
        <f t="shared" si="204"/>
        <v>8.7659230520530222</v>
      </c>
      <c r="BU493" s="30">
        <v>28</v>
      </c>
      <c r="BV493" s="30">
        <v>0</v>
      </c>
      <c r="BW493" s="47">
        <v>3211</v>
      </c>
      <c r="BX493" s="52">
        <f t="shared" si="205"/>
        <v>1.0381506627869383</v>
      </c>
      <c r="BY493" s="47">
        <v>9840</v>
      </c>
      <c r="BZ493" s="47">
        <v>2</v>
      </c>
      <c r="CA493" s="47">
        <v>13037</v>
      </c>
      <c r="CB493" s="47">
        <v>139</v>
      </c>
      <c r="CC493" s="47">
        <v>23018</v>
      </c>
      <c r="CD493" s="55">
        <f t="shared" si="206"/>
        <v>7.4419657290656325</v>
      </c>
      <c r="CE493" s="3">
        <f t="shared" si="207"/>
        <v>13153.142857142857</v>
      </c>
      <c r="CF493" s="55">
        <f t="shared" si="208"/>
        <v>11.509</v>
      </c>
      <c r="CG493" s="55">
        <f t="shared" si="209"/>
        <v>1.0677738089715638</v>
      </c>
      <c r="CH493" s="55">
        <f t="shared" si="210"/>
        <v>0.84376498358720908</v>
      </c>
      <c r="CI493" s="30">
        <v>41</v>
      </c>
      <c r="CJ493" s="30">
        <v>0</v>
      </c>
      <c r="CK493" s="30">
        <v>0</v>
      </c>
      <c r="CL493" s="30">
        <v>41</v>
      </c>
      <c r="CM493" s="30">
        <v>566</v>
      </c>
      <c r="CN493" s="30">
        <v>0</v>
      </c>
      <c r="CO493" s="30">
        <v>0</v>
      </c>
      <c r="CP493" s="30">
        <v>566</v>
      </c>
      <c r="CQ493" s="1">
        <f t="shared" si="218"/>
        <v>0.1829938570966699</v>
      </c>
      <c r="CR493" s="47">
        <v>21557</v>
      </c>
      <c r="CS493" s="55">
        <f t="shared" si="211"/>
        <v>6.9696087940510827</v>
      </c>
      <c r="CT493" s="59">
        <v>922</v>
      </c>
      <c r="CU493" s="29" t="s">
        <v>25</v>
      </c>
      <c r="CV493" s="29" t="s">
        <v>25</v>
      </c>
      <c r="CW493" s="29" t="s">
        <v>25</v>
      </c>
      <c r="CX493" s="35">
        <v>0</v>
      </c>
      <c r="CY493" s="49">
        <v>0</v>
      </c>
      <c r="CZ493" s="35">
        <v>1</v>
      </c>
      <c r="DA493" s="35">
        <v>0.75</v>
      </c>
      <c r="DB493" s="35">
        <v>1.75</v>
      </c>
      <c r="DC493" s="49">
        <f t="shared" si="212"/>
        <v>1767.4285714285713</v>
      </c>
      <c r="DD493" s="30">
        <v>0</v>
      </c>
      <c r="DE493" s="31">
        <v>44509</v>
      </c>
      <c r="DF493" s="35">
        <v>40</v>
      </c>
      <c r="DG493" s="29" t="s">
        <v>25</v>
      </c>
      <c r="DH493" s="29" t="s">
        <v>25</v>
      </c>
      <c r="DI493" s="29" t="s">
        <v>25</v>
      </c>
      <c r="DJ493" s="47">
        <v>0</v>
      </c>
      <c r="DK493" s="47">
        <v>108</v>
      </c>
      <c r="DL493" s="47">
        <v>12</v>
      </c>
      <c r="DM493" s="47">
        <v>10659</v>
      </c>
      <c r="DN493" s="47">
        <v>93</v>
      </c>
      <c r="DO493" s="47">
        <v>1741</v>
      </c>
      <c r="DP493" s="29" t="s">
        <v>2028</v>
      </c>
      <c r="DQ493" s="47">
        <v>0</v>
      </c>
      <c r="DR493" s="47">
        <v>2000</v>
      </c>
      <c r="DS493" s="30">
        <v>52</v>
      </c>
      <c r="DT493" s="30">
        <v>40</v>
      </c>
      <c r="DU493" s="30">
        <v>40</v>
      </c>
      <c r="DV493" s="30">
        <v>40</v>
      </c>
      <c r="DX493" s="2">
        <f t="shared" si="213"/>
        <v>2000</v>
      </c>
      <c r="DY493" s="33" t="s">
        <v>2184</v>
      </c>
      <c r="DZ493" s="33" t="s">
        <v>1255</v>
      </c>
      <c r="EA493" s="33" t="s">
        <v>2031</v>
      </c>
      <c r="EB493" s="33" t="s">
        <v>2027</v>
      </c>
      <c r="EC493" s="36">
        <v>377</v>
      </c>
      <c r="ED493" s="29" t="s">
        <v>1254</v>
      </c>
      <c r="EE493" s="29" t="s">
        <v>8</v>
      </c>
      <c r="EF493" s="37">
        <v>41548</v>
      </c>
      <c r="EG493" s="37">
        <v>41912</v>
      </c>
      <c r="EH493" s="29" t="s">
        <v>1254</v>
      </c>
      <c r="EI493" s="55">
        <f t="shared" si="214"/>
        <v>3.1813773035887487</v>
      </c>
      <c r="EJ493" s="54">
        <f t="shared" si="215"/>
        <v>6.4662140316844492E-4</v>
      </c>
      <c r="EK493" s="55">
        <f t="shared" si="216"/>
        <v>4.2150016165535078</v>
      </c>
      <c r="EL493" s="54">
        <f t="shared" si="217"/>
        <v>4.4940187520206919E-2</v>
      </c>
    </row>
    <row r="494" spans="1:142" ht="28.8" x14ac:dyDescent="0.3">
      <c r="A494" s="29" t="s">
        <v>1429</v>
      </c>
      <c r="B494" s="29"/>
      <c r="C494" s="30">
        <v>5651</v>
      </c>
      <c r="D494" s="30">
        <v>0</v>
      </c>
      <c r="E494" s="30">
        <v>0</v>
      </c>
      <c r="F494" s="30">
        <v>3480</v>
      </c>
      <c r="H494" s="2">
        <f t="shared" si="193"/>
        <v>3480</v>
      </c>
      <c r="I494" s="1">
        <f t="shared" si="192"/>
        <v>0.61582020881259958</v>
      </c>
      <c r="J494" s="31">
        <v>72098</v>
      </c>
      <c r="K494" s="31">
        <v>31431</v>
      </c>
      <c r="L494" s="31">
        <v>103529</v>
      </c>
      <c r="M494" s="45">
        <f t="shared" si="194"/>
        <v>18.320474252344717</v>
      </c>
      <c r="N494" s="31">
        <v>18510</v>
      </c>
      <c r="O494" s="31">
        <v>874</v>
      </c>
      <c r="P494" s="31">
        <v>0</v>
      </c>
      <c r="Q494" s="31">
        <v>19384</v>
      </c>
      <c r="R494" s="45">
        <f t="shared" si="195"/>
        <v>3.430189347018227</v>
      </c>
      <c r="S494" s="31">
        <v>47199</v>
      </c>
      <c r="T494" s="31">
        <v>170112</v>
      </c>
      <c r="U494" s="31">
        <v>0</v>
      </c>
      <c r="V494" s="31">
        <v>170112</v>
      </c>
      <c r="W494" s="45">
        <f t="shared" si="196"/>
        <v>30.102990621129003</v>
      </c>
      <c r="X494" s="4">
        <f t="shared" si="197"/>
        <v>0.60859316215199399</v>
      </c>
      <c r="Y494" s="4">
        <f t="shared" si="198"/>
        <v>0.1139484574868322</v>
      </c>
      <c r="Z494" s="4">
        <f t="shared" si="199"/>
        <v>0.27745838036117382</v>
      </c>
      <c r="AA494" s="4">
        <f t="shared" si="200"/>
        <v>0</v>
      </c>
      <c r="AB494" s="31">
        <v>0</v>
      </c>
      <c r="AC494" s="31">
        <v>19384</v>
      </c>
      <c r="AD494" s="31">
        <v>170112</v>
      </c>
      <c r="AE494" s="31">
        <v>150728</v>
      </c>
      <c r="AF494" s="31">
        <v>170112</v>
      </c>
      <c r="AG494" s="31">
        <v>0</v>
      </c>
      <c r="AH494" s="31">
        <v>0</v>
      </c>
      <c r="AI494" s="31">
        <v>170112</v>
      </c>
      <c r="AJ494" s="45">
        <f t="shared" si="201"/>
        <v>30.102990621129003</v>
      </c>
      <c r="AK494" s="31">
        <v>0</v>
      </c>
      <c r="AL494" s="31">
        <v>0</v>
      </c>
      <c r="AM494" s="31">
        <v>0</v>
      </c>
      <c r="AN494" s="31">
        <v>0</v>
      </c>
      <c r="AO494" s="31">
        <v>0</v>
      </c>
      <c r="AP494" s="31">
        <v>1413</v>
      </c>
      <c r="AQ494" s="31">
        <v>1413</v>
      </c>
      <c r="AR494" s="31">
        <v>171525</v>
      </c>
      <c r="AS494" s="46">
        <f t="shared" si="202"/>
        <v>30.353034861086535</v>
      </c>
      <c r="AT494" s="31">
        <v>0</v>
      </c>
      <c r="AU494" s="31">
        <v>0</v>
      </c>
      <c r="AV494" s="31">
        <v>0</v>
      </c>
      <c r="AW494" s="31">
        <v>0</v>
      </c>
      <c r="AX494" s="31">
        <v>0</v>
      </c>
      <c r="AY494" s="31">
        <v>0</v>
      </c>
      <c r="AZ494" s="31">
        <v>0</v>
      </c>
      <c r="BA494" s="31">
        <v>0</v>
      </c>
      <c r="BB494" s="31">
        <v>0</v>
      </c>
      <c r="BC494" s="33" t="s">
        <v>25</v>
      </c>
      <c r="BD494" s="47">
        <v>49159</v>
      </c>
      <c r="BE494" s="47">
        <v>49934</v>
      </c>
      <c r="BF494" s="45">
        <f t="shared" si="203"/>
        <v>8.8363121571403287</v>
      </c>
      <c r="BG494" s="30">
        <v>217</v>
      </c>
      <c r="BH494" s="30">
        <v>217</v>
      </c>
      <c r="BI494" s="30">
        <v>0</v>
      </c>
      <c r="BJ494" s="30">
        <v>3570</v>
      </c>
      <c r="BK494" s="30">
        <v>3572</v>
      </c>
      <c r="BL494" s="30">
        <v>0</v>
      </c>
      <c r="BM494" s="30">
        <v>0</v>
      </c>
      <c r="BN494" s="30">
        <v>0</v>
      </c>
      <c r="BO494" s="30">
        <v>51</v>
      </c>
      <c r="BP494" s="30">
        <v>2</v>
      </c>
      <c r="BQ494" s="30">
        <v>53</v>
      </c>
      <c r="BR494" s="47">
        <v>52946</v>
      </c>
      <c r="BS494" s="47">
        <v>53723</v>
      </c>
      <c r="BT494" s="1">
        <f t="shared" si="204"/>
        <v>9.5068129534595656</v>
      </c>
      <c r="BU494" s="30">
        <v>68</v>
      </c>
      <c r="BV494" s="30">
        <v>0</v>
      </c>
      <c r="BW494" s="47">
        <v>82</v>
      </c>
      <c r="BX494" s="52">
        <f t="shared" si="205"/>
        <v>1.4510706069722172E-2</v>
      </c>
      <c r="BY494" s="47">
        <v>12520</v>
      </c>
      <c r="BZ494" s="47">
        <v>0</v>
      </c>
      <c r="CA494" s="47">
        <v>11134</v>
      </c>
      <c r="CB494" s="47">
        <v>0</v>
      </c>
      <c r="CC494" s="47">
        <v>23654</v>
      </c>
      <c r="CD494" s="55">
        <f t="shared" si="206"/>
        <v>4.1858078216244916</v>
      </c>
      <c r="CE494" s="3">
        <f t="shared" si="207"/>
        <v>10284.347826086958</v>
      </c>
      <c r="CF494" s="55">
        <f t="shared" si="208"/>
        <v>10.471004869411244</v>
      </c>
      <c r="CG494" s="55">
        <f t="shared" si="209"/>
        <v>2.601055641082032</v>
      </c>
      <c r="CH494" s="55">
        <f t="shared" si="210"/>
        <v>0.44029559034305604</v>
      </c>
      <c r="CI494" s="30">
        <v>31</v>
      </c>
      <c r="CJ494" s="30">
        <v>0</v>
      </c>
      <c r="CK494" s="30">
        <v>0</v>
      </c>
      <c r="CL494" s="30">
        <v>31</v>
      </c>
      <c r="CM494" s="30">
        <v>153</v>
      </c>
      <c r="CN494" s="30">
        <v>0</v>
      </c>
      <c r="CO494" s="30">
        <v>0</v>
      </c>
      <c r="CP494" s="30">
        <v>153</v>
      </c>
      <c r="CQ494" s="1">
        <f t="shared" si="218"/>
        <v>2.7074854008140151E-2</v>
      </c>
      <c r="CR494" s="47">
        <v>9094</v>
      </c>
      <c r="CS494" s="55">
        <f t="shared" si="211"/>
        <v>1.6092726950982128</v>
      </c>
      <c r="CT494" s="59">
        <v>5069</v>
      </c>
      <c r="CU494" s="29" t="s">
        <v>25</v>
      </c>
      <c r="CV494" s="29" t="s">
        <v>25</v>
      </c>
      <c r="CW494" s="29" t="s">
        <v>25</v>
      </c>
      <c r="CX494" s="35">
        <v>0</v>
      </c>
      <c r="CY494" s="49">
        <v>0</v>
      </c>
      <c r="CZ494" s="35">
        <v>0.5</v>
      </c>
      <c r="DA494" s="35">
        <v>1.8</v>
      </c>
      <c r="DB494" s="35">
        <v>2.2999999999999998</v>
      </c>
      <c r="DC494" s="49">
        <f t="shared" si="212"/>
        <v>2456.9565217391305</v>
      </c>
      <c r="DD494" s="30">
        <v>359</v>
      </c>
      <c r="DE494" s="31">
        <v>18049</v>
      </c>
      <c r="DF494" s="35">
        <v>20</v>
      </c>
      <c r="DG494" s="29" t="s">
        <v>25</v>
      </c>
      <c r="DH494" s="29" t="s">
        <v>25</v>
      </c>
      <c r="DI494" s="29" t="s">
        <v>25</v>
      </c>
      <c r="DJ494" s="47">
        <v>7</v>
      </c>
      <c r="DK494" s="47">
        <v>77</v>
      </c>
      <c r="DL494" s="47">
        <v>6</v>
      </c>
      <c r="DM494" s="47">
        <v>2085</v>
      </c>
      <c r="DN494" s="47">
        <v>251</v>
      </c>
      <c r="DO494" s="47">
        <v>239</v>
      </c>
      <c r="DP494" s="29" t="s">
        <v>25</v>
      </c>
      <c r="DQ494" s="47">
        <v>3086</v>
      </c>
      <c r="DR494" s="47">
        <v>2259</v>
      </c>
      <c r="DS494" s="30">
        <v>52</v>
      </c>
      <c r="DT494" s="30">
        <v>45</v>
      </c>
      <c r="DU494" s="30">
        <v>45</v>
      </c>
      <c r="DV494" s="30">
        <v>45</v>
      </c>
      <c r="DX494" s="2">
        <f t="shared" si="213"/>
        <v>2259</v>
      </c>
      <c r="DY494" s="33" t="s">
        <v>2182</v>
      </c>
      <c r="DZ494" s="33" t="s">
        <v>1431</v>
      </c>
      <c r="EA494" s="33" t="s">
        <v>2030</v>
      </c>
      <c r="EB494" s="33" t="s">
        <v>2027</v>
      </c>
      <c r="EC494" s="36">
        <v>449</v>
      </c>
      <c r="ED494" s="29" t="s">
        <v>1430</v>
      </c>
      <c r="EE494" s="29" t="s">
        <v>269</v>
      </c>
      <c r="EF494" s="37">
        <v>41548</v>
      </c>
      <c r="EG494" s="37">
        <v>41912</v>
      </c>
      <c r="EH494" s="29" t="s">
        <v>1430</v>
      </c>
      <c r="EI494" s="55">
        <f t="shared" si="214"/>
        <v>2.2155370730844099</v>
      </c>
      <c r="EJ494" s="54">
        <f t="shared" si="215"/>
        <v>0</v>
      </c>
      <c r="EK494" s="55">
        <f t="shared" si="216"/>
        <v>1.9702707485400814</v>
      </c>
      <c r="EL494" s="54">
        <f t="shared" si="217"/>
        <v>0</v>
      </c>
    </row>
    <row r="495" spans="1:142" ht="28.8" x14ac:dyDescent="0.3">
      <c r="A495" s="29" t="s">
        <v>1256</v>
      </c>
      <c r="B495" s="29"/>
      <c r="C495" s="30">
        <v>15037</v>
      </c>
      <c r="D495" s="30">
        <v>0</v>
      </c>
      <c r="E495" s="30">
        <v>0</v>
      </c>
      <c r="F495" s="30">
        <v>9980</v>
      </c>
      <c r="H495" s="2">
        <f t="shared" si="193"/>
        <v>9980</v>
      </c>
      <c r="I495" s="1">
        <f t="shared" si="192"/>
        <v>0.66369621600053197</v>
      </c>
      <c r="J495" s="31">
        <v>121439</v>
      </c>
      <c r="K495" s="31">
        <v>53717</v>
      </c>
      <c r="L495" s="31">
        <v>175156</v>
      </c>
      <c r="M495" s="45">
        <f t="shared" si="194"/>
        <v>11.648334109197313</v>
      </c>
      <c r="N495" s="31">
        <v>16346</v>
      </c>
      <c r="O495" s="31">
        <v>4085</v>
      </c>
      <c r="P495" s="31">
        <v>2638</v>
      </c>
      <c r="Q495" s="31">
        <v>23069</v>
      </c>
      <c r="R495" s="45">
        <f t="shared" si="195"/>
        <v>1.5341490988894062</v>
      </c>
      <c r="S495" s="31">
        <v>29639</v>
      </c>
      <c r="T495" s="31">
        <v>227864</v>
      </c>
      <c r="U495" s="31">
        <v>0</v>
      </c>
      <c r="V495" s="31">
        <v>227864</v>
      </c>
      <c r="W495" s="45">
        <f t="shared" si="196"/>
        <v>15.153554565405333</v>
      </c>
      <c r="X495" s="4">
        <f t="shared" si="197"/>
        <v>0.76868658498051468</v>
      </c>
      <c r="Y495" s="4">
        <f t="shared" si="198"/>
        <v>0.10124021346066074</v>
      </c>
      <c r="Z495" s="4">
        <f t="shared" si="199"/>
        <v>0.13007320155882457</v>
      </c>
      <c r="AA495" s="4">
        <f t="shared" si="200"/>
        <v>0</v>
      </c>
      <c r="AB495" s="31">
        <v>0</v>
      </c>
      <c r="AC495" s="31">
        <v>23069</v>
      </c>
      <c r="AD495" s="31">
        <v>227864</v>
      </c>
      <c r="AE495" s="31">
        <v>204795</v>
      </c>
      <c r="AF495" s="31">
        <v>34417</v>
      </c>
      <c r="AG495" s="31">
        <v>175156</v>
      </c>
      <c r="AH495" s="31">
        <v>0</v>
      </c>
      <c r="AI495" s="31">
        <v>209573</v>
      </c>
      <c r="AJ495" s="45">
        <f t="shared" si="201"/>
        <v>13.937155017623196</v>
      </c>
      <c r="AK495" s="31">
        <v>0</v>
      </c>
      <c r="AL495" s="31">
        <v>0</v>
      </c>
      <c r="AM495" s="31">
        <v>0</v>
      </c>
      <c r="AN495" s="31">
        <v>0</v>
      </c>
      <c r="AO495" s="31">
        <v>0</v>
      </c>
      <c r="AP495" s="31">
        <v>28414</v>
      </c>
      <c r="AQ495" s="31">
        <v>28414</v>
      </c>
      <c r="AR495" s="31">
        <v>237987</v>
      </c>
      <c r="AS495" s="46">
        <f t="shared" si="202"/>
        <v>15.826760657045954</v>
      </c>
      <c r="AT495" s="31">
        <v>0</v>
      </c>
      <c r="AU495" s="31">
        <v>0</v>
      </c>
      <c r="AV495" s="31">
        <v>0</v>
      </c>
      <c r="AW495" s="31">
        <v>0</v>
      </c>
      <c r="AX495" s="31">
        <v>0</v>
      </c>
      <c r="AY495" s="31">
        <v>0</v>
      </c>
      <c r="AZ495" s="31">
        <v>0</v>
      </c>
      <c r="BA495" s="31">
        <v>0</v>
      </c>
      <c r="BB495" s="31">
        <v>0</v>
      </c>
      <c r="BC495" s="33" t="s">
        <v>25</v>
      </c>
      <c r="BD495" s="47">
        <v>36949</v>
      </c>
      <c r="BE495" s="47">
        <v>38515</v>
      </c>
      <c r="BF495" s="45">
        <f t="shared" si="203"/>
        <v>2.5613486732725943</v>
      </c>
      <c r="BG495" s="30">
        <v>1224</v>
      </c>
      <c r="BH495" s="30">
        <v>1242</v>
      </c>
      <c r="BI495" s="30">
        <v>752</v>
      </c>
      <c r="BJ495" s="30">
        <v>193</v>
      </c>
      <c r="BK495" s="30">
        <v>196</v>
      </c>
      <c r="BL495" s="30">
        <v>0</v>
      </c>
      <c r="BM495" s="30">
        <v>1151</v>
      </c>
      <c r="BN495" s="30">
        <v>0</v>
      </c>
      <c r="BO495" s="30">
        <v>51</v>
      </c>
      <c r="BP495" s="30">
        <v>0</v>
      </c>
      <c r="BQ495" s="30">
        <v>51</v>
      </c>
      <c r="BR495" s="47">
        <v>38366</v>
      </c>
      <c r="BS495" s="47">
        <v>41856</v>
      </c>
      <c r="BT495" s="1">
        <f t="shared" si="204"/>
        <v>2.7835339495910087</v>
      </c>
      <c r="BU495" s="30">
        <v>26</v>
      </c>
      <c r="BV495" s="30">
        <v>0</v>
      </c>
      <c r="BW495" s="47">
        <v>5025</v>
      </c>
      <c r="BX495" s="52">
        <f t="shared" si="205"/>
        <v>0.33417569994014762</v>
      </c>
      <c r="BY495" s="47">
        <v>9708</v>
      </c>
      <c r="BZ495" s="47">
        <v>0</v>
      </c>
      <c r="CA495" s="47">
        <v>35364</v>
      </c>
      <c r="CB495" s="47">
        <v>1020</v>
      </c>
      <c r="CC495" s="47">
        <v>46092</v>
      </c>
      <c r="CD495" s="55">
        <f t="shared" si="206"/>
        <v>3.0652390769435391</v>
      </c>
      <c r="CE495" s="3">
        <f t="shared" si="207"/>
        <v>9965.8378378378384</v>
      </c>
      <c r="CF495" s="55">
        <f t="shared" si="208"/>
        <v>21.619136960600375</v>
      </c>
      <c r="CG495" s="55">
        <f t="shared" si="209"/>
        <v>1.0313716715148802</v>
      </c>
      <c r="CH495" s="55">
        <f t="shared" si="210"/>
        <v>1.076834862385321</v>
      </c>
      <c r="CI495" s="30">
        <v>162</v>
      </c>
      <c r="CJ495" s="30">
        <v>8</v>
      </c>
      <c r="CK495" s="30">
        <v>82</v>
      </c>
      <c r="CL495" s="30">
        <v>252</v>
      </c>
      <c r="CM495" s="30">
        <v>2500</v>
      </c>
      <c r="CN495" s="30">
        <v>48</v>
      </c>
      <c r="CO495" s="30">
        <v>620</v>
      </c>
      <c r="CP495" s="30">
        <v>3168</v>
      </c>
      <c r="CQ495" s="1">
        <f t="shared" si="218"/>
        <v>0.21068032187271396</v>
      </c>
      <c r="CR495" s="47">
        <v>44690</v>
      </c>
      <c r="CS495" s="55">
        <f t="shared" si="211"/>
        <v>2.9720023940945666</v>
      </c>
      <c r="CT495" s="59">
        <v>8675</v>
      </c>
      <c r="CU495" s="29" t="s">
        <v>25</v>
      </c>
      <c r="CV495" s="29" t="s">
        <v>25</v>
      </c>
      <c r="CW495" s="29" t="s">
        <v>25</v>
      </c>
      <c r="CX495" s="35">
        <v>0</v>
      </c>
      <c r="CY495" s="49">
        <v>0</v>
      </c>
      <c r="CZ495" s="35">
        <v>1</v>
      </c>
      <c r="DA495" s="35">
        <v>3.625</v>
      </c>
      <c r="DB495" s="35">
        <v>4.625</v>
      </c>
      <c r="DC495" s="49">
        <f t="shared" si="212"/>
        <v>3251.2432432432433</v>
      </c>
      <c r="DD495" s="30">
        <v>1200</v>
      </c>
      <c r="DE495" s="31">
        <v>32371</v>
      </c>
      <c r="DF495" s="35">
        <v>40</v>
      </c>
      <c r="DG495" s="29" t="s">
        <v>25</v>
      </c>
      <c r="DH495" s="29" t="s">
        <v>25</v>
      </c>
      <c r="DI495" s="29" t="s">
        <v>25</v>
      </c>
      <c r="DJ495" s="47">
        <v>82</v>
      </c>
      <c r="DK495" s="47">
        <v>57</v>
      </c>
      <c r="DL495" s="47">
        <v>9</v>
      </c>
      <c r="DM495" s="47">
        <v>9453</v>
      </c>
      <c r="DN495" s="47">
        <v>5</v>
      </c>
      <c r="DO495" s="47">
        <v>810</v>
      </c>
      <c r="DP495" s="29" t="s">
        <v>2028</v>
      </c>
      <c r="DQ495" s="47">
        <v>0</v>
      </c>
      <c r="DR495" s="47">
        <v>2132</v>
      </c>
      <c r="DS495" s="30">
        <v>52</v>
      </c>
      <c r="DT495" s="30">
        <v>41</v>
      </c>
      <c r="DU495" s="30">
        <v>41</v>
      </c>
      <c r="DV495" s="30">
        <v>41</v>
      </c>
      <c r="DX495" s="2">
        <f t="shared" si="213"/>
        <v>2132</v>
      </c>
      <c r="DY495" s="33" t="s">
        <v>2179</v>
      </c>
      <c r="DZ495" s="33" t="s">
        <v>1259</v>
      </c>
      <c r="EA495" s="33" t="s">
        <v>2034</v>
      </c>
      <c r="EB495" s="33" t="s">
        <v>2027</v>
      </c>
      <c r="EC495" s="36">
        <v>379</v>
      </c>
      <c r="ED495" s="29" t="s">
        <v>1257</v>
      </c>
      <c r="EE495" s="29" t="s">
        <v>1258</v>
      </c>
      <c r="EF495" s="37">
        <v>41548</v>
      </c>
      <c r="EG495" s="37">
        <v>41912</v>
      </c>
      <c r="EH495" s="29" t="s">
        <v>1257</v>
      </c>
      <c r="EI495" s="55">
        <f t="shared" si="214"/>
        <v>0.64560750149630908</v>
      </c>
      <c r="EJ495" s="54">
        <f t="shared" si="215"/>
        <v>0</v>
      </c>
      <c r="EK495" s="55">
        <f t="shared" si="216"/>
        <v>2.351798896056394</v>
      </c>
      <c r="EL495" s="54">
        <f t="shared" si="217"/>
        <v>6.783267939083594E-2</v>
      </c>
    </row>
    <row r="496" spans="1:142" ht="28.8" x14ac:dyDescent="0.3">
      <c r="A496" s="29" t="s">
        <v>1260</v>
      </c>
      <c r="B496" s="29"/>
      <c r="C496" s="30">
        <v>4130</v>
      </c>
      <c r="D496" s="30">
        <v>0</v>
      </c>
      <c r="E496" s="30">
        <v>0</v>
      </c>
      <c r="F496" s="30">
        <v>1332</v>
      </c>
      <c r="H496" s="2">
        <f t="shared" si="193"/>
        <v>1332</v>
      </c>
      <c r="I496" s="1">
        <f t="shared" si="192"/>
        <v>0.32251815980629539</v>
      </c>
      <c r="J496" s="31">
        <v>50209</v>
      </c>
      <c r="K496" s="31">
        <v>12390</v>
      </c>
      <c r="L496" s="31">
        <v>62599</v>
      </c>
      <c r="M496" s="45">
        <f t="shared" si="194"/>
        <v>15.157142857142857</v>
      </c>
      <c r="N496" s="31">
        <v>19314</v>
      </c>
      <c r="O496" s="31">
        <v>0</v>
      </c>
      <c r="P496" s="31">
        <v>4632</v>
      </c>
      <c r="Q496" s="31">
        <v>23946</v>
      </c>
      <c r="R496" s="45">
        <f t="shared" si="195"/>
        <v>5.7980629539951574</v>
      </c>
      <c r="S496" s="31">
        <v>7123</v>
      </c>
      <c r="T496" s="31">
        <v>93668</v>
      </c>
      <c r="U496" s="31">
        <v>0</v>
      </c>
      <c r="V496" s="31">
        <v>93668</v>
      </c>
      <c r="W496" s="45">
        <f t="shared" si="196"/>
        <v>22.679903147699758</v>
      </c>
      <c r="X496" s="4">
        <f t="shared" si="197"/>
        <v>0.66830721270871585</v>
      </c>
      <c r="Y496" s="4">
        <f t="shared" si="198"/>
        <v>0.25564760643976597</v>
      </c>
      <c r="Z496" s="4">
        <f t="shared" si="199"/>
        <v>7.6045180851518124E-2</v>
      </c>
      <c r="AA496" s="4">
        <f t="shared" si="200"/>
        <v>0</v>
      </c>
      <c r="AB496" s="31">
        <v>0</v>
      </c>
      <c r="AC496" s="31">
        <v>22956</v>
      </c>
      <c r="AD496" s="31">
        <v>90801</v>
      </c>
      <c r="AE496" s="31">
        <v>47394</v>
      </c>
      <c r="AF496" s="31">
        <v>47394</v>
      </c>
      <c r="AG496" s="31">
        <v>1000</v>
      </c>
      <c r="AH496" s="31">
        <v>0</v>
      </c>
      <c r="AI496" s="31">
        <v>48394</v>
      </c>
      <c r="AJ496" s="45">
        <f t="shared" si="201"/>
        <v>11.717675544794188</v>
      </c>
      <c r="AK496" s="31">
        <v>0</v>
      </c>
      <c r="AL496" s="31">
        <v>0</v>
      </c>
      <c r="AM496" s="31">
        <v>0</v>
      </c>
      <c r="AN496" s="31">
        <v>0</v>
      </c>
      <c r="AO496" s="31">
        <v>0</v>
      </c>
      <c r="AP496" s="31">
        <v>42407</v>
      </c>
      <c r="AQ496" s="31">
        <v>42407</v>
      </c>
      <c r="AR496" s="31">
        <v>90801</v>
      </c>
      <c r="AS496" s="46">
        <f t="shared" si="202"/>
        <v>21.985714285714284</v>
      </c>
      <c r="AT496" s="31">
        <v>0</v>
      </c>
      <c r="AU496" s="31">
        <v>0</v>
      </c>
      <c r="AV496" s="31">
        <v>0</v>
      </c>
      <c r="AW496" s="31">
        <v>0</v>
      </c>
      <c r="AX496" s="31">
        <v>0</v>
      </c>
      <c r="AY496" s="31">
        <v>0</v>
      </c>
      <c r="AZ496" s="31">
        <v>0</v>
      </c>
      <c r="BA496" s="31">
        <v>0</v>
      </c>
      <c r="BB496" s="31">
        <v>0</v>
      </c>
      <c r="BC496" s="33" t="s">
        <v>25</v>
      </c>
      <c r="BD496" s="47">
        <v>14532</v>
      </c>
      <c r="BE496" s="47">
        <v>14986</v>
      </c>
      <c r="BF496" s="45">
        <f t="shared" si="203"/>
        <v>3.6285714285714286</v>
      </c>
      <c r="BG496" s="30">
        <v>410</v>
      </c>
      <c r="BH496" s="30">
        <v>422</v>
      </c>
      <c r="BI496" s="30">
        <v>0</v>
      </c>
      <c r="BJ496" s="30">
        <v>898</v>
      </c>
      <c r="BK496" s="30">
        <v>903</v>
      </c>
      <c r="BL496" s="30">
        <v>413</v>
      </c>
      <c r="BM496" s="30">
        <v>0</v>
      </c>
      <c r="BN496" s="30">
        <v>0</v>
      </c>
      <c r="BO496" s="30">
        <v>51</v>
      </c>
      <c r="BP496" s="30">
        <v>0</v>
      </c>
      <c r="BQ496" s="30">
        <v>51</v>
      </c>
      <c r="BR496" s="47">
        <v>15840</v>
      </c>
      <c r="BS496" s="47">
        <v>16724</v>
      </c>
      <c r="BT496" s="1">
        <f t="shared" si="204"/>
        <v>4.0493946731234871</v>
      </c>
      <c r="BU496" s="30">
        <v>11</v>
      </c>
      <c r="BV496" s="30">
        <v>0</v>
      </c>
      <c r="BW496" s="47">
        <v>1874</v>
      </c>
      <c r="BX496" s="52">
        <f t="shared" si="205"/>
        <v>0.45375302663438255</v>
      </c>
      <c r="BY496" s="47">
        <v>935</v>
      </c>
      <c r="BZ496" s="47">
        <v>105</v>
      </c>
      <c r="CA496" s="47">
        <v>5667</v>
      </c>
      <c r="CB496" s="47">
        <v>292</v>
      </c>
      <c r="CC496" s="47">
        <v>6999</v>
      </c>
      <c r="CD496" s="55">
        <f t="shared" si="206"/>
        <v>1.6946731234866828</v>
      </c>
      <c r="CE496" s="3">
        <f t="shared" si="207"/>
        <v>3499.5</v>
      </c>
      <c r="CF496" s="55">
        <f t="shared" si="208"/>
        <v>3.5420040485829958</v>
      </c>
      <c r="CG496" s="55">
        <f t="shared" si="209"/>
        <v>0.74157660521296886</v>
      </c>
      <c r="CH496" s="55">
        <f t="shared" si="210"/>
        <v>0.39476201865582394</v>
      </c>
      <c r="CI496" s="30">
        <v>127</v>
      </c>
      <c r="CJ496" s="30">
        <v>6</v>
      </c>
      <c r="CK496" s="30">
        <v>26</v>
      </c>
      <c r="CL496" s="30">
        <v>159</v>
      </c>
      <c r="CM496" s="30">
        <v>5985</v>
      </c>
      <c r="CN496" s="30">
        <v>156</v>
      </c>
      <c r="CO496" s="30">
        <v>98</v>
      </c>
      <c r="CP496" s="30">
        <v>6239</v>
      </c>
      <c r="CQ496" s="1">
        <f t="shared" si="218"/>
        <v>1.5106537530266344</v>
      </c>
      <c r="CR496" s="47">
        <v>9438</v>
      </c>
      <c r="CS496" s="55">
        <f t="shared" si="211"/>
        <v>2.285230024213075</v>
      </c>
      <c r="CT496" s="59">
        <v>4268</v>
      </c>
      <c r="CU496" s="29" t="s">
        <v>25</v>
      </c>
      <c r="CV496" s="29" t="s">
        <v>25</v>
      </c>
      <c r="CW496" s="29" t="s">
        <v>25</v>
      </c>
      <c r="CX496" s="35">
        <v>0</v>
      </c>
      <c r="CY496" s="49">
        <v>0</v>
      </c>
      <c r="CZ496" s="35">
        <v>1</v>
      </c>
      <c r="DA496" s="35">
        <v>1</v>
      </c>
      <c r="DB496" s="35">
        <v>2</v>
      </c>
      <c r="DC496" s="49">
        <f t="shared" si="212"/>
        <v>2065</v>
      </c>
      <c r="DD496" s="30">
        <v>315</v>
      </c>
      <c r="DE496" s="31">
        <v>38775</v>
      </c>
      <c r="DF496" s="35">
        <v>40</v>
      </c>
      <c r="DG496" s="29" t="s">
        <v>25</v>
      </c>
      <c r="DH496" s="29" t="s">
        <v>26</v>
      </c>
      <c r="DI496" s="29" t="s">
        <v>26</v>
      </c>
      <c r="DJ496" s="47">
        <v>5</v>
      </c>
      <c r="DK496" s="47">
        <v>3</v>
      </c>
      <c r="DL496" s="47">
        <v>10</v>
      </c>
      <c r="DM496" s="47">
        <v>3831</v>
      </c>
      <c r="DN496" s="47">
        <v>36</v>
      </c>
      <c r="DO496" s="47">
        <v>285</v>
      </c>
      <c r="DP496" s="29" t="s">
        <v>2028</v>
      </c>
      <c r="DQ496" s="47">
        <v>0</v>
      </c>
      <c r="DR496" s="47">
        <v>1976</v>
      </c>
      <c r="DS496" s="30">
        <v>52</v>
      </c>
      <c r="DT496" s="30">
        <v>40</v>
      </c>
      <c r="DU496" s="30">
        <v>40</v>
      </c>
      <c r="DV496" s="30">
        <v>40</v>
      </c>
      <c r="DX496" s="2">
        <f t="shared" si="213"/>
        <v>1976</v>
      </c>
      <c r="DY496" s="33" t="s">
        <v>2180</v>
      </c>
      <c r="DZ496" s="33" t="s">
        <v>1262</v>
      </c>
      <c r="EA496" s="33" t="s">
        <v>2030</v>
      </c>
      <c r="EB496" s="33" t="s">
        <v>2027</v>
      </c>
      <c r="EC496" s="36">
        <v>380</v>
      </c>
      <c r="ED496" s="29" t="s">
        <v>1261</v>
      </c>
      <c r="EE496" s="29" t="s">
        <v>81</v>
      </c>
      <c r="EF496" s="37">
        <v>41640</v>
      </c>
      <c r="EG496" s="37">
        <v>42004</v>
      </c>
      <c r="EH496" s="29" t="s">
        <v>1261</v>
      </c>
      <c r="EI496" s="55">
        <f t="shared" si="214"/>
        <v>0.22639225181598063</v>
      </c>
      <c r="EJ496" s="54">
        <f t="shared" si="215"/>
        <v>2.5423728813559324E-2</v>
      </c>
      <c r="EK496" s="55">
        <f t="shared" si="216"/>
        <v>1.3721549636803874</v>
      </c>
      <c r="EL496" s="54">
        <f t="shared" si="217"/>
        <v>7.0702179176755447E-2</v>
      </c>
    </row>
    <row r="497" spans="1:142" ht="28.8" x14ac:dyDescent="0.3">
      <c r="A497" s="29" t="s">
        <v>1263</v>
      </c>
      <c r="B497" s="29"/>
      <c r="C497" s="30">
        <v>5723</v>
      </c>
      <c r="D497" s="30">
        <v>0</v>
      </c>
      <c r="E497" s="30">
        <v>0</v>
      </c>
      <c r="F497" s="30">
        <v>1208</v>
      </c>
      <c r="H497" s="2">
        <f t="shared" si="193"/>
        <v>1208</v>
      </c>
      <c r="I497" s="1">
        <f t="shared" si="192"/>
        <v>0.21107810588852</v>
      </c>
      <c r="J497" s="31">
        <v>28751</v>
      </c>
      <c r="K497" s="31">
        <v>8371</v>
      </c>
      <c r="L497" s="31">
        <v>37122</v>
      </c>
      <c r="M497" s="45">
        <f t="shared" si="194"/>
        <v>6.4864581513192379</v>
      </c>
      <c r="N497" s="31">
        <v>8882</v>
      </c>
      <c r="O497" s="31">
        <v>667</v>
      </c>
      <c r="P497" s="31">
        <v>2062</v>
      </c>
      <c r="Q497" s="31">
        <v>11611</v>
      </c>
      <c r="R497" s="45">
        <f t="shared" si="195"/>
        <v>2.0288310326751704</v>
      </c>
      <c r="S497" s="31">
        <v>7223</v>
      </c>
      <c r="T497" s="31">
        <v>55956</v>
      </c>
      <c r="U497" s="31">
        <v>0</v>
      </c>
      <c r="V497" s="31">
        <v>55956</v>
      </c>
      <c r="W497" s="45">
        <f t="shared" si="196"/>
        <v>9.7773894810414124</v>
      </c>
      <c r="X497" s="4">
        <f t="shared" si="197"/>
        <v>0.66341411108728288</v>
      </c>
      <c r="Y497" s="4">
        <f t="shared" si="198"/>
        <v>0.20750232325398527</v>
      </c>
      <c r="Z497" s="4">
        <f t="shared" si="199"/>
        <v>0.12908356565873186</v>
      </c>
      <c r="AA497" s="4">
        <f t="shared" si="200"/>
        <v>0</v>
      </c>
      <c r="AB497" s="31">
        <v>0</v>
      </c>
      <c r="AC497" s="31">
        <v>11398</v>
      </c>
      <c r="AD497" s="31">
        <v>55743</v>
      </c>
      <c r="AE497" s="31">
        <v>50422</v>
      </c>
      <c r="AF497" s="31">
        <v>29865</v>
      </c>
      <c r="AG497" s="31">
        <v>20557</v>
      </c>
      <c r="AH497" s="31">
        <v>0</v>
      </c>
      <c r="AI497" s="31">
        <v>50422</v>
      </c>
      <c r="AJ497" s="45">
        <f t="shared" si="201"/>
        <v>8.8104141184693336</v>
      </c>
      <c r="AK497" s="31">
        <v>0</v>
      </c>
      <c r="AL497" s="31">
        <v>0</v>
      </c>
      <c r="AM497" s="31">
        <v>0</v>
      </c>
      <c r="AN497" s="31">
        <v>0</v>
      </c>
      <c r="AO497" s="31">
        <v>0</v>
      </c>
      <c r="AP497" s="31">
        <v>13140</v>
      </c>
      <c r="AQ497" s="31">
        <v>13140</v>
      </c>
      <c r="AR497" s="31">
        <v>63562</v>
      </c>
      <c r="AS497" s="46">
        <f t="shared" si="202"/>
        <v>11.106412720601083</v>
      </c>
      <c r="AT497" s="31">
        <v>0</v>
      </c>
      <c r="AU497" s="31">
        <v>0</v>
      </c>
      <c r="AV497" s="31">
        <v>0</v>
      </c>
      <c r="AW497" s="31">
        <v>0</v>
      </c>
      <c r="AX497" s="31">
        <v>0</v>
      </c>
      <c r="AY497" s="31">
        <v>0</v>
      </c>
      <c r="AZ497" s="31">
        <v>0</v>
      </c>
      <c r="BA497" s="31">
        <v>0</v>
      </c>
      <c r="BB497" s="31">
        <v>0</v>
      </c>
      <c r="BC497" s="33" t="s">
        <v>25</v>
      </c>
      <c r="BD497" s="47">
        <v>7835</v>
      </c>
      <c r="BE497" s="47">
        <v>7956</v>
      </c>
      <c r="BF497" s="45">
        <f t="shared" si="203"/>
        <v>1.3901799755373057</v>
      </c>
      <c r="BG497" s="30">
        <v>446</v>
      </c>
      <c r="BH497" s="30">
        <v>447</v>
      </c>
      <c r="BI497" s="30">
        <v>108</v>
      </c>
      <c r="BJ497" s="30">
        <v>420</v>
      </c>
      <c r="BK497" s="30">
        <v>423</v>
      </c>
      <c r="BL497" s="30">
        <v>0</v>
      </c>
      <c r="BM497" s="30">
        <v>1872</v>
      </c>
      <c r="BN497" s="30">
        <v>0</v>
      </c>
      <c r="BO497" s="30">
        <v>51</v>
      </c>
      <c r="BP497" s="30">
        <v>0</v>
      </c>
      <c r="BQ497" s="30">
        <v>51</v>
      </c>
      <c r="BR497" s="47">
        <v>8701</v>
      </c>
      <c r="BS497" s="47">
        <v>10806</v>
      </c>
      <c r="BT497" s="1">
        <f t="shared" si="204"/>
        <v>1.888170539926612</v>
      </c>
      <c r="BU497" s="30">
        <v>0</v>
      </c>
      <c r="BV497" s="30">
        <v>0</v>
      </c>
      <c r="BW497" s="47">
        <v>494</v>
      </c>
      <c r="BX497" s="52">
        <f t="shared" si="205"/>
        <v>8.6318364494146427E-2</v>
      </c>
      <c r="BY497" s="47">
        <v>2092</v>
      </c>
      <c r="BZ497" s="47">
        <v>14</v>
      </c>
      <c r="CA497" s="47">
        <v>3741</v>
      </c>
      <c r="CB497" s="47">
        <v>404</v>
      </c>
      <c r="CC497" s="47">
        <v>6251</v>
      </c>
      <c r="CD497" s="55">
        <f t="shared" si="206"/>
        <v>1.0922593045605451</v>
      </c>
      <c r="CE497" s="3">
        <f t="shared" si="207"/>
        <v>3572</v>
      </c>
      <c r="CF497" s="55">
        <f t="shared" si="208"/>
        <v>3.1380522088353415</v>
      </c>
      <c r="CG497" s="55">
        <f t="shared" si="209"/>
        <v>0.86819444444444449</v>
      </c>
      <c r="CH497" s="55">
        <f t="shared" si="210"/>
        <v>0.53979270775495092</v>
      </c>
      <c r="CI497" s="30">
        <v>13</v>
      </c>
      <c r="CJ497" s="30">
        <v>3</v>
      </c>
      <c r="CK497" s="30">
        <v>3</v>
      </c>
      <c r="CL497" s="30">
        <v>19</v>
      </c>
      <c r="CM497" s="30">
        <v>377</v>
      </c>
      <c r="CN497" s="30">
        <v>139</v>
      </c>
      <c r="CO497" s="30">
        <v>61</v>
      </c>
      <c r="CP497" s="30">
        <v>577</v>
      </c>
      <c r="CQ497" s="1">
        <f t="shared" si="218"/>
        <v>0.10082124759741394</v>
      </c>
      <c r="CR497" s="47">
        <v>7200</v>
      </c>
      <c r="CS497" s="55">
        <f t="shared" si="211"/>
        <v>1.2580814258256159</v>
      </c>
      <c r="CT497" s="59">
        <v>1049</v>
      </c>
      <c r="CU497" s="29" t="s">
        <v>25</v>
      </c>
      <c r="CV497" s="29" t="s">
        <v>25</v>
      </c>
      <c r="CW497" s="29" t="s">
        <v>25</v>
      </c>
      <c r="CX497" s="35">
        <v>0</v>
      </c>
      <c r="CY497" s="49">
        <v>0</v>
      </c>
      <c r="CZ497" s="35">
        <v>1</v>
      </c>
      <c r="DA497" s="35">
        <v>0.75</v>
      </c>
      <c r="DB497" s="35">
        <v>1.75</v>
      </c>
      <c r="DC497" s="49">
        <f t="shared" si="212"/>
        <v>3270.2857142857142</v>
      </c>
      <c r="DD497" s="30">
        <v>61</v>
      </c>
      <c r="DE497" s="31">
        <v>23275</v>
      </c>
      <c r="DF497" s="35">
        <v>40</v>
      </c>
      <c r="DG497" s="29" t="s">
        <v>25</v>
      </c>
      <c r="DH497" s="29" t="s">
        <v>25</v>
      </c>
      <c r="DI497" s="29" t="s">
        <v>25</v>
      </c>
      <c r="DJ497" s="47">
        <v>12</v>
      </c>
      <c r="DK497" s="47">
        <v>15</v>
      </c>
      <c r="DL497" s="47">
        <v>4</v>
      </c>
      <c r="DM497" s="47">
        <v>1080</v>
      </c>
      <c r="DN497" s="47">
        <v>350</v>
      </c>
      <c r="DO497" s="47">
        <v>0</v>
      </c>
      <c r="DP497" s="29" t="s">
        <v>2028</v>
      </c>
      <c r="DQ497" s="47">
        <v>0</v>
      </c>
      <c r="DR497" s="47">
        <v>1992</v>
      </c>
      <c r="DS497" s="30">
        <v>51</v>
      </c>
      <c r="DT497" s="30">
        <v>40</v>
      </c>
      <c r="DU497" s="30">
        <v>40</v>
      </c>
      <c r="DV497" s="30">
        <v>40</v>
      </c>
      <c r="DX497" s="2">
        <f t="shared" si="213"/>
        <v>1992</v>
      </c>
      <c r="DY497" s="33" t="s">
        <v>2178</v>
      </c>
      <c r="DZ497" s="33" t="s">
        <v>1265</v>
      </c>
      <c r="EA497" s="33" t="s">
        <v>2034</v>
      </c>
      <c r="EB497" s="33" t="s">
        <v>2027</v>
      </c>
      <c r="EC497" s="36">
        <v>381</v>
      </c>
      <c r="ED497" s="29" t="s">
        <v>1264</v>
      </c>
      <c r="EE497" s="29" t="s">
        <v>1179</v>
      </c>
      <c r="EF497" s="37">
        <v>41548</v>
      </c>
      <c r="EG497" s="37">
        <v>41912</v>
      </c>
      <c r="EH497" s="29" t="s">
        <v>1264</v>
      </c>
      <c r="EI497" s="55">
        <f t="shared" si="214"/>
        <v>0.3655425476148873</v>
      </c>
      <c r="EJ497" s="54">
        <f t="shared" si="215"/>
        <v>2.4462694391053645E-3</v>
      </c>
      <c r="EK497" s="55">
        <f t="shared" si="216"/>
        <v>0.65367814083522624</v>
      </c>
      <c r="EL497" s="54">
        <f t="shared" si="217"/>
        <v>7.0592346671326231E-2</v>
      </c>
    </row>
    <row r="498" spans="1:142" ht="28.8" x14ac:dyDescent="0.3">
      <c r="A498" s="29" t="s">
        <v>31</v>
      </c>
      <c r="B498" s="29"/>
      <c r="C498" s="30">
        <v>16233</v>
      </c>
      <c r="D498" s="30">
        <v>0</v>
      </c>
      <c r="E498" s="30">
        <v>0</v>
      </c>
      <c r="F498" s="30">
        <v>20000</v>
      </c>
      <c r="H498" s="2">
        <f t="shared" si="193"/>
        <v>20000</v>
      </c>
      <c r="I498" s="1">
        <f t="shared" si="192"/>
        <v>1.2320581531448285</v>
      </c>
      <c r="J498" s="31">
        <v>233589</v>
      </c>
      <c r="K498" s="31">
        <v>88758</v>
      </c>
      <c r="L498" s="31">
        <v>322347</v>
      </c>
      <c r="M498" s="45">
        <f t="shared" si="194"/>
        <v>19.857512474588802</v>
      </c>
      <c r="N498" s="31">
        <v>46720</v>
      </c>
      <c r="O498" s="31">
        <v>0</v>
      </c>
      <c r="P498" s="31">
        <v>0</v>
      </c>
      <c r="Q498" s="31">
        <v>46720</v>
      </c>
      <c r="R498" s="45">
        <f t="shared" si="195"/>
        <v>2.878087845746319</v>
      </c>
      <c r="S498" s="31">
        <v>72289</v>
      </c>
      <c r="T498" s="31">
        <v>441356</v>
      </c>
      <c r="U498" s="31">
        <v>0</v>
      </c>
      <c r="V498" s="31">
        <v>441356</v>
      </c>
      <c r="W498" s="45">
        <f t="shared" si="196"/>
        <v>27.188812911969446</v>
      </c>
      <c r="X498" s="4">
        <f t="shared" si="197"/>
        <v>0.73035599380092264</v>
      </c>
      <c r="Y498" s="4">
        <f t="shared" si="198"/>
        <v>0.10585559049837319</v>
      </c>
      <c r="Z498" s="4">
        <f t="shared" si="199"/>
        <v>0.16378841570070418</v>
      </c>
      <c r="AA498" s="4">
        <f t="shared" si="200"/>
        <v>0</v>
      </c>
      <c r="AB498" s="31">
        <v>0</v>
      </c>
      <c r="AC498" s="31">
        <v>46720</v>
      </c>
      <c r="AD498" s="31">
        <v>441356</v>
      </c>
      <c r="AE498" s="31">
        <v>441356</v>
      </c>
      <c r="AF498" s="31">
        <v>441356</v>
      </c>
      <c r="AG498" s="31">
        <v>0</v>
      </c>
      <c r="AH498" s="31">
        <v>0</v>
      </c>
      <c r="AI498" s="31">
        <v>441356</v>
      </c>
      <c r="AJ498" s="45">
        <f t="shared" si="201"/>
        <v>27.188812911969446</v>
      </c>
      <c r="AK498" s="31">
        <v>0</v>
      </c>
      <c r="AL498" s="31">
        <v>0</v>
      </c>
      <c r="AM498" s="31">
        <v>0</v>
      </c>
      <c r="AN498" s="31">
        <v>0</v>
      </c>
      <c r="AO498" s="31">
        <v>0</v>
      </c>
      <c r="AP498" s="31">
        <v>0</v>
      </c>
      <c r="AQ498" s="31">
        <v>0</v>
      </c>
      <c r="AR498" s="31">
        <v>441356</v>
      </c>
      <c r="AS498" s="46">
        <f t="shared" si="202"/>
        <v>27.188812911969446</v>
      </c>
      <c r="AT498" s="31">
        <v>0</v>
      </c>
      <c r="AU498" s="31">
        <v>0</v>
      </c>
      <c r="AV498" s="31">
        <v>0</v>
      </c>
      <c r="AW498" s="31">
        <v>0</v>
      </c>
      <c r="AX498" s="31">
        <v>0</v>
      </c>
      <c r="AY498" s="31">
        <v>0</v>
      </c>
      <c r="AZ498" s="31">
        <v>0</v>
      </c>
      <c r="BA498" s="31">
        <v>0</v>
      </c>
      <c r="BB498" s="31">
        <v>0</v>
      </c>
      <c r="BC498" s="33" t="s">
        <v>25</v>
      </c>
      <c r="BD498" s="47">
        <v>42714</v>
      </c>
      <c r="BE498" s="47">
        <v>45018</v>
      </c>
      <c r="BF498" s="45">
        <f t="shared" si="203"/>
        <v>2.7732396969136945</v>
      </c>
      <c r="BG498" s="30">
        <v>945</v>
      </c>
      <c r="BH498" s="30">
        <v>960</v>
      </c>
      <c r="BI498" s="30">
        <v>0</v>
      </c>
      <c r="BJ498" s="30">
        <v>1225</v>
      </c>
      <c r="BK498" s="30">
        <v>1344</v>
      </c>
      <c r="BL498" s="30">
        <v>0</v>
      </c>
      <c r="BM498" s="30">
        <v>0</v>
      </c>
      <c r="BN498" s="30">
        <v>0</v>
      </c>
      <c r="BO498" s="30">
        <v>51</v>
      </c>
      <c r="BP498" s="30">
        <v>0</v>
      </c>
      <c r="BQ498" s="30">
        <v>51</v>
      </c>
      <c r="BR498" s="47">
        <v>44884</v>
      </c>
      <c r="BS498" s="47">
        <v>47322</v>
      </c>
      <c r="BT498" s="1">
        <f t="shared" si="204"/>
        <v>2.9151727961559786</v>
      </c>
      <c r="BU498" s="30">
        <v>70</v>
      </c>
      <c r="BV498" s="30">
        <v>13</v>
      </c>
      <c r="BW498" s="47">
        <v>1698</v>
      </c>
      <c r="BX498" s="52">
        <f t="shared" si="205"/>
        <v>0.10460173720199593</v>
      </c>
      <c r="BY498" s="47">
        <v>41295</v>
      </c>
      <c r="BZ498" s="47">
        <v>0</v>
      </c>
      <c r="CA498" s="47">
        <v>36891</v>
      </c>
      <c r="CB498" s="47">
        <v>122</v>
      </c>
      <c r="CC498" s="47">
        <v>78308</v>
      </c>
      <c r="CD498" s="55">
        <f t="shared" si="206"/>
        <v>4.8240004928232612</v>
      </c>
      <c r="CE498" s="3">
        <f t="shared" si="207"/>
        <v>11186.857142857143</v>
      </c>
      <c r="CF498" s="55">
        <f t="shared" si="208"/>
        <v>30.481899571817827</v>
      </c>
      <c r="CG498" s="55">
        <f t="shared" si="209"/>
        <v>1.0278528863570735</v>
      </c>
      <c r="CH498" s="55">
        <f t="shared" si="210"/>
        <v>1.6522125015848865</v>
      </c>
      <c r="CI498" s="30">
        <v>155</v>
      </c>
      <c r="CJ498" s="30">
        <v>8</v>
      </c>
      <c r="CK498" s="30">
        <v>11</v>
      </c>
      <c r="CL498" s="30">
        <v>174</v>
      </c>
      <c r="CM498" s="30">
        <v>7084</v>
      </c>
      <c r="CN498" s="30">
        <v>64</v>
      </c>
      <c r="CO498" s="30">
        <v>89</v>
      </c>
      <c r="CP498" s="30">
        <v>7237</v>
      </c>
      <c r="CQ498" s="1">
        <f t="shared" si="218"/>
        <v>0.44582024271545617</v>
      </c>
      <c r="CR498" s="47">
        <v>76186</v>
      </c>
      <c r="CS498" s="55">
        <f t="shared" si="211"/>
        <v>4.6932791227745954</v>
      </c>
      <c r="CT498" s="59">
        <v>10536</v>
      </c>
      <c r="CU498" s="29" t="s">
        <v>25</v>
      </c>
      <c r="CV498" s="29" t="s">
        <v>25</v>
      </c>
      <c r="CW498" s="29" t="s">
        <v>25</v>
      </c>
      <c r="CX498" s="35">
        <v>2</v>
      </c>
      <c r="CY498" s="49">
        <f>C498/CX498</f>
        <v>8116.5</v>
      </c>
      <c r="CZ498" s="35">
        <v>0</v>
      </c>
      <c r="DA498" s="35">
        <v>5</v>
      </c>
      <c r="DB498" s="35">
        <v>7</v>
      </c>
      <c r="DC498" s="49">
        <f t="shared" si="212"/>
        <v>2319</v>
      </c>
      <c r="DD498" s="30">
        <v>865</v>
      </c>
      <c r="DE498" s="31">
        <v>62422</v>
      </c>
      <c r="DF498" s="35">
        <v>40</v>
      </c>
      <c r="DG498" s="29" t="s">
        <v>25</v>
      </c>
      <c r="DH498" s="29" t="s">
        <v>25</v>
      </c>
      <c r="DI498" s="29" t="s">
        <v>25</v>
      </c>
      <c r="DJ498" s="47">
        <v>211</v>
      </c>
      <c r="DK498" s="47">
        <v>0</v>
      </c>
      <c r="DL498" s="47">
        <v>15</v>
      </c>
      <c r="DM498" s="47">
        <v>22156</v>
      </c>
      <c r="DN498" s="47">
        <v>3820</v>
      </c>
      <c r="DO498" s="47">
        <v>-1</v>
      </c>
      <c r="DP498" s="29" t="s">
        <v>25</v>
      </c>
      <c r="DQ498" s="47">
        <v>48070</v>
      </c>
      <c r="DR498" s="47">
        <v>2569</v>
      </c>
      <c r="DS498" s="30">
        <v>52</v>
      </c>
      <c r="DT498" s="30">
        <v>54</v>
      </c>
      <c r="DU498" s="30">
        <v>54</v>
      </c>
      <c r="DV498" s="30">
        <v>54</v>
      </c>
      <c r="DX498" s="2">
        <f t="shared" si="213"/>
        <v>2569</v>
      </c>
      <c r="DY498" s="33" t="s">
        <v>2186</v>
      </c>
      <c r="DZ498" s="33" t="s">
        <v>1267</v>
      </c>
      <c r="EA498" s="33" t="s">
        <v>2030</v>
      </c>
      <c r="EB498" s="33" t="s">
        <v>2027</v>
      </c>
      <c r="EC498" s="36">
        <v>382</v>
      </c>
      <c r="ED498" s="29" t="s">
        <v>1266</v>
      </c>
      <c r="EE498" s="29" t="s">
        <v>280</v>
      </c>
      <c r="EF498" s="37">
        <v>41548</v>
      </c>
      <c r="EG498" s="37">
        <v>41912</v>
      </c>
      <c r="EH498" s="29" t="s">
        <v>1266</v>
      </c>
      <c r="EI498" s="55">
        <f t="shared" si="214"/>
        <v>2.5438920717057845</v>
      </c>
      <c r="EJ498" s="54">
        <f t="shared" si="215"/>
        <v>0</v>
      </c>
      <c r="EK498" s="55">
        <f t="shared" si="216"/>
        <v>2.2725928663832935</v>
      </c>
      <c r="EL498" s="54">
        <f t="shared" si="217"/>
        <v>7.5155547341834534E-3</v>
      </c>
    </row>
    <row r="499" spans="1:142" ht="28.8" x14ac:dyDescent="0.3">
      <c r="A499" s="29" t="s">
        <v>1268</v>
      </c>
      <c r="B499" s="29"/>
      <c r="C499" s="30">
        <v>10846</v>
      </c>
      <c r="D499" s="30">
        <v>0</v>
      </c>
      <c r="E499" s="30">
        <v>0</v>
      </c>
      <c r="F499" s="30">
        <v>3400</v>
      </c>
      <c r="H499" s="2">
        <f t="shared" si="193"/>
        <v>3400</v>
      </c>
      <c r="I499" s="1">
        <f t="shared" si="192"/>
        <v>0.31347962382445144</v>
      </c>
      <c r="J499" s="31">
        <v>67500</v>
      </c>
      <c r="K499" s="31">
        <v>17200</v>
      </c>
      <c r="L499" s="31">
        <v>84700</v>
      </c>
      <c r="M499" s="45">
        <f t="shared" si="194"/>
        <v>7.8093306288032451</v>
      </c>
      <c r="N499" s="31">
        <v>19460</v>
      </c>
      <c r="O499" s="31">
        <v>0</v>
      </c>
      <c r="P499" s="31">
        <v>2140</v>
      </c>
      <c r="Q499" s="31">
        <v>21600</v>
      </c>
      <c r="R499" s="45">
        <f t="shared" si="195"/>
        <v>1.9915176101788679</v>
      </c>
      <c r="S499" s="31">
        <v>33680</v>
      </c>
      <c r="T499" s="31">
        <v>139980</v>
      </c>
      <c r="U499" s="31">
        <v>0</v>
      </c>
      <c r="V499" s="31">
        <v>139980</v>
      </c>
      <c r="W499" s="45">
        <f t="shared" si="196"/>
        <v>12.906140512631385</v>
      </c>
      <c r="X499" s="4">
        <f t="shared" si="197"/>
        <v>0.60508644092013142</v>
      </c>
      <c r="Y499" s="4">
        <f t="shared" si="198"/>
        <v>0.15430775825117873</v>
      </c>
      <c r="Z499" s="4">
        <f t="shared" si="199"/>
        <v>0.24060580082868982</v>
      </c>
      <c r="AA499" s="4">
        <f t="shared" si="200"/>
        <v>0</v>
      </c>
      <c r="AB499" s="31">
        <v>0</v>
      </c>
      <c r="AC499" s="31">
        <v>21600</v>
      </c>
      <c r="AD499" s="31">
        <v>139980</v>
      </c>
      <c r="AE499" s="31">
        <v>139980</v>
      </c>
      <c r="AF499" s="31">
        <v>139980</v>
      </c>
      <c r="AG499" s="31">
        <v>5000</v>
      </c>
      <c r="AH499" s="31">
        <v>0</v>
      </c>
      <c r="AI499" s="31">
        <v>144980</v>
      </c>
      <c r="AJ499" s="45">
        <f t="shared" si="201"/>
        <v>13.367139959432048</v>
      </c>
      <c r="AK499" s="31">
        <v>0</v>
      </c>
      <c r="AL499" s="31">
        <v>0</v>
      </c>
      <c r="AM499" s="31">
        <v>0</v>
      </c>
      <c r="AN499" s="31">
        <v>0</v>
      </c>
      <c r="AO499" s="31">
        <v>0</v>
      </c>
      <c r="AP499" s="31">
        <v>6275</v>
      </c>
      <c r="AQ499" s="31">
        <v>6275</v>
      </c>
      <c r="AR499" s="31">
        <v>151255</v>
      </c>
      <c r="AS499" s="46">
        <f t="shared" si="202"/>
        <v>13.945694265166882</v>
      </c>
      <c r="AT499" s="31">
        <v>0</v>
      </c>
      <c r="AU499" s="31">
        <v>0</v>
      </c>
      <c r="AV499" s="31">
        <v>0</v>
      </c>
      <c r="AW499" s="31">
        <v>0</v>
      </c>
      <c r="AX499" s="31">
        <v>0</v>
      </c>
      <c r="AY499" s="31">
        <v>0</v>
      </c>
      <c r="AZ499" s="31">
        <v>0</v>
      </c>
      <c r="BA499" s="31">
        <v>0</v>
      </c>
      <c r="BB499" s="31">
        <v>0</v>
      </c>
      <c r="BC499" s="33" t="s">
        <v>25</v>
      </c>
      <c r="BD499" s="47">
        <v>27722</v>
      </c>
      <c r="BE499" s="47">
        <v>27959</v>
      </c>
      <c r="BF499" s="45">
        <f t="shared" si="203"/>
        <v>2.5778167066199522</v>
      </c>
      <c r="BG499" s="30">
        <v>313</v>
      </c>
      <c r="BH499" s="30">
        <v>313</v>
      </c>
      <c r="BI499" s="30">
        <v>0</v>
      </c>
      <c r="BJ499" s="30">
        <v>223</v>
      </c>
      <c r="BK499" s="30">
        <v>223</v>
      </c>
      <c r="BL499" s="30">
        <v>0</v>
      </c>
      <c r="BM499" s="30">
        <v>0</v>
      </c>
      <c r="BN499" s="30">
        <v>0</v>
      </c>
      <c r="BO499" s="30">
        <v>51</v>
      </c>
      <c r="BP499" s="30">
        <v>0</v>
      </c>
      <c r="BQ499" s="30">
        <v>51</v>
      </c>
      <c r="BR499" s="47">
        <v>28258</v>
      </c>
      <c r="BS499" s="47">
        <v>28495</v>
      </c>
      <c r="BT499" s="1">
        <f t="shared" si="204"/>
        <v>2.627235847316983</v>
      </c>
      <c r="BU499" s="30">
        <v>45</v>
      </c>
      <c r="BV499" s="30">
        <v>0</v>
      </c>
      <c r="BW499" s="47">
        <v>7680</v>
      </c>
      <c r="BX499" s="52">
        <f t="shared" si="205"/>
        <v>0.70809515028581971</v>
      </c>
      <c r="BY499" s="47">
        <v>3304</v>
      </c>
      <c r="BZ499" s="47">
        <v>0</v>
      </c>
      <c r="CA499" s="47">
        <v>18629</v>
      </c>
      <c r="CB499" s="47">
        <v>0</v>
      </c>
      <c r="CC499" s="47">
        <v>21933</v>
      </c>
      <c r="CD499" s="55">
        <f t="shared" si="206"/>
        <v>2.0222201733357918</v>
      </c>
      <c r="CE499" s="3">
        <f t="shared" si="207"/>
        <v>8773.2000000000007</v>
      </c>
      <c r="CF499" s="55">
        <f t="shared" si="208"/>
        <v>8.787259615384615</v>
      </c>
      <c r="CG499" s="55">
        <f t="shared" si="209"/>
        <v>0.84552814186584424</v>
      </c>
      <c r="CH499" s="55">
        <f t="shared" si="210"/>
        <v>0.76971398490963328</v>
      </c>
      <c r="CI499" s="30">
        <v>116</v>
      </c>
      <c r="CJ499" s="30">
        <v>0</v>
      </c>
      <c r="CK499" s="30">
        <v>0</v>
      </c>
      <c r="CL499" s="30">
        <v>116</v>
      </c>
      <c r="CM499" s="30">
        <v>1870</v>
      </c>
      <c r="CN499" s="30">
        <v>0</v>
      </c>
      <c r="CO499" s="30">
        <v>0</v>
      </c>
      <c r="CP499" s="30">
        <v>1870</v>
      </c>
      <c r="CQ499" s="1">
        <f t="shared" si="218"/>
        <v>0.17241379310344829</v>
      </c>
      <c r="CR499" s="47">
        <v>25940</v>
      </c>
      <c r="CS499" s="55">
        <f t="shared" si="211"/>
        <v>2.3916651300018441</v>
      </c>
      <c r="CT499" s="59">
        <v>4665</v>
      </c>
      <c r="CU499" s="29" t="s">
        <v>25</v>
      </c>
      <c r="CV499" s="29" t="s">
        <v>25</v>
      </c>
      <c r="CW499" s="29" t="s">
        <v>25</v>
      </c>
      <c r="CX499" s="35">
        <v>0</v>
      </c>
      <c r="CY499" s="49">
        <v>0</v>
      </c>
      <c r="CZ499" s="35">
        <v>1</v>
      </c>
      <c r="DA499" s="35">
        <v>1.5</v>
      </c>
      <c r="DB499" s="35">
        <v>2.5</v>
      </c>
      <c r="DC499" s="49">
        <f t="shared" si="212"/>
        <v>4338.3999999999996</v>
      </c>
      <c r="DD499" s="30">
        <v>7500</v>
      </c>
      <c r="DE499" s="31">
        <v>24889</v>
      </c>
      <c r="DF499" s="35">
        <v>40</v>
      </c>
      <c r="DG499" s="29" t="s">
        <v>25</v>
      </c>
      <c r="DH499" s="29" t="s">
        <v>25</v>
      </c>
      <c r="DI499" s="29" t="s">
        <v>25</v>
      </c>
      <c r="DJ499" s="47">
        <v>0</v>
      </c>
      <c r="DK499" s="47">
        <v>0</v>
      </c>
      <c r="DL499" s="47">
        <v>11</v>
      </c>
      <c r="DM499" s="47">
        <v>6165</v>
      </c>
      <c r="DN499" s="47">
        <v>1530</v>
      </c>
      <c r="DO499" s="47">
        <v>-1</v>
      </c>
      <c r="DP499" s="29" t="s">
        <v>2028</v>
      </c>
      <c r="DQ499" s="47">
        <v>0</v>
      </c>
      <c r="DR499" s="47">
        <v>2496</v>
      </c>
      <c r="DS499" s="30">
        <v>52</v>
      </c>
      <c r="DT499" s="30">
        <v>48</v>
      </c>
      <c r="DU499" s="30">
        <v>48</v>
      </c>
      <c r="DV499" s="30">
        <v>48</v>
      </c>
      <c r="DX499" s="2">
        <f t="shared" si="213"/>
        <v>2496</v>
      </c>
      <c r="DY499" s="33" t="s">
        <v>2186</v>
      </c>
      <c r="DZ499" s="33" t="s">
        <v>1270</v>
      </c>
      <c r="EA499" s="33" t="s">
        <v>2030</v>
      </c>
      <c r="EB499" s="33" t="s">
        <v>2027</v>
      </c>
      <c r="EC499" s="36">
        <v>383</v>
      </c>
      <c r="ED499" s="29" t="s">
        <v>1269</v>
      </c>
      <c r="EE499" s="29" t="s">
        <v>501</v>
      </c>
      <c r="EF499" s="37">
        <v>41548</v>
      </c>
      <c r="EG499" s="37">
        <v>41912</v>
      </c>
      <c r="EH499" s="29" t="s">
        <v>1269</v>
      </c>
      <c r="EI499" s="55">
        <f t="shared" si="214"/>
        <v>0.30462843444587867</v>
      </c>
      <c r="EJ499" s="54">
        <f t="shared" si="215"/>
        <v>0</v>
      </c>
      <c r="EK499" s="55">
        <f t="shared" si="216"/>
        <v>1.7175917388899133</v>
      </c>
      <c r="EL499" s="54">
        <f t="shared" si="217"/>
        <v>0</v>
      </c>
    </row>
    <row r="500" spans="1:142" ht="28.8" x14ac:dyDescent="0.3">
      <c r="A500" s="29" t="s">
        <v>1271</v>
      </c>
      <c r="B500" s="29"/>
      <c r="C500" s="30">
        <v>70190</v>
      </c>
      <c r="D500" s="30">
        <v>0</v>
      </c>
      <c r="E500" s="30">
        <v>1</v>
      </c>
      <c r="F500" s="30">
        <v>51489</v>
      </c>
      <c r="H500" s="2">
        <f t="shared" si="193"/>
        <v>51489</v>
      </c>
      <c r="I500" s="1">
        <f t="shared" si="192"/>
        <v>0.73356603504772755</v>
      </c>
      <c r="J500" s="31">
        <v>820306</v>
      </c>
      <c r="K500" s="31">
        <v>261166</v>
      </c>
      <c r="L500" s="31">
        <v>1081472</v>
      </c>
      <c r="M500" s="45">
        <f t="shared" si="194"/>
        <v>15.40777888588118</v>
      </c>
      <c r="N500" s="31">
        <v>154788</v>
      </c>
      <c r="O500" s="31">
        <v>7102</v>
      </c>
      <c r="P500" s="31">
        <v>21366</v>
      </c>
      <c r="Q500" s="31">
        <v>183256</v>
      </c>
      <c r="R500" s="45">
        <f t="shared" si="195"/>
        <v>2.6108562473286794</v>
      </c>
      <c r="S500" s="31">
        <v>310953</v>
      </c>
      <c r="T500" s="31">
        <v>1575681</v>
      </c>
      <c r="U500" s="31">
        <v>0</v>
      </c>
      <c r="V500" s="31">
        <v>1575681</v>
      </c>
      <c r="W500" s="45">
        <f t="shared" si="196"/>
        <v>22.448796124804105</v>
      </c>
      <c r="X500" s="4">
        <f t="shared" si="197"/>
        <v>0.68635212330414597</v>
      </c>
      <c r="Y500" s="4">
        <f t="shared" si="198"/>
        <v>0.11630272878837786</v>
      </c>
      <c r="Z500" s="4">
        <f t="shared" si="199"/>
        <v>0.1973451479074762</v>
      </c>
      <c r="AA500" s="4">
        <f t="shared" si="200"/>
        <v>0</v>
      </c>
      <c r="AB500" s="31">
        <v>0</v>
      </c>
      <c r="AC500" s="31">
        <v>183256</v>
      </c>
      <c r="AD500" s="31">
        <v>1575681</v>
      </c>
      <c r="AE500" s="31">
        <v>1574843</v>
      </c>
      <c r="AF500" s="31">
        <v>1574843</v>
      </c>
      <c r="AG500" s="31">
        <v>0</v>
      </c>
      <c r="AH500" s="31">
        <v>0</v>
      </c>
      <c r="AI500" s="31">
        <v>1574843</v>
      </c>
      <c r="AJ500" s="45">
        <f t="shared" si="201"/>
        <v>22.436857102151304</v>
      </c>
      <c r="AK500" s="31">
        <v>0</v>
      </c>
      <c r="AL500" s="31">
        <v>0</v>
      </c>
      <c r="AM500" s="31">
        <v>0</v>
      </c>
      <c r="AN500" s="31">
        <v>0</v>
      </c>
      <c r="AO500" s="31">
        <v>0</v>
      </c>
      <c r="AP500" s="31">
        <v>838</v>
      </c>
      <c r="AQ500" s="31">
        <v>838</v>
      </c>
      <c r="AR500" s="31">
        <v>1575681</v>
      </c>
      <c r="AS500" s="46">
        <f t="shared" si="202"/>
        <v>22.448796124804105</v>
      </c>
      <c r="AT500" s="31">
        <v>0</v>
      </c>
      <c r="AU500" s="31">
        <v>0</v>
      </c>
      <c r="AV500" s="31">
        <v>0</v>
      </c>
      <c r="AW500" s="31">
        <v>0</v>
      </c>
      <c r="AX500" s="31">
        <v>0</v>
      </c>
      <c r="AY500" s="31">
        <v>0</v>
      </c>
      <c r="AZ500" s="31">
        <v>0</v>
      </c>
      <c r="BA500" s="31">
        <v>0</v>
      </c>
      <c r="BB500" s="31">
        <v>0</v>
      </c>
      <c r="BC500" s="33" t="s">
        <v>25</v>
      </c>
      <c r="BD500" s="47">
        <v>150154</v>
      </c>
      <c r="BE500" s="47">
        <v>167409</v>
      </c>
      <c r="BF500" s="45">
        <f t="shared" si="203"/>
        <v>2.38508334520587</v>
      </c>
      <c r="BG500" s="30">
        <v>7391</v>
      </c>
      <c r="BH500" s="30">
        <v>7780</v>
      </c>
      <c r="BI500" s="30">
        <v>1304</v>
      </c>
      <c r="BJ500" s="30">
        <v>8819</v>
      </c>
      <c r="BK500" s="30">
        <v>9804</v>
      </c>
      <c r="BL500" s="30">
        <v>76</v>
      </c>
      <c r="BM500" s="30">
        <v>28378</v>
      </c>
      <c r="BN500" s="30">
        <v>7</v>
      </c>
      <c r="BO500" s="30">
        <v>51</v>
      </c>
      <c r="BP500" s="30">
        <v>0</v>
      </c>
      <c r="BQ500" s="30">
        <v>58</v>
      </c>
      <c r="BR500" s="47">
        <v>166364</v>
      </c>
      <c r="BS500" s="47">
        <v>214758</v>
      </c>
      <c r="BT500" s="1">
        <f t="shared" si="204"/>
        <v>3.0596666191765207</v>
      </c>
      <c r="BU500" s="30">
        <v>192</v>
      </c>
      <c r="BV500" s="30">
        <v>0</v>
      </c>
      <c r="BW500" s="47">
        <v>56859</v>
      </c>
      <c r="BX500" s="52">
        <f t="shared" si="205"/>
        <v>0.81007265992306599</v>
      </c>
      <c r="BY500" s="47">
        <v>154079</v>
      </c>
      <c r="BZ500" s="47">
        <v>0</v>
      </c>
      <c r="CA500" s="47">
        <v>255891</v>
      </c>
      <c r="CB500" s="47">
        <v>10510</v>
      </c>
      <c r="CC500" s="47">
        <v>420480</v>
      </c>
      <c r="CD500" s="55">
        <f t="shared" si="206"/>
        <v>5.9905969511326402</v>
      </c>
      <c r="CE500" s="3">
        <f t="shared" si="207"/>
        <v>14734.296977660972</v>
      </c>
      <c r="CF500" s="55">
        <f t="shared" si="208"/>
        <v>112.18783351120598</v>
      </c>
      <c r="CG500" s="55">
        <f t="shared" si="209"/>
        <v>1.5665644594629837</v>
      </c>
      <c r="CH500" s="55">
        <f t="shared" si="210"/>
        <v>1.9089859283472559</v>
      </c>
      <c r="CI500" s="30">
        <v>218</v>
      </c>
      <c r="CJ500" s="30">
        <v>9</v>
      </c>
      <c r="CK500" s="30">
        <v>38</v>
      </c>
      <c r="CL500" s="30">
        <v>265</v>
      </c>
      <c r="CM500" s="30">
        <v>7527</v>
      </c>
      <c r="CN500" s="30">
        <v>126</v>
      </c>
      <c r="CO500" s="30">
        <v>857</v>
      </c>
      <c r="CP500" s="30">
        <v>8510</v>
      </c>
      <c r="CQ500" s="1">
        <f t="shared" si="218"/>
        <v>0.12124234221399059</v>
      </c>
      <c r="CR500" s="47">
        <v>268409</v>
      </c>
      <c r="CS500" s="55">
        <f t="shared" si="211"/>
        <v>3.8240347627867219</v>
      </c>
      <c r="CT500" s="59">
        <v>49080</v>
      </c>
      <c r="CU500" s="29" t="s">
        <v>25</v>
      </c>
      <c r="CV500" s="29" t="s">
        <v>25</v>
      </c>
      <c r="CW500" s="29" t="s">
        <v>25</v>
      </c>
      <c r="CX500" s="35">
        <v>3.7250000000000001</v>
      </c>
      <c r="CY500" s="49">
        <f>C500/CX500</f>
        <v>18842.953020134228</v>
      </c>
      <c r="CZ500" s="35">
        <v>2</v>
      </c>
      <c r="DA500" s="35">
        <v>22.8125</v>
      </c>
      <c r="DB500" s="35">
        <v>28.537500000000001</v>
      </c>
      <c r="DC500" s="49">
        <f t="shared" si="212"/>
        <v>2459.5707402540515</v>
      </c>
      <c r="DD500" s="30">
        <v>1461</v>
      </c>
      <c r="DE500" s="31">
        <v>81858</v>
      </c>
      <c r="DF500" s="35">
        <v>40</v>
      </c>
      <c r="DG500" s="29" t="s">
        <v>25</v>
      </c>
      <c r="DH500" s="29" t="s">
        <v>25</v>
      </c>
      <c r="DI500" s="29" t="s">
        <v>25</v>
      </c>
      <c r="DJ500" s="47">
        <v>156</v>
      </c>
      <c r="DK500" s="47">
        <v>792</v>
      </c>
      <c r="DL500" s="47">
        <v>32</v>
      </c>
      <c r="DM500" s="47">
        <v>46094</v>
      </c>
      <c r="DN500" s="47">
        <v>27179</v>
      </c>
      <c r="DO500" s="47">
        <v>15975</v>
      </c>
      <c r="DP500" s="29" t="s">
        <v>2028</v>
      </c>
      <c r="DQ500" s="47">
        <v>0</v>
      </c>
      <c r="DR500" s="47">
        <v>3328</v>
      </c>
      <c r="DS500" s="30">
        <v>52</v>
      </c>
      <c r="DT500" s="30">
        <v>67</v>
      </c>
      <c r="DU500" s="30">
        <v>67</v>
      </c>
      <c r="DV500" s="30">
        <v>67</v>
      </c>
      <c r="DW500">
        <f>VLOOKUP(EC500,branch!$I$4:$K$77,3,0)</f>
        <v>420</v>
      </c>
      <c r="DX500" s="2">
        <f t="shared" si="213"/>
        <v>3748</v>
      </c>
      <c r="DY500" s="33" t="s">
        <v>2186</v>
      </c>
      <c r="DZ500" s="33" t="s">
        <v>1273</v>
      </c>
      <c r="EA500" s="33" t="s">
        <v>2030</v>
      </c>
      <c r="EB500" s="33" t="s">
        <v>2027</v>
      </c>
      <c r="EC500" s="36">
        <v>384</v>
      </c>
      <c r="ED500" s="29" t="s">
        <v>1272</v>
      </c>
      <c r="EE500" s="29" t="s">
        <v>128</v>
      </c>
      <c r="EF500" s="37">
        <v>41548</v>
      </c>
      <c r="EG500" s="37">
        <v>41912</v>
      </c>
      <c r="EH500" s="29" t="s">
        <v>1272</v>
      </c>
      <c r="EI500" s="55">
        <f t="shared" si="214"/>
        <v>2.1951702521726744</v>
      </c>
      <c r="EJ500" s="54">
        <f t="shared" si="215"/>
        <v>0</v>
      </c>
      <c r="EK500" s="55">
        <f t="shared" si="216"/>
        <v>3.6456902692691266</v>
      </c>
      <c r="EL500" s="54">
        <f t="shared" si="217"/>
        <v>0.14973642969083914</v>
      </c>
    </row>
    <row r="501" spans="1:142" ht="28.8" x14ac:dyDescent="0.3">
      <c r="A501" s="29" t="s">
        <v>1183</v>
      </c>
      <c r="B501" s="29"/>
      <c r="C501" s="30">
        <v>46357</v>
      </c>
      <c r="D501" s="30">
        <v>0</v>
      </c>
      <c r="E501" s="30">
        <v>0</v>
      </c>
      <c r="F501" s="30">
        <v>9486</v>
      </c>
      <c r="H501" s="2">
        <f t="shared" si="193"/>
        <v>9486</v>
      </c>
      <c r="I501" s="1">
        <f t="shared" si="192"/>
        <v>0.20462929007485386</v>
      </c>
      <c r="J501" s="31">
        <v>336683</v>
      </c>
      <c r="K501" s="31">
        <v>158036</v>
      </c>
      <c r="L501" s="31">
        <v>494719</v>
      </c>
      <c r="M501" s="45">
        <f t="shared" si="194"/>
        <v>10.671937355739155</v>
      </c>
      <c r="N501" s="31">
        <v>17873</v>
      </c>
      <c r="O501" s="31">
        <v>13825</v>
      </c>
      <c r="P501" s="31">
        <v>2307</v>
      </c>
      <c r="Q501" s="31">
        <v>34005</v>
      </c>
      <c r="R501" s="45">
        <f t="shared" si="195"/>
        <v>0.73354617425631508</v>
      </c>
      <c r="S501" s="31">
        <v>70650</v>
      </c>
      <c r="T501" s="31">
        <v>599374</v>
      </c>
      <c r="U501" s="31">
        <v>0</v>
      </c>
      <c r="V501" s="31">
        <v>599374</v>
      </c>
      <c r="W501" s="45">
        <f t="shared" si="196"/>
        <v>12.929525206549172</v>
      </c>
      <c r="X501" s="4">
        <f t="shared" si="197"/>
        <v>0.8253928265156647</v>
      </c>
      <c r="Y501" s="4">
        <f t="shared" si="198"/>
        <v>5.6734192674356913E-2</v>
      </c>
      <c r="Z501" s="4">
        <f t="shared" si="199"/>
        <v>0.11787298080997841</v>
      </c>
      <c r="AA501" s="4">
        <f t="shared" si="200"/>
        <v>0</v>
      </c>
      <c r="AB501" s="31">
        <v>0</v>
      </c>
      <c r="AC501" s="31">
        <v>34005</v>
      </c>
      <c r="AD501" s="31">
        <v>599374</v>
      </c>
      <c r="AE501" s="31">
        <v>588675</v>
      </c>
      <c r="AF501" s="31">
        <v>541075</v>
      </c>
      <c r="AG501" s="31">
        <v>47600</v>
      </c>
      <c r="AH501" s="31">
        <v>0</v>
      </c>
      <c r="AI501" s="31">
        <v>588675</v>
      </c>
      <c r="AJ501" s="45">
        <f t="shared" si="201"/>
        <v>12.698729425976659</v>
      </c>
      <c r="AK501" s="31">
        <v>0</v>
      </c>
      <c r="AL501" s="31">
        <v>0</v>
      </c>
      <c r="AM501" s="31">
        <v>0</v>
      </c>
      <c r="AN501" s="31">
        <v>0</v>
      </c>
      <c r="AO501" s="31">
        <v>0</v>
      </c>
      <c r="AP501" s="31">
        <v>10699</v>
      </c>
      <c r="AQ501" s="31">
        <v>10699</v>
      </c>
      <c r="AR501" s="31">
        <v>599374</v>
      </c>
      <c r="AS501" s="46">
        <f t="shared" si="202"/>
        <v>12.929525206549172</v>
      </c>
      <c r="AT501" s="31">
        <v>0</v>
      </c>
      <c r="AU501" s="31">
        <v>0</v>
      </c>
      <c r="AV501" s="31">
        <v>0</v>
      </c>
      <c r="AW501" s="31">
        <v>0</v>
      </c>
      <c r="AX501" s="31">
        <v>0</v>
      </c>
      <c r="AY501" s="31">
        <v>0</v>
      </c>
      <c r="AZ501" s="31">
        <v>0</v>
      </c>
      <c r="BA501" s="31">
        <v>0</v>
      </c>
      <c r="BB501" s="31">
        <v>0</v>
      </c>
      <c r="BC501" s="33" t="s">
        <v>25</v>
      </c>
      <c r="BD501" s="47">
        <v>61180</v>
      </c>
      <c r="BE501" s="47">
        <v>64710</v>
      </c>
      <c r="BF501" s="45">
        <f t="shared" si="203"/>
        <v>1.3959056884612895</v>
      </c>
      <c r="BG501" s="30">
        <v>1302</v>
      </c>
      <c r="BH501" s="30">
        <v>1321</v>
      </c>
      <c r="BI501" s="30">
        <v>0</v>
      </c>
      <c r="BJ501" s="30">
        <v>2289</v>
      </c>
      <c r="BK501" s="30">
        <v>2607</v>
      </c>
      <c r="BL501" s="30">
        <v>0</v>
      </c>
      <c r="BM501" s="30">
        <v>520</v>
      </c>
      <c r="BN501" s="30">
        <v>4</v>
      </c>
      <c r="BO501" s="30">
        <v>51</v>
      </c>
      <c r="BP501" s="30">
        <v>0</v>
      </c>
      <c r="BQ501" s="30">
        <v>55</v>
      </c>
      <c r="BR501" s="47">
        <v>64771</v>
      </c>
      <c r="BS501" s="47">
        <v>69162</v>
      </c>
      <c r="BT501" s="1">
        <f t="shared" si="204"/>
        <v>1.4919429643850983</v>
      </c>
      <c r="BU501" s="30">
        <v>76</v>
      </c>
      <c r="BV501" s="30">
        <v>0</v>
      </c>
      <c r="BW501" s="47">
        <v>3518</v>
      </c>
      <c r="BX501" s="52">
        <f t="shared" si="205"/>
        <v>7.5889293957762588E-2</v>
      </c>
      <c r="BY501" s="47">
        <v>29421</v>
      </c>
      <c r="BZ501" s="47">
        <v>0</v>
      </c>
      <c r="CA501" s="47">
        <v>40652</v>
      </c>
      <c r="CB501" s="47">
        <v>522</v>
      </c>
      <c r="CC501" s="47">
        <v>70595</v>
      </c>
      <c r="CD501" s="55">
        <f t="shared" si="206"/>
        <v>1.5228552322195137</v>
      </c>
      <c r="CE501" s="3">
        <f t="shared" si="207"/>
        <v>7631.8918918918916</v>
      </c>
      <c r="CF501" s="55">
        <f t="shared" si="208"/>
        <v>36.202564102564104</v>
      </c>
      <c r="CG501" s="55">
        <f t="shared" si="209"/>
        <v>0.79581322992289305</v>
      </c>
      <c r="CH501" s="55">
        <f t="shared" si="210"/>
        <v>1.013171973048784</v>
      </c>
      <c r="CI501" s="30">
        <v>149</v>
      </c>
      <c r="CJ501" s="30">
        <v>22</v>
      </c>
      <c r="CK501" s="30">
        <v>276</v>
      </c>
      <c r="CL501" s="30">
        <v>447</v>
      </c>
      <c r="CM501" s="30">
        <v>4953</v>
      </c>
      <c r="CN501" s="30">
        <v>133</v>
      </c>
      <c r="CO501" s="30">
        <v>2525</v>
      </c>
      <c r="CP501" s="30">
        <v>7611</v>
      </c>
      <c r="CQ501" s="1">
        <f t="shared" si="218"/>
        <v>0.16418232413659209</v>
      </c>
      <c r="CR501" s="47">
        <v>88708</v>
      </c>
      <c r="CS501" s="55">
        <f t="shared" si="211"/>
        <v>1.9135837090407057</v>
      </c>
      <c r="CT501" s="59">
        <v>6495</v>
      </c>
      <c r="CU501" s="29" t="s">
        <v>25</v>
      </c>
      <c r="CV501" s="29" t="s">
        <v>25</v>
      </c>
      <c r="CW501" s="29" t="s">
        <v>25</v>
      </c>
      <c r="CX501" s="35">
        <v>2</v>
      </c>
      <c r="CY501" s="49">
        <f>C501/CX501</f>
        <v>23178.5</v>
      </c>
      <c r="CZ501" s="35">
        <v>0</v>
      </c>
      <c r="DA501" s="35">
        <v>7.25</v>
      </c>
      <c r="DB501" s="35">
        <v>9.25</v>
      </c>
      <c r="DC501" s="49">
        <f t="shared" si="212"/>
        <v>5011.5675675675675</v>
      </c>
      <c r="DD501" s="30">
        <v>2970</v>
      </c>
      <c r="DE501" s="31">
        <v>84053</v>
      </c>
      <c r="DF501" s="35">
        <v>40</v>
      </c>
      <c r="DG501" s="29" t="s">
        <v>25</v>
      </c>
      <c r="DH501" s="29" t="s">
        <v>25</v>
      </c>
      <c r="DI501" s="29" t="s">
        <v>25</v>
      </c>
      <c r="DJ501" s="47">
        <v>647</v>
      </c>
      <c r="DK501" s="47">
        <v>0</v>
      </c>
      <c r="DL501" s="47">
        <v>15</v>
      </c>
      <c r="DM501" s="47">
        <v>14530</v>
      </c>
      <c r="DN501" s="47">
        <v>3209</v>
      </c>
      <c r="DO501" s="47">
        <v>8521</v>
      </c>
      <c r="DP501" s="29" t="s">
        <v>2028</v>
      </c>
      <c r="DQ501" s="47">
        <v>0</v>
      </c>
      <c r="DR501" s="47">
        <v>1950</v>
      </c>
      <c r="DS501" s="30">
        <v>51</v>
      </c>
      <c r="DT501" s="30">
        <v>40</v>
      </c>
      <c r="DU501" s="30">
        <v>40</v>
      </c>
      <c r="DV501" s="30">
        <v>40</v>
      </c>
      <c r="DX501" s="2">
        <f t="shared" si="213"/>
        <v>1950</v>
      </c>
      <c r="DY501" s="33" t="s">
        <v>2182</v>
      </c>
      <c r="DZ501" s="33" t="s">
        <v>1275</v>
      </c>
      <c r="EA501" s="33" t="s">
        <v>2030</v>
      </c>
      <c r="EB501" s="33" t="s">
        <v>2027</v>
      </c>
      <c r="EC501" s="36">
        <v>385</v>
      </c>
      <c r="ED501" s="29" t="s">
        <v>1274</v>
      </c>
      <c r="EE501" s="29" t="s">
        <v>736</v>
      </c>
      <c r="EF501" s="37">
        <v>41548</v>
      </c>
      <c r="EG501" s="37">
        <v>41912</v>
      </c>
      <c r="EH501" s="29" t="s">
        <v>1274</v>
      </c>
      <c r="EI501" s="55">
        <f t="shared" si="214"/>
        <v>0.63466143193045277</v>
      </c>
      <c r="EJ501" s="54">
        <f t="shared" si="215"/>
        <v>0</v>
      </c>
      <c r="EK501" s="55">
        <f t="shared" si="216"/>
        <v>0.87693336497184893</v>
      </c>
      <c r="EL501" s="54">
        <f t="shared" si="217"/>
        <v>1.1260435317212072E-2</v>
      </c>
    </row>
    <row r="502" spans="1:142" ht="28.8" x14ac:dyDescent="0.3">
      <c r="A502" s="29" t="s">
        <v>1276</v>
      </c>
      <c r="B502" s="29"/>
      <c r="C502" s="30">
        <v>37442</v>
      </c>
      <c r="D502" s="30">
        <v>0</v>
      </c>
      <c r="E502" s="30">
        <v>0</v>
      </c>
      <c r="F502" s="30">
        <v>20000</v>
      </c>
      <c r="H502" s="2">
        <f t="shared" si="193"/>
        <v>20000</v>
      </c>
      <c r="I502" s="1">
        <f t="shared" si="192"/>
        <v>0.53415950002670798</v>
      </c>
      <c r="J502" s="31">
        <v>311536</v>
      </c>
      <c r="K502" s="31">
        <v>136921</v>
      </c>
      <c r="L502" s="31">
        <v>448457</v>
      </c>
      <c r="M502" s="45">
        <f t="shared" si="194"/>
        <v>11.97737834517387</v>
      </c>
      <c r="N502" s="31">
        <v>65266</v>
      </c>
      <c r="O502" s="31">
        <v>16746</v>
      </c>
      <c r="P502" s="31">
        <v>14990</v>
      </c>
      <c r="Q502" s="31">
        <v>97002</v>
      </c>
      <c r="R502" s="45">
        <f t="shared" si="195"/>
        <v>2.5907269910795363</v>
      </c>
      <c r="S502" s="31">
        <v>190443</v>
      </c>
      <c r="T502" s="31">
        <v>735902</v>
      </c>
      <c r="U502" s="31">
        <v>0</v>
      </c>
      <c r="V502" s="31">
        <v>735902</v>
      </c>
      <c r="W502" s="45">
        <f t="shared" si="196"/>
        <v>19.654452219432724</v>
      </c>
      <c r="X502" s="4">
        <f t="shared" si="197"/>
        <v>0.60939771871798143</v>
      </c>
      <c r="Y502" s="4">
        <f t="shared" si="198"/>
        <v>0.13181374693913048</v>
      </c>
      <c r="Z502" s="4">
        <f t="shared" si="199"/>
        <v>0.25878853434288807</v>
      </c>
      <c r="AA502" s="4">
        <f t="shared" si="200"/>
        <v>0</v>
      </c>
      <c r="AB502" s="31">
        <v>806</v>
      </c>
      <c r="AC502" s="31">
        <v>90828</v>
      </c>
      <c r="AD502" s="31">
        <v>721288</v>
      </c>
      <c r="AE502" s="31">
        <v>721288</v>
      </c>
      <c r="AF502" s="31">
        <v>784807</v>
      </c>
      <c r="AG502" s="31">
        <v>0</v>
      </c>
      <c r="AH502" s="31">
        <v>0</v>
      </c>
      <c r="AI502" s="31">
        <v>784807</v>
      </c>
      <c r="AJ502" s="45">
        <f t="shared" si="201"/>
        <v>20.960605736873031</v>
      </c>
      <c r="AK502" s="31">
        <v>79551</v>
      </c>
      <c r="AL502" s="31">
        <v>0</v>
      </c>
      <c r="AM502" s="31">
        <v>0</v>
      </c>
      <c r="AN502" s="31">
        <v>0</v>
      </c>
      <c r="AO502" s="31">
        <v>10500</v>
      </c>
      <c r="AP502" s="31">
        <v>17770</v>
      </c>
      <c r="AQ502" s="31">
        <v>28270</v>
      </c>
      <c r="AR502" s="31">
        <v>892628</v>
      </c>
      <c r="AS502" s="46">
        <f t="shared" si="202"/>
        <v>23.840286309492015</v>
      </c>
      <c r="AT502" s="31">
        <v>0</v>
      </c>
      <c r="AU502" s="31">
        <v>0</v>
      </c>
      <c r="AV502" s="31">
        <v>0</v>
      </c>
      <c r="AW502" s="31">
        <v>0</v>
      </c>
      <c r="AX502" s="31">
        <v>0</v>
      </c>
      <c r="AY502" s="31">
        <v>0</v>
      </c>
      <c r="AZ502" s="31">
        <v>0</v>
      </c>
      <c r="BA502" s="31">
        <v>0</v>
      </c>
      <c r="BB502" s="31">
        <v>0</v>
      </c>
      <c r="BC502" s="33" t="s">
        <v>25</v>
      </c>
      <c r="BD502" s="47">
        <v>74623</v>
      </c>
      <c r="BE502" s="47">
        <v>84147</v>
      </c>
      <c r="BF502" s="45">
        <f t="shared" si="203"/>
        <v>2.2473959724373698</v>
      </c>
      <c r="BG502" s="30">
        <v>3586</v>
      </c>
      <c r="BH502" s="30">
        <v>3630</v>
      </c>
      <c r="BI502" s="30">
        <v>1640</v>
      </c>
      <c r="BJ502" s="30">
        <v>6430</v>
      </c>
      <c r="BK502" s="30">
        <v>6771</v>
      </c>
      <c r="BL502" s="30">
        <v>0</v>
      </c>
      <c r="BM502" s="30">
        <v>108</v>
      </c>
      <c r="BN502" s="30">
        <v>6</v>
      </c>
      <c r="BO502" s="30">
        <v>51</v>
      </c>
      <c r="BP502" s="30">
        <v>42</v>
      </c>
      <c r="BQ502" s="30">
        <v>99</v>
      </c>
      <c r="BR502" s="47">
        <v>84639</v>
      </c>
      <c r="BS502" s="47">
        <v>96302</v>
      </c>
      <c r="BT502" s="1">
        <f t="shared" si="204"/>
        <v>2.5720314085786016</v>
      </c>
      <c r="BU502" s="30">
        <v>59</v>
      </c>
      <c r="BV502" s="30">
        <v>6</v>
      </c>
      <c r="BW502" s="47">
        <v>9620</v>
      </c>
      <c r="BX502" s="52">
        <f t="shared" si="205"/>
        <v>0.25693071951284652</v>
      </c>
      <c r="BY502" s="47">
        <v>27189</v>
      </c>
      <c r="BZ502" s="47">
        <v>58</v>
      </c>
      <c r="CA502" s="47">
        <v>116257</v>
      </c>
      <c r="CB502" s="47">
        <v>283</v>
      </c>
      <c r="CC502" s="47">
        <v>143787</v>
      </c>
      <c r="CD502" s="55">
        <f t="shared" si="206"/>
        <v>3.8402596015170132</v>
      </c>
      <c r="CE502" s="3">
        <f t="shared" si="207"/>
        <v>11277.411764705883</v>
      </c>
      <c r="CF502" s="55">
        <f t="shared" si="208"/>
        <v>44.214944649446494</v>
      </c>
      <c r="CG502" s="55">
        <f t="shared" si="209"/>
        <v>0.39965700880547894</v>
      </c>
      <c r="CH502" s="55">
        <f t="shared" si="210"/>
        <v>1.489543311665386</v>
      </c>
      <c r="CI502" s="30">
        <v>154</v>
      </c>
      <c r="CJ502" s="30">
        <v>6</v>
      </c>
      <c r="CK502" s="30">
        <v>8</v>
      </c>
      <c r="CL502" s="30">
        <v>168</v>
      </c>
      <c r="CM502" s="30">
        <v>2362</v>
      </c>
      <c r="CN502" s="30">
        <v>102</v>
      </c>
      <c r="CO502" s="30">
        <v>253</v>
      </c>
      <c r="CP502" s="30">
        <v>2717</v>
      </c>
      <c r="CQ502" s="1">
        <f t="shared" si="218"/>
        <v>7.2565568078628281E-2</v>
      </c>
      <c r="CR502" s="47">
        <v>359776</v>
      </c>
      <c r="CS502" s="55">
        <f t="shared" si="211"/>
        <v>9.6088884140804449</v>
      </c>
      <c r="CT502" s="59">
        <v>39800</v>
      </c>
      <c r="CU502" s="29" t="s">
        <v>25</v>
      </c>
      <c r="CV502" s="29" t="s">
        <v>25</v>
      </c>
      <c r="CW502" s="29" t="s">
        <v>25</v>
      </c>
      <c r="CX502" s="35">
        <v>4</v>
      </c>
      <c r="CY502" s="49">
        <f>C502/CX502</f>
        <v>9360.5</v>
      </c>
      <c r="CZ502" s="35">
        <v>1</v>
      </c>
      <c r="DA502" s="35">
        <v>7.75</v>
      </c>
      <c r="DB502" s="35">
        <v>12.75</v>
      </c>
      <c r="DC502" s="49">
        <f t="shared" si="212"/>
        <v>2936.627450980392</v>
      </c>
      <c r="DD502" s="30">
        <v>325</v>
      </c>
      <c r="DE502" s="31">
        <v>60254</v>
      </c>
      <c r="DF502" s="35">
        <v>40</v>
      </c>
      <c r="DG502" s="29" t="s">
        <v>25</v>
      </c>
      <c r="DH502" s="29" t="s">
        <v>25</v>
      </c>
      <c r="DI502" s="29" t="s">
        <v>25</v>
      </c>
      <c r="DJ502" s="47">
        <v>1829</v>
      </c>
      <c r="DK502" s="47">
        <v>1612</v>
      </c>
      <c r="DL502" s="47">
        <v>21</v>
      </c>
      <c r="DM502" s="47">
        <v>11729</v>
      </c>
      <c r="DN502" s="47">
        <v>3533</v>
      </c>
      <c r="DO502" s="47">
        <v>2234</v>
      </c>
      <c r="DP502" s="29" t="s">
        <v>25</v>
      </c>
      <c r="DQ502" s="47">
        <v>88225</v>
      </c>
      <c r="DR502" s="47">
        <v>3252</v>
      </c>
      <c r="DS502" s="30">
        <v>52</v>
      </c>
      <c r="DT502" s="30">
        <v>64</v>
      </c>
      <c r="DU502" s="30">
        <v>64</v>
      </c>
      <c r="DV502" s="30">
        <v>64</v>
      </c>
      <c r="DX502" s="2">
        <f t="shared" si="213"/>
        <v>3252</v>
      </c>
      <c r="DY502" s="33" t="s">
        <v>2182</v>
      </c>
      <c r="DZ502" s="33" t="s">
        <v>1278</v>
      </c>
      <c r="EA502" s="33" t="s">
        <v>2030</v>
      </c>
      <c r="EB502" s="33" t="s">
        <v>2027</v>
      </c>
      <c r="EC502" s="36">
        <v>386</v>
      </c>
      <c r="ED502" s="29" t="s">
        <v>1277</v>
      </c>
      <c r="EE502" s="29" t="s">
        <v>186</v>
      </c>
      <c r="EF502" s="37">
        <v>41548</v>
      </c>
      <c r="EG502" s="37">
        <v>41912</v>
      </c>
      <c r="EH502" s="29" t="s">
        <v>1277</v>
      </c>
      <c r="EI502" s="55">
        <f t="shared" si="214"/>
        <v>0.72616313231130813</v>
      </c>
      <c r="EJ502" s="54">
        <f t="shared" si="215"/>
        <v>1.5490625500774531E-3</v>
      </c>
      <c r="EK502" s="55">
        <f t="shared" si="216"/>
        <v>3.1049890497302495</v>
      </c>
      <c r="EL502" s="54">
        <f t="shared" si="217"/>
        <v>7.558356925377918E-3</v>
      </c>
    </row>
    <row r="503" spans="1:142" ht="28.8" x14ac:dyDescent="0.3">
      <c r="A503" s="29" t="s">
        <v>1280</v>
      </c>
      <c r="B503" s="29"/>
      <c r="C503" s="30">
        <v>53319</v>
      </c>
      <c r="D503" s="30">
        <v>0</v>
      </c>
      <c r="E503" s="30">
        <v>0</v>
      </c>
      <c r="F503" s="30">
        <v>21000</v>
      </c>
      <c r="H503" s="2">
        <f t="shared" si="193"/>
        <v>21000</v>
      </c>
      <c r="I503" s="1">
        <f t="shared" si="192"/>
        <v>0.39385584875935409</v>
      </c>
      <c r="J503" s="31">
        <v>504772</v>
      </c>
      <c r="K503" s="31">
        <v>193619</v>
      </c>
      <c r="L503" s="31">
        <v>698391</v>
      </c>
      <c r="M503" s="45">
        <f t="shared" si="194"/>
        <v>13.098351431947336</v>
      </c>
      <c r="N503" s="31">
        <v>150559</v>
      </c>
      <c r="O503" s="31">
        <v>43061</v>
      </c>
      <c r="P503" s="31">
        <v>40701</v>
      </c>
      <c r="Q503" s="31">
        <v>234321</v>
      </c>
      <c r="R503" s="45">
        <f t="shared" si="195"/>
        <v>4.3946998255781242</v>
      </c>
      <c r="S503" s="31">
        <v>298206</v>
      </c>
      <c r="T503" s="31">
        <v>1230918</v>
      </c>
      <c r="U503" s="31">
        <v>0</v>
      </c>
      <c r="V503" s="31">
        <v>1230918</v>
      </c>
      <c r="W503" s="45">
        <f t="shared" si="196"/>
        <v>23.085916840150791</v>
      </c>
      <c r="X503" s="4">
        <f t="shared" si="197"/>
        <v>0.56737410615491857</v>
      </c>
      <c r="Y503" s="4">
        <f t="shared" si="198"/>
        <v>0.19036280239626036</v>
      </c>
      <c r="Z503" s="4">
        <f t="shared" si="199"/>
        <v>0.24226309144882113</v>
      </c>
      <c r="AA503" s="4">
        <f t="shared" si="200"/>
        <v>0</v>
      </c>
      <c r="AB503" s="31">
        <v>0</v>
      </c>
      <c r="AC503" s="31">
        <v>234321</v>
      </c>
      <c r="AD503" s="31">
        <v>1230918</v>
      </c>
      <c r="AE503" s="31">
        <v>1227763</v>
      </c>
      <c r="AF503" s="31">
        <v>1158119</v>
      </c>
      <c r="AG503" s="31">
        <v>69644</v>
      </c>
      <c r="AH503" s="31">
        <v>0</v>
      </c>
      <c r="AI503" s="31">
        <v>1227763</v>
      </c>
      <c r="AJ503" s="45">
        <f t="shared" si="201"/>
        <v>23.026744687634803</v>
      </c>
      <c r="AK503" s="31">
        <v>0</v>
      </c>
      <c r="AL503" s="31">
        <v>0</v>
      </c>
      <c r="AM503" s="31">
        <v>0</v>
      </c>
      <c r="AN503" s="31">
        <v>0</v>
      </c>
      <c r="AO503" s="31">
        <v>0</v>
      </c>
      <c r="AP503" s="31">
        <v>4364</v>
      </c>
      <c r="AQ503" s="31">
        <v>4364</v>
      </c>
      <c r="AR503" s="31">
        <v>1232127</v>
      </c>
      <c r="AS503" s="46">
        <f t="shared" si="202"/>
        <v>23.108591684015078</v>
      </c>
      <c r="AT503" s="31">
        <v>0</v>
      </c>
      <c r="AU503" s="31">
        <v>0</v>
      </c>
      <c r="AV503" s="31">
        <v>0</v>
      </c>
      <c r="AW503" s="31">
        <v>0</v>
      </c>
      <c r="AX503" s="31">
        <v>0</v>
      </c>
      <c r="AY503" s="31">
        <v>0</v>
      </c>
      <c r="AZ503" s="31">
        <v>0</v>
      </c>
      <c r="BA503" s="31">
        <v>0</v>
      </c>
      <c r="BB503" s="31">
        <v>0</v>
      </c>
      <c r="BC503" s="33" t="s">
        <v>25</v>
      </c>
      <c r="BD503" s="47">
        <v>181508</v>
      </c>
      <c r="BE503" s="47">
        <v>187711</v>
      </c>
      <c r="BF503" s="45">
        <f t="shared" si="203"/>
        <v>3.5205273917365294</v>
      </c>
      <c r="BG503" s="30">
        <v>8377</v>
      </c>
      <c r="BH503" s="30">
        <v>8526</v>
      </c>
      <c r="BI503" s="30">
        <v>0</v>
      </c>
      <c r="BJ503" s="30">
        <v>10393</v>
      </c>
      <c r="BK503" s="30">
        <v>13864</v>
      </c>
      <c r="BL503" s="30">
        <v>0</v>
      </c>
      <c r="BM503" s="30">
        <v>2628</v>
      </c>
      <c r="BN503" s="30">
        <v>3</v>
      </c>
      <c r="BO503" s="30">
        <v>51</v>
      </c>
      <c r="BP503" s="30">
        <v>1</v>
      </c>
      <c r="BQ503" s="30">
        <v>55</v>
      </c>
      <c r="BR503" s="47">
        <v>200278</v>
      </c>
      <c r="BS503" s="47">
        <v>212732</v>
      </c>
      <c r="BT503" s="1">
        <f t="shared" si="204"/>
        <v>3.9897972580130912</v>
      </c>
      <c r="BU503" s="30">
        <v>114</v>
      </c>
      <c r="BV503" s="30">
        <v>0</v>
      </c>
      <c r="BW503" s="47">
        <v>29714</v>
      </c>
      <c r="BX503" s="52">
        <f t="shared" si="205"/>
        <v>0.55728727095406894</v>
      </c>
      <c r="BY503" s="47">
        <v>94684</v>
      </c>
      <c r="BZ503" s="47">
        <v>0</v>
      </c>
      <c r="CA503" s="47">
        <v>175841</v>
      </c>
      <c r="CB503" s="47">
        <v>3418</v>
      </c>
      <c r="CC503" s="47">
        <v>273943</v>
      </c>
      <c r="CD503" s="55">
        <f t="shared" si="206"/>
        <v>5.1378120369849398</v>
      </c>
      <c r="CE503" s="3">
        <f t="shared" si="207"/>
        <v>17532.351999999999</v>
      </c>
      <c r="CF503" s="55">
        <f t="shared" si="208"/>
        <v>91.16239600665557</v>
      </c>
      <c r="CG503" s="55">
        <f t="shared" si="209"/>
        <v>1.6446414956143773</v>
      </c>
      <c r="CH503" s="55">
        <f t="shared" si="210"/>
        <v>1.2716704586051935</v>
      </c>
      <c r="CI503" s="30">
        <v>140</v>
      </c>
      <c r="CJ503" s="30">
        <v>45</v>
      </c>
      <c r="CK503" s="30">
        <v>136</v>
      </c>
      <c r="CL503" s="30">
        <v>321</v>
      </c>
      <c r="CM503" s="30">
        <v>1661</v>
      </c>
      <c r="CN503" s="30">
        <v>216</v>
      </c>
      <c r="CO503" s="30">
        <v>1764</v>
      </c>
      <c r="CP503" s="30">
        <v>3641</v>
      </c>
      <c r="CQ503" s="1">
        <f t="shared" si="218"/>
        <v>6.8287102158705149E-2</v>
      </c>
      <c r="CR503" s="47">
        <v>166567</v>
      </c>
      <c r="CS503" s="55">
        <f t="shared" si="211"/>
        <v>3.1239708171571108</v>
      </c>
      <c r="CT503" s="59">
        <v>23835</v>
      </c>
      <c r="CU503" s="29" t="s">
        <v>25</v>
      </c>
      <c r="CV503" s="29" t="s">
        <v>25</v>
      </c>
      <c r="CW503" s="29" t="s">
        <v>25</v>
      </c>
      <c r="CX503" s="35">
        <v>7</v>
      </c>
      <c r="CY503" s="49">
        <f>C503/CX503</f>
        <v>7617</v>
      </c>
      <c r="CZ503" s="35">
        <v>0</v>
      </c>
      <c r="DA503" s="35">
        <v>8.625</v>
      </c>
      <c r="DB503" s="35">
        <v>15.625</v>
      </c>
      <c r="DC503" s="49">
        <f t="shared" si="212"/>
        <v>3412.4160000000002</v>
      </c>
      <c r="DD503" s="30">
        <v>73</v>
      </c>
      <c r="DE503" s="31">
        <v>62208</v>
      </c>
      <c r="DF503" s="35">
        <v>40</v>
      </c>
      <c r="DG503" s="29" t="s">
        <v>25</v>
      </c>
      <c r="DH503" s="29" t="s">
        <v>25</v>
      </c>
      <c r="DI503" s="29" t="s">
        <v>25</v>
      </c>
      <c r="DJ503" s="47">
        <v>334</v>
      </c>
      <c r="DK503" s="47">
        <v>2359</v>
      </c>
      <c r="DL503" s="47">
        <v>43</v>
      </c>
      <c r="DM503" s="47">
        <v>70779</v>
      </c>
      <c r="DN503" s="47">
        <v>24773</v>
      </c>
      <c r="DO503" s="47">
        <v>30050</v>
      </c>
      <c r="DP503" s="29" t="s">
        <v>25</v>
      </c>
      <c r="DQ503" s="47">
        <v>81904</v>
      </c>
      <c r="DR503" s="47">
        <v>3005</v>
      </c>
      <c r="DS503" s="30">
        <v>52</v>
      </c>
      <c r="DT503" s="30">
        <v>60</v>
      </c>
      <c r="DU503" s="30">
        <v>60</v>
      </c>
      <c r="DV503" s="30">
        <v>60</v>
      </c>
      <c r="DX503" s="2">
        <f t="shared" si="213"/>
        <v>3005</v>
      </c>
      <c r="DY503" s="33" t="s">
        <v>2185</v>
      </c>
      <c r="DZ503" s="33" t="s">
        <v>1281</v>
      </c>
      <c r="EA503" s="33" t="s">
        <v>2030</v>
      </c>
      <c r="EB503" s="33" t="s">
        <v>2027</v>
      </c>
      <c r="EC503" s="36">
        <v>387</v>
      </c>
      <c r="ED503" s="29" t="s">
        <v>1279</v>
      </c>
      <c r="EE503" s="29" t="s">
        <v>440</v>
      </c>
      <c r="EF503" s="37">
        <v>41548</v>
      </c>
      <c r="EG503" s="37">
        <v>41912</v>
      </c>
      <c r="EH503" s="29" t="s">
        <v>1279</v>
      </c>
      <c r="EI503" s="55">
        <f t="shared" si="214"/>
        <v>1.7758022468538419</v>
      </c>
      <c r="EJ503" s="54">
        <f t="shared" si="215"/>
        <v>0</v>
      </c>
      <c r="EK503" s="55">
        <f t="shared" si="216"/>
        <v>3.2979050619854084</v>
      </c>
      <c r="EL503" s="54">
        <f t="shared" si="217"/>
        <v>6.4104728145689155E-2</v>
      </c>
    </row>
    <row r="504" spans="1:142" ht="28.8" x14ac:dyDescent="0.3">
      <c r="A504" s="29" t="s">
        <v>1283</v>
      </c>
      <c r="B504" s="29"/>
      <c r="C504" s="30">
        <v>50790</v>
      </c>
      <c r="D504" s="30">
        <v>0</v>
      </c>
      <c r="E504" s="30">
        <v>0</v>
      </c>
      <c r="F504" s="30">
        <v>15266</v>
      </c>
      <c r="H504" s="2">
        <f t="shared" ref="H504:H558" si="219">G504+F504</f>
        <v>15266</v>
      </c>
      <c r="I504" s="1">
        <f t="shared" ref="I504:I558" si="220">H504/C504</f>
        <v>0.30057097853908249</v>
      </c>
      <c r="J504" s="31">
        <v>617690</v>
      </c>
      <c r="K504" s="31">
        <v>193460</v>
      </c>
      <c r="L504" s="31">
        <v>811150</v>
      </c>
      <c r="M504" s="45">
        <f t="shared" si="194"/>
        <v>15.970663516440244</v>
      </c>
      <c r="N504" s="31">
        <v>40408</v>
      </c>
      <c r="O504" s="31">
        <v>55010</v>
      </c>
      <c r="P504" s="31">
        <v>12420</v>
      </c>
      <c r="Q504" s="31">
        <v>107838</v>
      </c>
      <c r="R504" s="45">
        <f t="shared" si="195"/>
        <v>2.1232132309509746</v>
      </c>
      <c r="S504" s="31">
        <v>65939</v>
      </c>
      <c r="T504" s="31">
        <v>984927</v>
      </c>
      <c r="U504" s="31">
        <v>0</v>
      </c>
      <c r="V504" s="31">
        <v>984927</v>
      </c>
      <c r="W504" s="45">
        <f t="shared" si="196"/>
        <v>19.392144122858831</v>
      </c>
      <c r="X504" s="4">
        <f t="shared" si="197"/>
        <v>0.82356357374708988</v>
      </c>
      <c r="Y504" s="4">
        <f t="shared" si="198"/>
        <v>0.10948831740829523</v>
      </c>
      <c r="Z504" s="4">
        <f t="shared" si="199"/>
        <v>6.6948108844614884E-2</v>
      </c>
      <c r="AA504" s="4">
        <f t="shared" si="200"/>
        <v>0</v>
      </c>
      <c r="AB504" s="31">
        <v>0</v>
      </c>
      <c r="AC504" s="31">
        <v>101179</v>
      </c>
      <c r="AD504" s="31">
        <v>974439</v>
      </c>
      <c r="AE504" s="31">
        <v>974439</v>
      </c>
      <c r="AF504" s="31">
        <v>947783</v>
      </c>
      <c r="AG504" s="31">
        <v>36740</v>
      </c>
      <c r="AH504" s="31">
        <v>0</v>
      </c>
      <c r="AI504" s="31">
        <v>984523</v>
      </c>
      <c r="AJ504" s="45">
        <f t="shared" si="201"/>
        <v>19.384189801141957</v>
      </c>
      <c r="AK504" s="31">
        <v>0</v>
      </c>
      <c r="AL504" s="31">
        <v>0</v>
      </c>
      <c r="AM504" s="31">
        <v>0</v>
      </c>
      <c r="AN504" s="31">
        <v>0</v>
      </c>
      <c r="AO504" s="31">
        <v>5000</v>
      </c>
      <c r="AP504" s="31">
        <v>0</v>
      </c>
      <c r="AQ504" s="31">
        <v>5000</v>
      </c>
      <c r="AR504" s="31">
        <v>989523</v>
      </c>
      <c r="AS504" s="46">
        <f t="shared" si="202"/>
        <v>19.482634376845837</v>
      </c>
      <c r="AT504" s="31">
        <v>0</v>
      </c>
      <c r="AU504" s="31">
        <v>0</v>
      </c>
      <c r="AV504" s="31">
        <v>0</v>
      </c>
      <c r="AW504" s="31">
        <v>0</v>
      </c>
      <c r="AX504" s="31">
        <v>0</v>
      </c>
      <c r="AY504" s="31">
        <v>0</v>
      </c>
      <c r="AZ504" s="31">
        <v>0</v>
      </c>
      <c r="BA504" s="31">
        <v>0</v>
      </c>
      <c r="BB504" s="31">
        <v>0</v>
      </c>
      <c r="BC504" s="33" t="s">
        <v>25</v>
      </c>
      <c r="BD504" s="47">
        <v>63171</v>
      </c>
      <c r="BE504" s="47">
        <v>72900</v>
      </c>
      <c r="BF504" s="45">
        <f t="shared" si="203"/>
        <v>1.4353219137625517</v>
      </c>
      <c r="BG504" s="30">
        <v>2825</v>
      </c>
      <c r="BH504" s="30">
        <v>2882</v>
      </c>
      <c r="BI504" s="30">
        <v>3607</v>
      </c>
      <c r="BJ504" s="30">
        <v>3956</v>
      </c>
      <c r="BK504" s="30">
        <v>4231</v>
      </c>
      <c r="BL504" s="30">
        <v>0</v>
      </c>
      <c r="BM504" s="30">
        <v>6498</v>
      </c>
      <c r="BN504" s="30">
        <v>33</v>
      </c>
      <c r="BO504" s="30">
        <v>51</v>
      </c>
      <c r="BP504" s="30">
        <v>1</v>
      </c>
      <c r="BQ504" s="30">
        <v>85</v>
      </c>
      <c r="BR504" s="47">
        <v>69952</v>
      </c>
      <c r="BS504" s="47">
        <v>90151</v>
      </c>
      <c r="BT504" s="1">
        <f t="shared" si="204"/>
        <v>1.774975388856074</v>
      </c>
      <c r="BU504" s="30">
        <v>64</v>
      </c>
      <c r="BV504" s="30">
        <v>42</v>
      </c>
      <c r="BW504" s="47">
        <v>5380</v>
      </c>
      <c r="BX504" s="52">
        <f t="shared" si="205"/>
        <v>0.1059263634573735</v>
      </c>
      <c r="BY504" s="47">
        <v>55281</v>
      </c>
      <c r="BZ504" s="47">
        <v>0</v>
      </c>
      <c r="CA504" s="47">
        <v>55892</v>
      </c>
      <c r="CB504" s="47">
        <v>11044</v>
      </c>
      <c r="CC504" s="47">
        <v>122217</v>
      </c>
      <c r="CD504" s="55">
        <f t="shared" si="206"/>
        <v>2.4063201417601889</v>
      </c>
      <c r="CE504" s="3">
        <f t="shared" si="207"/>
        <v>8606.8309859154942</v>
      </c>
      <c r="CF504" s="55">
        <f t="shared" si="208"/>
        <v>53.091659426585579</v>
      </c>
      <c r="CG504" s="55">
        <f t="shared" si="209"/>
        <v>1.5638171279413458</v>
      </c>
      <c r="CH504" s="55">
        <f t="shared" si="210"/>
        <v>1.2331865425785626</v>
      </c>
      <c r="CI504" s="30">
        <v>346</v>
      </c>
      <c r="CJ504" s="30">
        <v>46</v>
      </c>
      <c r="CK504" s="30">
        <v>175</v>
      </c>
      <c r="CL504" s="30">
        <v>567</v>
      </c>
      <c r="CM504" s="30">
        <v>8967</v>
      </c>
      <c r="CN504" s="30">
        <v>529</v>
      </c>
      <c r="CO504" s="30">
        <v>3440</v>
      </c>
      <c r="CP504" s="30">
        <v>12936</v>
      </c>
      <c r="CQ504" s="1">
        <f t="shared" si="218"/>
        <v>0.25469580626107502</v>
      </c>
      <c r="CR504" s="47">
        <v>78153</v>
      </c>
      <c r="CS504" s="55">
        <f t="shared" si="211"/>
        <v>1.5387477849970466</v>
      </c>
      <c r="CT504" s="59">
        <v>19175</v>
      </c>
      <c r="CU504" s="29" t="s">
        <v>25</v>
      </c>
      <c r="CV504" s="29" t="s">
        <v>25</v>
      </c>
      <c r="CW504" s="29" t="s">
        <v>25</v>
      </c>
      <c r="CX504" s="35">
        <v>6.25</v>
      </c>
      <c r="CY504" s="49">
        <f>C504/CX504</f>
        <v>8126.4</v>
      </c>
      <c r="CZ504" s="35">
        <v>0</v>
      </c>
      <c r="DA504" s="35">
        <v>7.95</v>
      </c>
      <c r="DB504" s="35">
        <v>14.2</v>
      </c>
      <c r="DC504" s="49">
        <f t="shared" si="212"/>
        <v>3576.7605633802818</v>
      </c>
      <c r="DD504" s="30">
        <v>1225</v>
      </c>
      <c r="DE504" s="31">
        <v>103376</v>
      </c>
      <c r="DF504" s="35">
        <v>40</v>
      </c>
      <c r="DG504" s="29" t="s">
        <v>25</v>
      </c>
      <c r="DH504" s="29" t="s">
        <v>25</v>
      </c>
      <c r="DI504" s="29" t="s">
        <v>25</v>
      </c>
      <c r="DJ504" s="47">
        <v>17</v>
      </c>
      <c r="DK504" s="47">
        <v>7</v>
      </c>
      <c r="DL504" s="47">
        <v>31</v>
      </c>
      <c r="DM504" s="47">
        <v>24382</v>
      </c>
      <c r="DN504" s="47">
        <v>2522</v>
      </c>
      <c r="DO504" s="47">
        <v>15943</v>
      </c>
      <c r="DP504" s="29" t="s">
        <v>25</v>
      </c>
      <c r="DQ504" s="47">
        <v>45816</v>
      </c>
      <c r="DR504" s="47">
        <v>2302</v>
      </c>
      <c r="DS504" s="30">
        <v>51</v>
      </c>
      <c r="DT504" s="30">
        <v>48</v>
      </c>
      <c r="DU504" s="30">
        <v>48</v>
      </c>
      <c r="DV504" s="30">
        <v>48</v>
      </c>
      <c r="DX504" s="2">
        <f t="shared" si="213"/>
        <v>2302</v>
      </c>
      <c r="DY504" s="33" t="s">
        <v>2181</v>
      </c>
      <c r="DZ504" s="33" t="s">
        <v>1284</v>
      </c>
      <c r="EA504" s="33" t="s">
        <v>2030</v>
      </c>
      <c r="EB504" s="33" t="s">
        <v>2027</v>
      </c>
      <c r="EC504" s="36">
        <v>388</v>
      </c>
      <c r="ED504" s="29" t="s">
        <v>1282</v>
      </c>
      <c r="EE504" s="29" t="s">
        <v>424</v>
      </c>
      <c r="EF504" s="37">
        <v>41548</v>
      </c>
      <c r="EG504" s="37">
        <v>41912</v>
      </c>
      <c r="EH504" s="29" t="s">
        <v>1282</v>
      </c>
      <c r="EI504" s="55">
        <f t="shared" si="214"/>
        <v>1.0884229178972238</v>
      </c>
      <c r="EJ504" s="54">
        <f t="shared" si="215"/>
        <v>0</v>
      </c>
      <c r="EK504" s="55">
        <f t="shared" si="216"/>
        <v>1.1004528450482378</v>
      </c>
      <c r="EL504" s="54">
        <f t="shared" si="217"/>
        <v>0.21744437881472731</v>
      </c>
    </row>
    <row r="505" spans="1:142" ht="28.8" x14ac:dyDescent="0.3">
      <c r="A505" s="29" t="s">
        <v>1687</v>
      </c>
      <c r="B505" s="29"/>
      <c r="C505" s="30">
        <v>1600</v>
      </c>
      <c r="D505" s="30">
        <v>0</v>
      </c>
      <c r="E505" s="30">
        <v>0</v>
      </c>
      <c r="F505" s="30">
        <v>1800</v>
      </c>
      <c r="H505" s="2">
        <f t="shared" si="219"/>
        <v>1800</v>
      </c>
      <c r="I505" s="1">
        <f t="shared" si="220"/>
        <v>1.125</v>
      </c>
      <c r="J505" s="31">
        <v>7283</v>
      </c>
      <c r="K505" s="31">
        <v>1458</v>
      </c>
      <c r="L505" s="31">
        <v>8741</v>
      </c>
      <c r="M505" s="45">
        <f t="shared" si="194"/>
        <v>5.4631249999999998</v>
      </c>
      <c r="N505" s="31">
        <v>919</v>
      </c>
      <c r="O505" s="31">
        <v>0</v>
      </c>
      <c r="P505" s="31">
        <v>0</v>
      </c>
      <c r="Q505" s="31">
        <v>919</v>
      </c>
      <c r="R505" s="45">
        <f t="shared" si="195"/>
        <v>0.57437499999999997</v>
      </c>
      <c r="S505" s="31">
        <v>11463</v>
      </c>
      <c r="T505" s="31">
        <v>21123</v>
      </c>
      <c r="U505" s="31">
        <v>0</v>
      </c>
      <c r="V505" s="31">
        <v>21123</v>
      </c>
      <c r="W505" s="45">
        <f t="shared" si="196"/>
        <v>13.201874999999999</v>
      </c>
      <c r="X505" s="4">
        <f t="shared" si="197"/>
        <v>0.4138143256166264</v>
      </c>
      <c r="Y505" s="4">
        <f t="shared" si="198"/>
        <v>4.3507077593144913E-2</v>
      </c>
      <c r="Z505" s="4">
        <f t="shared" si="199"/>
        <v>0.54267859679022867</v>
      </c>
      <c r="AA505" s="4">
        <f t="shared" si="200"/>
        <v>0</v>
      </c>
      <c r="AB505" s="31">
        <v>0</v>
      </c>
      <c r="AC505" s="31">
        <v>919</v>
      </c>
      <c r="AD505" s="31">
        <v>19970</v>
      </c>
      <c r="AE505" s="31">
        <v>14000</v>
      </c>
      <c r="AF505" s="31">
        <v>2000</v>
      </c>
      <c r="AG505" s="31">
        <v>12000</v>
      </c>
      <c r="AH505" s="31">
        <v>0</v>
      </c>
      <c r="AI505" s="31">
        <v>14000</v>
      </c>
      <c r="AJ505" s="45">
        <f t="shared" si="201"/>
        <v>8.75</v>
      </c>
      <c r="AK505" s="31">
        <v>0</v>
      </c>
      <c r="AL505" s="31">
        <v>0</v>
      </c>
      <c r="AM505" s="31">
        <v>0</v>
      </c>
      <c r="AN505" s="31">
        <v>0</v>
      </c>
      <c r="AO505" s="31">
        <v>0</v>
      </c>
      <c r="AP505" s="31">
        <v>5970</v>
      </c>
      <c r="AQ505" s="31">
        <v>5970</v>
      </c>
      <c r="AR505" s="31">
        <v>19970</v>
      </c>
      <c r="AS505" s="46">
        <f t="shared" si="202"/>
        <v>12.481249999999999</v>
      </c>
      <c r="AT505" s="31">
        <v>0</v>
      </c>
      <c r="AU505" s="31">
        <v>0</v>
      </c>
      <c r="AV505" s="31">
        <v>0</v>
      </c>
      <c r="AW505" s="31">
        <v>0</v>
      </c>
      <c r="AX505" s="31">
        <v>0</v>
      </c>
      <c r="AY505" s="31">
        <v>0</v>
      </c>
      <c r="AZ505" s="31">
        <v>0</v>
      </c>
      <c r="BA505" s="31">
        <v>0</v>
      </c>
      <c r="BB505" s="31">
        <v>0</v>
      </c>
      <c r="BC505" s="33" t="s">
        <v>25</v>
      </c>
      <c r="BD505" s="47">
        <v>10449</v>
      </c>
      <c r="BE505" s="47">
        <v>10575</v>
      </c>
      <c r="BF505" s="45">
        <f t="shared" si="203"/>
        <v>6.609375</v>
      </c>
      <c r="BG505" s="30">
        <v>287</v>
      </c>
      <c r="BH505" s="30">
        <v>287</v>
      </c>
      <c r="BI505" s="30">
        <v>0</v>
      </c>
      <c r="BJ505" s="30">
        <v>393</v>
      </c>
      <c r="BK505" s="30">
        <v>393</v>
      </c>
      <c r="BL505" s="30">
        <v>0</v>
      </c>
      <c r="BM505" s="30">
        <v>0</v>
      </c>
      <c r="BN505" s="30">
        <v>0</v>
      </c>
      <c r="BO505" s="30">
        <v>51</v>
      </c>
      <c r="BP505" s="30">
        <v>0</v>
      </c>
      <c r="BQ505" s="30">
        <v>51</v>
      </c>
      <c r="BR505" s="47">
        <v>11129</v>
      </c>
      <c r="BS505" s="47">
        <v>11255</v>
      </c>
      <c r="BT505" s="1">
        <f t="shared" si="204"/>
        <v>7.0343749999999998</v>
      </c>
      <c r="BU505" s="30">
        <v>4</v>
      </c>
      <c r="BV505" s="30">
        <v>0</v>
      </c>
      <c r="BW505" s="47">
        <v>780</v>
      </c>
      <c r="BX505" s="52">
        <f t="shared" si="205"/>
        <v>0.48749999999999999</v>
      </c>
      <c r="BY505" s="47">
        <v>425</v>
      </c>
      <c r="BZ505" s="47">
        <v>0</v>
      </c>
      <c r="CA505" s="47">
        <v>4875</v>
      </c>
      <c r="CB505" s="47">
        <v>0</v>
      </c>
      <c r="CC505" s="47">
        <v>5300</v>
      </c>
      <c r="CD505" s="55">
        <f t="shared" si="206"/>
        <v>3.3125</v>
      </c>
      <c r="CE505" s="3">
        <f t="shared" si="207"/>
        <v>10600</v>
      </c>
      <c r="CF505" s="55">
        <f t="shared" si="208"/>
        <v>4.387417218543046</v>
      </c>
      <c r="CG505" s="55">
        <f t="shared" si="209"/>
        <v>0.63855421686746983</v>
      </c>
      <c r="CH505" s="55">
        <f t="shared" si="210"/>
        <v>0.47090182141270548</v>
      </c>
      <c r="CI505" s="30">
        <v>35</v>
      </c>
      <c r="CJ505" s="30">
        <v>6</v>
      </c>
      <c r="CK505" s="30">
        <v>7</v>
      </c>
      <c r="CL505" s="30">
        <v>48</v>
      </c>
      <c r="CM505" s="30">
        <v>265</v>
      </c>
      <c r="CN505" s="30">
        <v>75</v>
      </c>
      <c r="CO505" s="30">
        <v>451</v>
      </c>
      <c r="CP505" s="30">
        <v>791</v>
      </c>
      <c r="CQ505" s="1">
        <f t="shared" si="218"/>
        <v>0.49437500000000001</v>
      </c>
      <c r="CR505" s="47">
        <v>8300</v>
      </c>
      <c r="CS505" s="55">
        <f t="shared" si="211"/>
        <v>5.1875</v>
      </c>
      <c r="CT505" s="59">
        <v>685</v>
      </c>
      <c r="CU505" s="29" t="s">
        <v>25</v>
      </c>
      <c r="CV505" s="29" t="s">
        <v>25</v>
      </c>
      <c r="CW505" s="29" t="s">
        <v>25</v>
      </c>
      <c r="CX505" s="35">
        <v>0</v>
      </c>
      <c r="CY505" s="49">
        <v>0</v>
      </c>
      <c r="CZ505" s="35">
        <v>0.5</v>
      </c>
      <c r="DA505" s="35">
        <v>0</v>
      </c>
      <c r="DB505" s="35">
        <v>0.5</v>
      </c>
      <c r="DC505" s="49">
        <f t="shared" si="212"/>
        <v>3200</v>
      </c>
      <c r="DD505" s="30">
        <v>360</v>
      </c>
      <c r="DE505" s="31">
        <v>8580</v>
      </c>
      <c r="DF505" s="35">
        <v>20</v>
      </c>
      <c r="DG505" s="29" t="s">
        <v>25</v>
      </c>
      <c r="DH505" s="29" t="s">
        <v>25</v>
      </c>
      <c r="DI505" s="29" t="s">
        <v>25</v>
      </c>
      <c r="DJ505" s="47">
        <v>6</v>
      </c>
      <c r="DK505" s="47">
        <v>12</v>
      </c>
      <c r="DL505" s="47">
        <v>5</v>
      </c>
      <c r="DM505" s="47">
        <v>2750</v>
      </c>
      <c r="DN505" s="47">
        <v>30</v>
      </c>
      <c r="DO505" s="47">
        <v>0</v>
      </c>
      <c r="DP505" s="29" t="s">
        <v>2028</v>
      </c>
      <c r="DQ505" s="47">
        <v>0</v>
      </c>
      <c r="DR505" s="47">
        <v>1208</v>
      </c>
      <c r="DS505" s="30">
        <v>52</v>
      </c>
      <c r="DT505" s="30">
        <v>24</v>
      </c>
      <c r="DU505" s="30">
        <v>24</v>
      </c>
      <c r="DV505" s="30">
        <v>24</v>
      </c>
      <c r="DX505" s="2">
        <f t="shared" si="213"/>
        <v>1208</v>
      </c>
      <c r="DY505" s="33" t="s">
        <v>2179</v>
      </c>
      <c r="DZ505" s="33" t="s">
        <v>1689</v>
      </c>
      <c r="EA505" s="33" t="s">
        <v>2032</v>
      </c>
      <c r="EB505" s="33" t="s">
        <v>2027</v>
      </c>
      <c r="EC505" s="36">
        <v>576</v>
      </c>
      <c r="ED505" s="29" t="s">
        <v>1688</v>
      </c>
      <c r="EE505" s="29" t="s">
        <v>1687</v>
      </c>
      <c r="EF505" s="37">
        <v>41518</v>
      </c>
      <c r="EG505" s="37">
        <v>41882</v>
      </c>
      <c r="EH505" s="29" t="s">
        <v>1688</v>
      </c>
      <c r="EI505" s="55">
        <f t="shared" si="214"/>
        <v>0.265625</v>
      </c>
      <c r="EJ505" s="54">
        <f t="shared" si="215"/>
        <v>0</v>
      </c>
      <c r="EK505" s="55">
        <f t="shared" si="216"/>
        <v>3.046875</v>
      </c>
      <c r="EL505" s="54">
        <f t="shared" si="217"/>
        <v>0</v>
      </c>
    </row>
    <row r="506" spans="1:142" ht="28.8" x14ac:dyDescent="0.3">
      <c r="A506" s="29" t="s">
        <v>1801</v>
      </c>
      <c r="B506" s="29"/>
      <c r="C506" s="30">
        <v>3987</v>
      </c>
      <c r="D506" s="30">
        <v>0</v>
      </c>
      <c r="E506" s="30">
        <v>0</v>
      </c>
      <c r="F506" s="30">
        <v>5400</v>
      </c>
      <c r="H506" s="2">
        <f t="shared" si="219"/>
        <v>5400</v>
      </c>
      <c r="I506" s="1">
        <f t="shared" si="220"/>
        <v>1.3544018058690745</v>
      </c>
      <c r="J506" s="31">
        <v>0</v>
      </c>
      <c r="K506" s="31">
        <v>0</v>
      </c>
      <c r="L506" s="31">
        <v>0</v>
      </c>
      <c r="M506" s="45">
        <f t="shared" si="194"/>
        <v>0</v>
      </c>
      <c r="N506" s="31">
        <v>8009</v>
      </c>
      <c r="O506" s="31">
        <v>1414</v>
      </c>
      <c r="P506" s="31">
        <v>300</v>
      </c>
      <c r="Q506" s="31">
        <v>9723</v>
      </c>
      <c r="R506" s="45">
        <f t="shared" si="195"/>
        <v>2.438675696012039</v>
      </c>
      <c r="S506" s="31">
        <v>21164</v>
      </c>
      <c r="T506" s="31">
        <v>30887</v>
      </c>
      <c r="U506" s="31">
        <v>0</v>
      </c>
      <c r="V506" s="31">
        <v>30887</v>
      </c>
      <c r="W506" s="45">
        <f t="shared" si="196"/>
        <v>7.7469275144218708</v>
      </c>
      <c r="X506" s="4">
        <f t="shared" si="197"/>
        <v>0</v>
      </c>
      <c r="Y506" s="4">
        <f t="shared" si="198"/>
        <v>0.31479263120406642</v>
      </c>
      <c r="Z506" s="4">
        <f t="shared" si="199"/>
        <v>0.68520736879593358</v>
      </c>
      <c r="AA506" s="4">
        <f t="shared" si="200"/>
        <v>0</v>
      </c>
      <c r="AB506" s="31">
        <v>5391</v>
      </c>
      <c r="AC506" s="31">
        <v>9723</v>
      </c>
      <c r="AD506" s="31">
        <v>30887</v>
      </c>
      <c r="AE506" s="31">
        <v>30887</v>
      </c>
      <c r="AF506" s="31">
        <v>108076</v>
      </c>
      <c r="AG506" s="31">
        <v>0</v>
      </c>
      <c r="AH506" s="31">
        <v>0</v>
      </c>
      <c r="AI506" s="31">
        <v>108076</v>
      </c>
      <c r="AJ506" s="45">
        <f t="shared" si="201"/>
        <v>27.107098068723349</v>
      </c>
      <c r="AK506" s="31">
        <v>0</v>
      </c>
      <c r="AL506" s="31">
        <v>0</v>
      </c>
      <c r="AM506" s="31">
        <v>0</v>
      </c>
      <c r="AN506" s="31">
        <v>0</v>
      </c>
      <c r="AO506" s="31">
        <v>0</v>
      </c>
      <c r="AP506" s="31">
        <v>2289</v>
      </c>
      <c r="AQ506" s="31">
        <v>2289</v>
      </c>
      <c r="AR506" s="31">
        <v>110365</v>
      </c>
      <c r="AS506" s="46">
        <f t="shared" si="202"/>
        <v>27.681213945322298</v>
      </c>
      <c r="AT506" s="31">
        <v>0</v>
      </c>
      <c r="AU506" s="31">
        <v>0</v>
      </c>
      <c r="AV506" s="31">
        <v>0</v>
      </c>
      <c r="AW506" s="31">
        <v>0</v>
      </c>
      <c r="AX506" s="31">
        <v>0</v>
      </c>
      <c r="AY506" s="31">
        <v>0</v>
      </c>
      <c r="AZ506" s="31">
        <v>0</v>
      </c>
      <c r="BA506" s="31">
        <v>0</v>
      </c>
      <c r="BB506" s="31">
        <v>0</v>
      </c>
      <c r="BC506" s="33" t="s">
        <v>25</v>
      </c>
      <c r="BD506" s="47">
        <v>15026</v>
      </c>
      <c r="BE506" s="47">
        <v>15035</v>
      </c>
      <c r="BF506" s="45">
        <f t="shared" si="203"/>
        <v>3.7710057687484322</v>
      </c>
      <c r="BG506" s="30">
        <v>0</v>
      </c>
      <c r="BH506" s="30">
        <v>0</v>
      </c>
      <c r="BI506" s="30">
        <v>0</v>
      </c>
      <c r="BJ506" s="30">
        <v>843</v>
      </c>
      <c r="BK506" s="30">
        <v>873</v>
      </c>
      <c r="BL506" s="30">
        <v>0</v>
      </c>
      <c r="BM506" s="30">
        <v>0</v>
      </c>
      <c r="BN506" s="30">
        <v>0</v>
      </c>
      <c r="BO506" s="30">
        <v>0</v>
      </c>
      <c r="BP506" s="30">
        <v>0</v>
      </c>
      <c r="BQ506" s="30">
        <v>0</v>
      </c>
      <c r="BR506" s="47">
        <v>15869</v>
      </c>
      <c r="BS506" s="47">
        <v>15908</v>
      </c>
      <c r="BT506" s="1">
        <f t="shared" si="204"/>
        <v>3.9899673940305993</v>
      </c>
      <c r="BU506" s="30">
        <v>3</v>
      </c>
      <c r="BV506" s="30">
        <v>0</v>
      </c>
      <c r="BW506" s="47">
        <v>215</v>
      </c>
      <c r="BX506" s="52">
        <f t="shared" si="205"/>
        <v>5.3925257085527964E-2</v>
      </c>
      <c r="BY506" s="47">
        <v>774</v>
      </c>
      <c r="BZ506" s="47">
        <v>0</v>
      </c>
      <c r="CA506" s="47">
        <v>4974</v>
      </c>
      <c r="CB506" s="47">
        <v>0</v>
      </c>
      <c r="CC506" s="47">
        <v>5748</v>
      </c>
      <c r="CD506" s="55">
        <f t="shared" si="206"/>
        <v>1.4416854778028594</v>
      </c>
      <c r="CE506" s="3">
        <v>0</v>
      </c>
      <c r="CF506" s="55">
        <f t="shared" si="208"/>
        <v>2.472258064516129</v>
      </c>
      <c r="CG506" s="55">
        <f t="shared" si="209"/>
        <v>1.5410187667560322</v>
      </c>
      <c r="CH506" s="55">
        <f t="shared" si="210"/>
        <v>0.36132763389489564</v>
      </c>
      <c r="CI506" s="30">
        <v>1</v>
      </c>
      <c r="CJ506" s="30">
        <v>0</v>
      </c>
      <c r="CK506" s="30">
        <v>1</v>
      </c>
      <c r="CL506" s="30">
        <v>2</v>
      </c>
      <c r="CM506" s="30">
        <v>5</v>
      </c>
      <c r="CN506" s="30">
        <v>0</v>
      </c>
      <c r="CO506" s="30">
        <v>35</v>
      </c>
      <c r="CP506" s="30">
        <v>40</v>
      </c>
      <c r="CQ506" s="1">
        <f t="shared" si="218"/>
        <v>1.0032605969400551E-2</v>
      </c>
      <c r="CR506" s="47">
        <v>3730</v>
      </c>
      <c r="CS506" s="55">
        <f t="shared" si="211"/>
        <v>0.93554050664660149</v>
      </c>
      <c r="CT506" s="59">
        <v>1948</v>
      </c>
      <c r="CU506" s="29" t="s">
        <v>25</v>
      </c>
      <c r="CV506" s="29" t="s">
        <v>25</v>
      </c>
      <c r="CW506" s="29" t="s">
        <v>25</v>
      </c>
      <c r="CX506" s="35">
        <v>0</v>
      </c>
      <c r="CY506" s="49">
        <v>0</v>
      </c>
      <c r="CZ506" s="35">
        <v>0</v>
      </c>
      <c r="DA506" s="35">
        <v>0</v>
      </c>
      <c r="DB506" s="35">
        <v>0</v>
      </c>
      <c r="DC506" s="49">
        <v>0</v>
      </c>
      <c r="DD506" s="30">
        <v>2286</v>
      </c>
      <c r="DE506" s="31">
        <v>0</v>
      </c>
      <c r="DF506" s="35">
        <v>14</v>
      </c>
      <c r="DG506" s="29" t="s">
        <v>26</v>
      </c>
      <c r="DH506" s="29" t="s">
        <v>26</v>
      </c>
      <c r="DI506" s="29" t="s">
        <v>26</v>
      </c>
      <c r="DJ506" s="47">
        <v>0</v>
      </c>
      <c r="DK506" s="47">
        <v>0</v>
      </c>
      <c r="DL506" s="47">
        <v>7</v>
      </c>
      <c r="DM506" s="47">
        <v>2850</v>
      </c>
      <c r="DN506" s="47">
        <v>5</v>
      </c>
      <c r="DO506" s="47">
        <v>75</v>
      </c>
      <c r="DP506" s="29" t="s">
        <v>2028</v>
      </c>
      <c r="DQ506" s="47">
        <v>0</v>
      </c>
      <c r="DR506" s="47">
        <v>2325</v>
      </c>
      <c r="DS506" s="30">
        <v>52</v>
      </c>
      <c r="DT506" s="30">
        <v>43</v>
      </c>
      <c r="DU506" s="30">
        <v>43</v>
      </c>
      <c r="DV506" s="30">
        <v>43</v>
      </c>
      <c r="DX506" s="2">
        <f t="shared" si="213"/>
        <v>2325</v>
      </c>
      <c r="DY506" s="33" t="s">
        <v>2185</v>
      </c>
      <c r="DZ506" s="33" t="s">
        <v>1803</v>
      </c>
      <c r="EA506" s="33" t="s">
        <v>2033</v>
      </c>
      <c r="EB506" s="33" t="s">
        <v>2026</v>
      </c>
      <c r="EC506" s="36">
        <v>639</v>
      </c>
      <c r="ED506" s="29" t="s">
        <v>1802</v>
      </c>
      <c r="EE506" s="29" t="s">
        <v>285</v>
      </c>
      <c r="EF506" s="37">
        <v>41640</v>
      </c>
      <c r="EG506" s="37">
        <v>42004</v>
      </c>
      <c r="EH506" s="29" t="s">
        <v>1802</v>
      </c>
      <c r="EI506" s="55">
        <f t="shared" si="214"/>
        <v>0.19413092550790068</v>
      </c>
      <c r="EJ506" s="54">
        <f t="shared" si="215"/>
        <v>0</v>
      </c>
      <c r="EK506" s="55">
        <f t="shared" si="216"/>
        <v>1.2475545522949587</v>
      </c>
      <c r="EL506" s="54">
        <f t="shared" si="217"/>
        <v>0</v>
      </c>
    </row>
    <row r="507" spans="1:142" ht="28.8" x14ac:dyDescent="0.3">
      <c r="A507" s="29" t="s">
        <v>1784</v>
      </c>
      <c r="B507" s="29"/>
      <c r="C507" s="30">
        <v>1580</v>
      </c>
      <c r="D507" s="30">
        <v>0</v>
      </c>
      <c r="E507" s="30">
        <v>0</v>
      </c>
      <c r="F507" s="30">
        <v>1687</v>
      </c>
      <c r="H507" s="2">
        <f t="shared" si="219"/>
        <v>1687</v>
      </c>
      <c r="I507" s="1">
        <f t="shared" si="220"/>
        <v>1.0677215189873417</v>
      </c>
      <c r="J507" s="31">
        <v>0</v>
      </c>
      <c r="K507" s="31">
        <v>0</v>
      </c>
      <c r="L507" s="31">
        <v>0</v>
      </c>
      <c r="M507" s="45">
        <f t="shared" si="194"/>
        <v>0</v>
      </c>
      <c r="N507" s="31">
        <v>778</v>
      </c>
      <c r="O507" s="31">
        <v>0</v>
      </c>
      <c r="P507" s="31">
        <v>164</v>
      </c>
      <c r="Q507" s="31">
        <v>942</v>
      </c>
      <c r="R507" s="45">
        <f t="shared" si="195"/>
        <v>0.59620253164556958</v>
      </c>
      <c r="S507" s="31">
        <v>8502</v>
      </c>
      <c r="T507" s="31">
        <v>9444</v>
      </c>
      <c r="U507" s="31">
        <v>0</v>
      </c>
      <c r="V507" s="31">
        <v>9444</v>
      </c>
      <c r="W507" s="45">
        <f t="shared" si="196"/>
        <v>5.9772151898734176</v>
      </c>
      <c r="X507" s="4">
        <f t="shared" si="197"/>
        <v>0</v>
      </c>
      <c r="Y507" s="4">
        <f t="shared" si="198"/>
        <v>9.9745870393900884E-2</v>
      </c>
      <c r="Z507" s="4">
        <f t="shared" si="199"/>
        <v>0.90025412960609907</v>
      </c>
      <c r="AA507" s="4">
        <f t="shared" si="200"/>
        <v>0</v>
      </c>
      <c r="AB507" s="31">
        <v>0</v>
      </c>
      <c r="AC507" s="31">
        <v>942</v>
      </c>
      <c r="AD507" s="31">
        <v>9444</v>
      </c>
      <c r="AE507" s="31">
        <v>8242</v>
      </c>
      <c r="AF507" s="31">
        <v>5962</v>
      </c>
      <c r="AG507" s="31">
        <v>2280</v>
      </c>
      <c r="AH507" s="31">
        <v>0</v>
      </c>
      <c r="AI507" s="31">
        <v>8242</v>
      </c>
      <c r="AJ507" s="45">
        <f t="shared" si="201"/>
        <v>5.2164556962025319</v>
      </c>
      <c r="AK507" s="31">
        <v>0</v>
      </c>
      <c r="AL507" s="31">
        <v>0</v>
      </c>
      <c r="AM507" s="31">
        <v>0</v>
      </c>
      <c r="AN507" s="31">
        <v>0</v>
      </c>
      <c r="AO507" s="31">
        <v>0</v>
      </c>
      <c r="AP507" s="31">
        <v>636</v>
      </c>
      <c r="AQ507" s="31">
        <v>636</v>
      </c>
      <c r="AR507" s="31">
        <v>8878</v>
      </c>
      <c r="AS507" s="46">
        <f t="shared" si="202"/>
        <v>5.6189873417721516</v>
      </c>
      <c r="AT507" s="31">
        <v>0</v>
      </c>
      <c r="AU507" s="31">
        <v>0</v>
      </c>
      <c r="AV507" s="31">
        <v>0</v>
      </c>
      <c r="AW507" s="31">
        <v>0</v>
      </c>
      <c r="AX507" s="31">
        <v>0</v>
      </c>
      <c r="AY507" s="31">
        <v>0</v>
      </c>
      <c r="AZ507" s="31">
        <v>0</v>
      </c>
      <c r="BA507" s="31">
        <v>0</v>
      </c>
      <c r="BB507" s="31">
        <v>0</v>
      </c>
      <c r="BC507" s="33" t="s">
        <v>25</v>
      </c>
      <c r="BD507" s="47">
        <v>7980</v>
      </c>
      <c r="BE507" s="47">
        <v>8032</v>
      </c>
      <c r="BF507" s="45">
        <f t="shared" si="203"/>
        <v>5.0835443037974679</v>
      </c>
      <c r="BG507" s="30">
        <v>182</v>
      </c>
      <c r="BH507" s="30">
        <v>191</v>
      </c>
      <c r="BI507" s="30">
        <v>0</v>
      </c>
      <c r="BJ507" s="30">
        <v>461</v>
      </c>
      <c r="BK507" s="30">
        <v>461</v>
      </c>
      <c r="BL507" s="30">
        <v>0</v>
      </c>
      <c r="BM507" s="30">
        <v>0</v>
      </c>
      <c r="BN507" s="30">
        <v>0</v>
      </c>
      <c r="BO507" s="30">
        <v>0</v>
      </c>
      <c r="BP507" s="30">
        <v>9</v>
      </c>
      <c r="BQ507" s="30">
        <v>9</v>
      </c>
      <c r="BR507" s="47">
        <v>8623</v>
      </c>
      <c r="BS507" s="47">
        <v>8684</v>
      </c>
      <c r="BT507" s="1">
        <f t="shared" si="204"/>
        <v>5.4962025316455696</v>
      </c>
      <c r="BU507" s="30">
        <v>5</v>
      </c>
      <c r="BV507" s="30">
        <v>0</v>
      </c>
      <c r="BW507" s="47">
        <v>190</v>
      </c>
      <c r="BX507" s="52">
        <f t="shared" si="205"/>
        <v>0.12025316455696203</v>
      </c>
      <c r="BY507" s="47">
        <v>1466</v>
      </c>
      <c r="BZ507" s="47">
        <v>0</v>
      </c>
      <c r="CA507" s="47">
        <v>3027</v>
      </c>
      <c r="CB507" s="47">
        <v>0</v>
      </c>
      <c r="CC507" s="47">
        <v>4493</v>
      </c>
      <c r="CD507" s="55">
        <f t="shared" si="206"/>
        <v>2.8436708860759494</v>
      </c>
      <c r="CE507" s="3">
        <v>0</v>
      </c>
      <c r="CF507" s="55">
        <f t="shared" si="208"/>
        <v>2.3548218029350103</v>
      </c>
      <c r="CG507" s="55">
        <f t="shared" si="209"/>
        <v>1.1311681772406847</v>
      </c>
      <c r="CH507" s="55">
        <f t="shared" si="210"/>
        <v>0.5173883003224321</v>
      </c>
      <c r="CI507" s="30">
        <v>15</v>
      </c>
      <c r="CJ507" s="30">
        <v>5</v>
      </c>
      <c r="CK507" s="30">
        <v>9</v>
      </c>
      <c r="CL507" s="30">
        <v>29</v>
      </c>
      <c r="CM507" s="30">
        <v>128</v>
      </c>
      <c r="CN507" s="30">
        <v>42</v>
      </c>
      <c r="CO507" s="30">
        <v>91</v>
      </c>
      <c r="CP507" s="30">
        <v>261</v>
      </c>
      <c r="CQ507" s="1">
        <f t="shared" si="218"/>
        <v>0.16518987341772151</v>
      </c>
      <c r="CR507" s="47">
        <v>3972</v>
      </c>
      <c r="CS507" s="55">
        <f t="shared" si="211"/>
        <v>2.5139240506329115</v>
      </c>
      <c r="CT507" s="59">
        <v>755</v>
      </c>
      <c r="CU507" s="29" t="s">
        <v>25</v>
      </c>
      <c r="CV507" s="29" t="s">
        <v>25</v>
      </c>
      <c r="CW507" s="29" t="s">
        <v>25</v>
      </c>
      <c r="CX507" s="35">
        <v>0</v>
      </c>
      <c r="CY507" s="49">
        <v>0</v>
      </c>
      <c r="CZ507" s="35">
        <v>0</v>
      </c>
      <c r="DA507" s="35">
        <v>0</v>
      </c>
      <c r="DB507" s="35">
        <v>0</v>
      </c>
      <c r="DC507" s="49">
        <v>0</v>
      </c>
      <c r="DD507" s="30">
        <v>2710</v>
      </c>
      <c r="DE507" s="31">
        <v>0</v>
      </c>
      <c r="DF507" s="35">
        <v>22</v>
      </c>
      <c r="DG507" s="29" t="s">
        <v>25</v>
      </c>
      <c r="DH507" s="29" t="s">
        <v>26</v>
      </c>
      <c r="DI507" s="29" t="s">
        <v>26</v>
      </c>
      <c r="DJ507" s="47">
        <v>0</v>
      </c>
      <c r="DK507" s="47">
        <v>0</v>
      </c>
      <c r="DL507" s="47">
        <v>3</v>
      </c>
      <c r="DM507" s="47">
        <v>2792</v>
      </c>
      <c r="DN507" s="47">
        <v>5</v>
      </c>
      <c r="DO507" s="47">
        <v>-1</v>
      </c>
      <c r="DP507" s="29" t="s">
        <v>83</v>
      </c>
      <c r="DQ507" s="47">
        <v>0</v>
      </c>
      <c r="DR507" s="47">
        <v>1908</v>
      </c>
      <c r="DS507" s="30">
        <v>52</v>
      </c>
      <c r="DT507" s="30">
        <v>34</v>
      </c>
      <c r="DU507" s="30">
        <v>34</v>
      </c>
      <c r="DV507" s="30">
        <v>34</v>
      </c>
      <c r="DX507" s="2">
        <f t="shared" si="213"/>
        <v>1908</v>
      </c>
      <c r="DY507" s="33" t="s">
        <v>2182</v>
      </c>
      <c r="DZ507" s="33" t="s">
        <v>1785</v>
      </c>
      <c r="EA507" s="33" t="s">
        <v>2032</v>
      </c>
      <c r="EB507" s="33" t="s">
        <v>2026</v>
      </c>
      <c r="EC507" s="36">
        <v>626</v>
      </c>
      <c r="ED507" s="29" t="s">
        <v>1783</v>
      </c>
      <c r="EE507" s="29" t="s">
        <v>421</v>
      </c>
      <c r="EF507" s="37">
        <v>41640</v>
      </c>
      <c r="EG507" s="37">
        <v>42004</v>
      </c>
      <c r="EH507" s="29" t="s">
        <v>1783</v>
      </c>
      <c r="EI507" s="55">
        <f t="shared" si="214"/>
        <v>0.92784810126582273</v>
      </c>
      <c r="EJ507" s="54">
        <f t="shared" si="215"/>
        <v>0</v>
      </c>
      <c r="EK507" s="55">
        <f t="shared" si="216"/>
        <v>1.9158227848101266</v>
      </c>
      <c r="EL507" s="54">
        <f t="shared" si="217"/>
        <v>0</v>
      </c>
    </row>
    <row r="508" spans="1:142" ht="28.8" x14ac:dyDescent="0.3">
      <c r="A508" s="29" t="s">
        <v>620</v>
      </c>
      <c r="B508" s="29"/>
      <c r="C508" s="30">
        <v>13351</v>
      </c>
      <c r="D508" s="30">
        <v>0</v>
      </c>
      <c r="E508" s="30">
        <v>0</v>
      </c>
      <c r="F508" s="30">
        <v>5200</v>
      </c>
      <c r="H508" s="2">
        <f t="shared" si="219"/>
        <v>5200</v>
      </c>
      <c r="I508" s="1">
        <f t="shared" si="220"/>
        <v>0.38948393378773127</v>
      </c>
      <c r="J508" s="31">
        <v>57382</v>
      </c>
      <c r="K508" s="31">
        <v>7022</v>
      </c>
      <c r="L508" s="31">
        <v>64404</v>
      </c>
      <c r="M508" s="45">
        <f t="shared" si="194"/>
        <v>4.8239083214740468</v>
      </c>
      <c r="N508" s="31">
        <v>6530</v>
      </c>
      <c r="O508" s="31">
        <v>104</v>
      </c>
      <c r="P508" s="31">
        <v>0</v>
      </c>
      <c r="Q508" s="31">
        <v>6634</v>
      </c>
      <c r="R508" s="45">
        <f t="shared" si="195"/>
        <v>0.49689161860534792</v>
      </c>
      <c r="S508" s="31">
        <v>19602</v>
      </c>
      <c r="T508" s="31">
        <v>90640</v>
      </c>
      <c r="U508" s="31">
        <v>0</v>
      </c>
      <c r="V508" s="31">
        <v>90640</v>
      </c>
      <c r="W508" s="45">
        <f t="shared" si="196"/>
        <v>6.7890045689461465</v>
      </c>
      <c r="X508" s="4">
        <f t="shared" si="197"/>
        <v>0.71054721977052071</v>
      </c>
      <c r="Y508" s="4">
        <f t="shared" si="198"/>
        <v>7.3190644307149166E-2</v>
      </c>
      <c r="Z508" s="4">
        <f t="shared" si="199"/>
        <v>0.2162621359223301</v>
      </c>
      <c r="AA508" s="4">
        <f t="shared" si="200"/>
        <v>0</v>
      </c>
      <c r="AB508" s="31">
        <v>14775</v>
      </c>
      <c r="AC508" s="31">
        <v>6634</v>
      </c>
      <c r="AD508" s="31">
        <v>90640</v>
      </c>
      <c r="AE508" s="31">
        <v>77982</v>
      </c>
      <c r="AF508" s="31">
        <v>77982</v>
      </c>
      <c r="AG508" s="31">
        <v>4000</v>
      </c>
      <c r="AH508" s="31">
        <v>0</v>
      </c>
      <c r="AI508" s="31">
        <v>81982</v>
      </c>
      <c r="AJ508" s="45">
        <f t="shared" si="201"/>
        <v>6.1405138191895734</v>
      </c>
      <c r="AK508" s="31">
        <v>0</v>
      </c>
      <c r="AL508" s="31">
        <v>0</v>
      </c>
      <c r="AM508" s="31">
        <v>0</v>
      </c>
      <c r="AN508" s="31">
        <v>0</v>
      </c>
      <c r="AO508" s="31">
        <v>0</v>
      </c>
      <c r="AP508" s="31">
        <v>6904</v>
      </c>
      <c r="AQ508" s="31">
        <v>6904</v>
      </c>
      <c r="AR508" s="31">
        <v>88886</v>
      </c>
      <c r="AS508" s="46">
        <f t="shared" si="202"/>
        <v>6.6576286420492847</v>
      </c>
      <c r="AT508" s="31">
        <v>14775</v>
      </c>
      <c r="AU508" s="31">
        <v>0</v>
      </c>
      <c r="AV508" s="31">
        <v>0</v>
      </c>
      <c r="AW508" s="31">
        <v>0</v>
      </c>
      <c r="AX508" s="31">
        <v>0</v>
      </c>
      <c r="AY508" s="31">
        <v>0</v>
      </c>
      <c r="AZ508" s="31">
        <v>0</v>
      </c>
      <c r="BA508" s="31">
        <v>0</v>
      </c>
      <c r="BB508" s="31">
        <v>14775</v>
      </c>
      <c r="BC508" s="33" t="s">
        <v>25</v>
      </c>
      <c r="BD508" s="47">
        <v>23834</v>
      </c>
      <c r="BE508" s="47">
        <v>24523</v>
      </c>
      <c r="BF508" s="45">
        <f t="shared" si="203"/>
        <v>1.8367912515916411</v>
      </c>
      <c r="BG508" s="30">
        <v>575</v>
      </c>
      <c r="BH508" s="30">
        <v>575</v>
      </c>
      <c r="BI508" s="30">
        <v>0</v>
      </c>
      <c r="BJ508" s="30">
        <v>2533</v>
      </c>
      <c r="BK508" s="30">
        <v>2533</v>
      </c>
      <c r="BL508" s="30">
        <v>0</v>
      </c>
      <c r="BM508" s="30">
        <v>0</v>
      </c>
      <c r="BN508" s="30">
        <v>0</v>
      </c>
      <c r="BO508" s="30">
        <v>51</v>
      </c>
      <c r="BP508" s="30">
        <v>1</v>
      </c>
      <c r="BQ508" s="30">
        <v>52</v>
      </c>
      <c r="BR508" s="47">
        <v>26942</v>
      </c>
      <c r="BS508" s="47">
        <v>27631</v>
      </c>
      <c r="BT508" s="1">
        <f t="shared" si="204"/>
        <v>2.0695828027863081</v>
      </c>
      <c r="BU508" s="30">
        <v>7</v>
      </c>
      <c r="BV508" s="30">
        <v>0</v>
      </c>
      <c r="BW508" s="47">
        <v>13644</v>
      </c>
      <c r="BX508" s="52">
        <f t="shared" si="205"/>
        <v>1.0219459216538087</v>
      </c>
      <c r="BY508" s="47">
        <v>3338</v>
      </c>
      <c r="BZ508" s="47">
        <v>0</v>
      </c>
      <c r="CA508" s="47">
        <v>14192</v>
      </c>
      <c r="CB508" s="47">
        <v>0</v>
      </c>
      <c r="CC508" s="47">
        <v>17530</v>
      </c>
      <c r="CD508" s="55">
        <f t="shared" si="206"/>
        <v>1.3130102614036401</v>
      </c>
      <c r="CE508" s="3">
        <f t="shared" si="207"/>
        <v>5843.333333333333</v>
      </c>
      <c r="CF508" s="55">
        <f t="shared" si="208"/>
        <v>11.186981493299298</v>
      </c>
      <c r="CG508" s="55">
        <f t="shared" si="209"/>
        <v>0.94685103165172302</v>
      </c>
      <c r="CH508" s="55">
        <f t="shared" si="210"/>
        <v>0.63443234048713404</v>
      </c>
      <c r="CI508" s="30">
        <v>58</v>
      </c>
      <c r="CJ508" s="30">
        <v>3</v>
      </c>
      <c r="CK508" s="30">
        <v>5</v>
      </c>
      <c r="CL508" s="30">
        <v>66</v>
      </c>
      <c r="CM508" s="30">
        <v>1035</v>
      </c>
      <c r="CN508" s="30">
        <v>84</v>
      </c>
      <c r="CO508" s="30">
        <v>191</v>
      </c>
      <c r="CP508" s="30">
        <v>1310</v>
      </c>
      <c r="CQ508" s="1">
        <f t="shared" si="218"/>
        <v>9.8119991011909213E-2</v>
      </c>
      <c r="CR508" s="47">
        <v>18514</v>
      </c>
      <c r="CS508" s="55">
        <f t="shared" si="211"/>
        <v>1.3867126057973185</v>
      </c>
      <c r="CT508" s="59">
        <v>6129</v>
      </c>
      <c r="CU508" s="29" t="s">
        <v>25</v>
      </c>
      <c r="CV508" s="29" t="s">
        <v>25</v>
      </c>
      <c r="CW508" s="29" t="s">
        <v>25</v>
      </c>
      <c r="CX508" s="35">
        <v>0</v>
      </c>
      <c r="CY508" s="49">
        <v>0</v>
      </c>
      <c r="CZ508" s="35">
        <v>1</v>
      </c>
      <c r="DA508" s="35">
        <v>2</v>
      </c>
      <c r="DB508" s="35">
        <v>3</v>
      </c>
      <c r="DC508" s="49">
        <f t="shared" si="212"/>
        <v>4450.333333333333</v>
      </c>
      <c r="DD508" s="30">
        <v>1321</v>
      </c>
      <c r="DE508" s="31">
        <v>26582</v>
      </c>
      <c r="DF508" s="35">
        <v>40</v>
      </c>
      <c r="DG508" s="29" t="s">
        <v>25</v>
      </c>
      <c r="DH508" s="29" t="s">
        <v>26</v>
      </c>
      <c r="DI508" s="29" t="s">
        <v>26</v>
      </c>
      <c r="DJ508" s="47">
        <v>0</v>
      </c>
      <c r="DK508" s="47">
        <v>0</v>
      </c>
      <c r="DL508" s="47">
        <v>11</v>
      </c>
      <c r="DM508" s="47">
        <v>2595</v>
      </c>
      <c r="DN508" s="47">
        <v>450</v>
      </c>
      <c r="DO508" s="47">
        <v>3975</v>
      </c>
      <c r="DP508" s="29" t="s">
        <v>2028</v>
      </c>
      <c r="DQ508" s="47">
        <v>0</v>
      </c>
      <c r="DR508" s="47">
        <v>1567</v>
      </c>
      <c r="DS508" s="30">
        <v>51</v>
      </c>
      <c r="DT508" s="30">
        <v>32</v>
      </c>
      <c r="DU508" s="30">
        <v>32</v>
      </c>
      <c r="DV508" s="30">
        <v>32</v>
      </c>
      <c r="DX508" s="2">
        <f t="shared" si="213"/>
        <v>1567</v>
      </c>
      <c r="DY508" s="33" t="s">
        <v>2185</v>
      </c>
      <c r="DZ508" s="33" t="s">
        <v>1286</v>
      </c>
      <c r="EA508" s="33" t="s">
        <v>2030</v>
      </c>
      <c r="EB508" s="33" t="s">
        <v>2027</v>
      </c>
      <c r="EC508" s="36">
        <v>389</v>
      </c>
      <c r="ED508" s="29" t="s">
        <v>1285</v>
      </c>
      <c r="EE508" s="29" t="s">
        <v>620</v>
      </c>
      <c r="EF508" s="37">
        <v>41548</v>
      </c>
      <c r="EG508" s="37">
        <v>41912</v>
      </c>
      <c r="EH508" s="29" t="s">
        <v>1285</v>
      </c>
      <c r="EI508" s="55">
        <f t="shared" si="214"/>
        <v>0.25001872518912444</v>
      </c>
      <c r="EJ508" s="54">
        <f t="shared" si="215"/>
        <v>0</v>
      </c>
      <c r="EK508" s="55">
        <f t="shared" si="216"/>
        <v>1.0629915362145157</v>
      </c>
      <c r="EL508" s="54">
        <f t="shared" si="217"/>
        <v>0</v>
      </c>
    </row>
    <row r="509" spans="1:142" ht="43.2" x14ac:dyDescent="0.3">
      <c r="A509" s="29" t="s">
        <v>1627</v>
      </c>
      <c r="B509" s="29"/>
      <c r="C509" s="30">
        <v>1904</v>
      </c>
      <c r="D509" s="30">
        <v>0</v>
      </c>
      <c r="E509" s="30">
        <v>0</v>
      </c>
      <c r="F509" s="30">
        <v>7600</v>
      </c>
      <c r="H509" s="2">
        <f t="shared" si="219"/>
        <v>7600</v>
      </c>
      <c r="I509" s="1">
        <f t="shared" si="220"/>
        <v>3.9915966386554622</v>
      </c>
      <c r="J509" s="31">
        <v>27796</v>
      </c>
      <c r="K509" s="31">
        <v>3345</v>
      </c>
      <c r="L509" s="31">
        <v>31141</v>
      </c>
      <c r="M509" s="45">
        <f t="shared" si="194"/>
        <v>16.355567226890756</v>
      </c>
      <c r="N509" s="31">
        <v>9334</v>
      </c>
      <c r="O509" s="31">
        <v>1500</v>
      </c>
      <c r="P509" s="31">
        <v>322</v>
      </c>
      <c r="Q509" s="31">
        <v>11156</v>
      </c>
      <c r="R509" s="45">
        <f t="shared" si="195"/>
        <v>5.8592436974789912</v>
      </c>
      <c r="S509" s="31">
        <v>33182</v>
      </c>
      <c r="T509" s="31">
        <v>75479</v>
      </c>
      <c r="U509" s="31">
        <v>0</v>
      </c>
      <c r="V509" s="31">
        <v>75479</v>
      </c>
      <c r="W509" s="45">
        <f t="shared" si="196"/>
        <v>39.642331932773111</v>
      </c>
      <c r="X509" s="4">
        <f t="shared" si="197"/>
        <v>0.41257833304627778</v>
      </c>
      <c r="Y509" s="4">
        <f t="shared" si="198"/>
        <v>0.14780270008876642</v>
      </c>
      <c r="Z509" s="4">
        <f t="shared" si="199"/>
        <v>0.43961896686495583</v>
      </c>
      <c r="AA509" s="4">
        <f t="shared" si="200"/>
        <v>0</v>
      </c>
      <c r="AB509" s="31">
        <v>0</v>
      </c>
      <c r="AC509" s="31">
        <v>11156</v>
      </c>
      <c r="AD509" s="31">
        <v>75479</v>
      </c>
      <c r="AE509" s="31">
        <v>15000</v>
      </c>
      <c r="AF509" s="31">
        <v>15000</v>
      </c>
      <c r="AG509" s="31">
        <v>0</v>
      </c>
      <c r="AH509" s="31">
        <v>0</v>
      </c>
      <c r="AI509" s="31">
        <v>15000</v>
      </c>
      <c r="AJ509" s="45">
        <f t="shared" si="201"/>
        <v>7.8781512605042021</v>
      </c>
      <c r="AK509" s="31">
        <v>0</v>
      </c>
      <c r="AL509" s="31">
        <v>0</v>
      </c>
      <c r="AM509" s="31">
        <v>0</v>
      </c>
      <c r="AN509" s="31">
        <v>0</v>
      </c>
      <c r="AO509" s="31">
        <v>6030</v>
      </c>
      <c r="AP509" s="31">
        <v>56085</v>
      </c>
      <c r="AQ509" s="31">
        <v>62115</v>
      </c>
      <c r="AR509" s="31">
        <v>77115</v>
      </c>
      <c r="AS509" s="46">
        <f t="shared" si="202"/>
        <v>40.501575630252098</v>
      </c>
      <c r="AT509" s="31">
        <v>0</v>
      </c>
      <c r="AU509" s="31">
        <v>0</v>
      </c>
      <c r="AV509" s="31">
        <v>0</v>
      </c>
      <c r="AW509" s="31">
        <v>0</v>
      </c>
      <c r="AX509" s="31">
        <v>0</v>
      </c>
      <c r="AY509" s="31">
        <v>0</v>
      </c>
      <c r="AZ509" s="31">
        <v>7403</v>
      </c>
      <c r="BA509" s="31">
        <v>0</v>
      </c>
      <c r="BB509" s="31">
        <v>7403</v>
      </c>
      <c r="BC509" s="33" t="s">
        <v>25</v>
      </c>
      <c r="BD509" s="47">
        <v>18909</v>
      </c>
      <c r="BE509" s="47">
        <v>19428</v>
      </c>
      <c r="BF509" s="45">
        <f t="shared" si="203"/>
        <v>10.203781512605042</v>
      </c>
      <c r="BG509" s="30">
        <v>87</v>
      </c>
      <c r="BH509" s="30">
        <v>87</v>
      </c>
      <c r="BI509" s="30">
        <v>1478</v>
      </c>
      <c r="BJ509" s="30">
        <v>541</v>
      </c>
      <c r="BK509" s="30">
        <v>541</v>
      </c>
      <c r="BL509" s="30">
        <v>24</v>
      </c>
      <c r="BM509" s="30">
        <v>11153</v>
      </c>
      <c r="BN509" s="30">
        <v>1</v>
      </c>
      <c r="BO509" s="30">
        <v>51</v>
      </c>
      <c r="BP509" s="30">
        <v>0</v>
      </c>
      <c r="BQ509" s="30">
        <v>52</v>
      </c>
      <c r="BR509" s="47">
        <v>19537</v>
      </c>
      <c r="BS509" s="47">
        <v>32712</v>
      </c>
      <c r="BT509" s="1">
        <f t="shared" si="204"/>
        <v>17.180672268907564</v>
      </c>
      <c r="BU509" s="30">
        <v>6</v>
      </c>
      <c r="BV509" s="30">
        <v>0</v>
      </c>
      <c r="BW509" s="47">
        <v>2577</v>
      </c>
      <c r="BX509" s="52">
        <f t="shared" si="205"/>
        <v>1.3534663865546219</v>
      </c>
      <c r="BY509" s="47">
        <v>3807</v>
      </c>
      <c r="BZ509" s="47">
        <v>0</v>
      </c>
      <c r="CA509" s="47">
        <v>9227</v>
      </c>
      <c r="CB509" s="47">
        <v>862</v>
      </c>
      <c r="CC509" s="47">
        <v>13896</v>
      </c>
      <c r="CD509" s="55">
        <f t="shared" si="206"/>
        <v>7.2983193277310923</v>
      </c>
      <c r="CE509" s="3">
        <f t="shared" si="207"/>
        <v>12352</v>
      </c>
      <c r="CF509" s="55">
        <f t="shared" si="208"/>
        <v>14.535564853556485</v>
      </c>
      <c r="CG509" s="55">
        <f t="shared" si="209"/>
        <v>1.9233217993079585</v>
      </c>
      <c r="CH509" s="55">
        <f t="shared" si="210"/>
        <v>0.39844705306921008</v>
      </c>
      <c r="CI509" s="30">
        <v>25</v>
      </c>
      <c r="CJ509" s="30">
        <v>6</v>
      </c>
      <c r="CK509" s="30">
        <v>19</v>
      </c>
      <c r="CL509" s="30">
        <v>50</v>
      </c>
      <c r="CM509" s="30">
        <v>245</v>
      </c>
      <c r="CN509" s="30">
        <v>85</v>
      </c>
      <c r="CO509" s="30">
        <v>700</v>
      </c>
      <c r="CP509" s="30">
        <v>1030</v>
      </c>
      <c r="CQ509" s="1">
        <f t="shared" si="218"/>
        <v>0.54096638655462181</v>
      </c>
      <c r="CR509" s="47">
        <v>7225</v>
      </c>
      <c r="CS509" s="55">
        <f t="shared" si="211"/>
        <v>3.7946428571428572</v>
      </c>
      <c r="CT509" s="59">
        <v>2112</v>
      </c>
      <c r="CU509" s="29" t="s">
        <v>25</v>
      </c>
      <c r="CV509" s="29" t="s">
        <v>25</v>
      </c>
      <c r="CW509" s="29" t="s">
        <v>25</v>
      </c>
      <c r="CX509" s="35">
        <v>0</v>
      </c>
      <c r="CY509" s="49">
        <v>0</v>
      </c>
      <c r="CZ509" s="35">
        <v>0.625</v>
      </c>
      <c r="DA509" s="35">
        <v>0.5</v>
      </c>
      <c r="DB509" s="35">
        <v>1.125</v>
      </c>
      <c r="DC509" s="49">
        <f t="shared" si="212"/>
        <v>1692.4444444444443</v>
      </c>
      <c r="DD509" s="30">
        <v>1923</v>
      </c>
      <c r="DE509" s="31">
        <v>23200</v>
      </c>
      <c r="DF509" s="35">
        <v>25</v>
      </c>
      <c r="DG509" s="29" t="s">
        <v>25</v>
      </c>
      <c r="DH509" s="29" t="s">
        <v>25</v>
      </c>
      <c r="DI509" s="29" t="s">
        <v>25</v>
      </c>
      <c r="DJ509" s="47">
        <v>76</v>
      </c>
      <c r="DK509" s="47">
        <v>55</v>
      </c>
      <c r="DL509" s="47">
        <v>8</v>
      </c>
      <c r="DM509" s="47">
        <v>1613</v>
      </c>
      <c r="DN509" s="47">
        <v>85</v>
      </c>
      <c r="DO509" s="47">
        <v>50</v>
      </c>
      <c r="DP509" s="29" t="s">
        <v>25</v>
      </c>
      <c r="DQ509" s="47">
        <v>50955</v>
      </c>
      <c r="DR509" s="47">
        <v>956</v>
      </c>
      <c r="DS509" s="30">
        <v>50</v>
      </c>
      <c r="DT509" s="30">
        <v>20</v>
      </c>
      <c r="DU509" s="30">
        <v>20</v>
      </c>
      <c r="DV509" s="30">
        <v>20</v>
      </c>
      <c r="DX509" s="2">
        <f t="shared" si="213"/>
        <v>956</v>
      </c>
      <c r="DY509" s="33" t="s">
        <v>2182</v>
      </c>
      <c r="DZ509" s="33" t="s">
        <v>1629</v>
      </c>
      <c r="EA509" s="33" t="s">
        <v>2030</v>
      </c>
      <c r="EB509" s="33" t="s">
        <v>2027</v>
      </c>
      <c r="EC509" s="36">
        <v>549</v>
      </c>
      <c r="ED509" s="29" t="s">
        <v>1628</v>
      </c>
      <c r="EE509" s="29" t="s">
        <v>123</v>
      </c>
      <c r="EF509" s="37">
        <v>41548</v>
      </c>
      <c r="EG509" s="37">
        <v>41912</v>
      </c>
      <c r="EH509" s="29" t="s">
        <v>1628</v>
      </c>
      <c r="EI509" s="55">
        <f t="shared" si="214"/>
        <v>1.9994747899159664</v>
      </c>
      <c r="EJ509" s="54">
        <f t="shared" si="215"/>
        <v>0</v>
      </c>
      <c r="EK509" s="55">
        <f t="shared" si="216"/>
        <v>4.8461134453781511</v>
      </c>
      <c r="EL509" s="54">
        <f t="shared" si="217"/>
        <v>0.45273109243697479</v>
      </c>
    </row>
    <row r="510" spans="1:142" ht="28.8" x14ac:dyDescent="0.3">
      <c r="A510" s="29" t="s">
        <v>1287</v>
      </c>
      <c r="B510" s="29"/>
      <c r="C510" s="30">
        <v>7763</v>
      </c>
      <c r="D510" s="30">
        <v>0</v>
      </c>
      <c r="E510" s="30">
        <v>0</v>
      </c>
      <c r="F510" s="30">
        <v>5000</v>
      </c>
      <c r="H510" s="2">
        <f t="shared" si="219"/>
        <v>5000</v>
      </c>
      <c r="I510" s="1">
        <f t="shared" si="220"/>
        <v>0.64408089656060796</v>
      </c>
      <c r="J510" s="31">
        <v>45842</v>
      </c>
      <c r="K510" s="31">
        <v>15261</v>
      </c>
      <c r="L510" s="31">
        <v>61103</v>
      </c>
      <c r="M510" s="45">
        <f t="shared" si="194"/>
        <v>7.8710550045085661</v>
      </c>
      <c r="N510" s="31">
        <v>8121</v>
      </c>
      <c r="O510" s="31">
        <v>476</v>
      </c>
      <c r="P510" s="31">
        <v>619</v>
      </c>
      <c r="Q510" s="31">
        <v>9216</v>
      </c>
      <c r="R510" s="45">
        <f t="shared" si="195"/>
        <v>1.1871699085405127</v>
      </c>
      <c r="S510" s="31">
        <v>11975</v>
      </c>
      <c r="T510" s="31">
        <v>82294</v>
      </c>
      <c r="U510" s="31">
        <v>0</v>
      </c>
      <c r="V510" s="31">
        <v>82294</v>
      </c>
      <c r="W510" s="45">
        <f t="shared" si="196"/>
        <v>10.600798660311735</v>
      </c>
      <c r="X510" s="4">
        <f t="shared" si="197"/>
        <v>0.74249641529151578</v>
      </c>
      <c r="Y510" s="4">
        <f t="shared" si="198"/>
        <v>0.11198872335771745</v>
      </c>
      <c r="Z510" s="4">
        <f t="shared" si="199"/>
        <v>0.14551486135076677</v>
      </c>
      <c r="AA510" s="4">
        <f t="shared" si="200"/>
        <v>0</v>
      </c>
      <c r="AB510" s="31">
        <v>0</v>
      </c>
      <c r="AC510" s="31">
        <v>9216</v>
      </c>
      <c r="AD510" s="31">
        <v>82294</v>
      </c>
      <c r="AE510" s="31">
        <v>82294</v>
      </c>
      <c r="AF510" s="31">
        <v>9500</v>
      </c>
      <c r="AG510" s="31">
        <v>72794</v>
      </c>
      <c r="AH510" s="31">
        <v>0</v>
      </c>
      <c r="AI510" s="31">
        <v>82294</v>
      </c>
      <c r="AJ510" s="45">
        <f t="shared" si="201"/>
        <v>10.600798660311735</v>
      </c>
      <c r="AK510" s="31">
        <v>0</v>
      </c>
      <c r="AL510" s="31">
        <v>0</v>
      </c>
      <c r="AM510" s="31">
        <v>0</v>
      </c>
      <c r="AN510" s="31">
        <v>0</v>
      </c>
      <c r="AO510" s="31">
        <v>0</v>
      </c>
      <c r="AP510" s="31">
        <v>0</v>
      </c>
      <c r="AQ510" s="31">
        <v>0</v>
      </c>
      <c r="AR510" s="31">
        <v>82294</v>
      </c>
      <c r="AS510" s="46">
        <f t="shared" si="202"/>
        <v>10.600798660311735</v>
      </c>
      <c r="AT510" s="31">
        <v>0</v>
      </c>
      <c r="AU510" s="31">
        <v>0</v>
      </c>
      <c r="AV510" s="31">
        <v>0</v>
      </c>
      <c r="AW510" s="31">
        <v>0</v>
      </c>
      <c r="AX510" s="31">
        <v>0</v>
      </c>
      <c r="AY510" s="31">
        <v>0</v>
      </c>
      <c r="AZ510" s="31">
        <v>46019</v>
      </c>
      <c r="BA510" s="31">
        <v>0</v>
      </c>
      <c r="BB510" s="31">
        <v>46019</v>
      </c>
      <c r="BC510" s="33" t="s">
        <v>25</v>
      </c>
      <c r="BD510" s="47">
        <v>11850</v>
      </c>
      <c r="BE510" s="47">
        <v>11946</v>
      </c>
      <c r="BF510" s="45">
        <f t="shared" si="203"/>
        <v>1.5388380780626048</v>
      </c>
      <c r="BG510" s="30">
        <v>1006</v>
      </c>
      <c r="BH510" s="30">
        <v>1006</v>
      </c>
      <c r="BI510" s="30">
        <v>803</v>
      </c>
      <c r="BJ510" s="30">
        <v>42</v>
      </c>
      <c r="BK510" s="30">
        <v>42</v>
      </c>
      <c r="BL510" s="30">
        <v>23</v>
      </c>
      <c r="BM510" s="30">
        <v>3348</v>
      </c>
      <c r="BN510" s="30">
        <v>0</v>
      </c>
      <c r="BO510" s="30">
        <v>51</v>
      </c>
      <c r="BP510" s="30">
        <v>16</v>
      </c>
      <c r="BQ510" s="30">
        <v>67</v>
      </c>
      <c r="BR510" s="47">
        <v>12898</v>
      </c>
      <c r="BS510" s="47">
        <v>17168</v>
      </c>
      <c r="BT510" s="1">
        <f t="shared" si="204"/>
        <v>2.2115161664305036</v>
      </c>
      <c r="BU510" s="30">
        <v>31</v>
      </c>
      <c r="BV510" s="30">
        <v>0</v>
      </c>
      <c r="BW510" s="47">
        <v>2956</v>
      </c>
      <c r="BX510" s="52">
        <f t="shared" si="205"/>
        <v>0.38078062604663143</v>
      </c>
      <c r="BY510" s="47">
        <v>3062</v>
      </c>
      <c r="BZ510" s="47">
        <v>634</v>
      </c>
      <c r="CA510" s="47">
        <v>7445</v>
      </c>
      <c r="CB510" s="47">
        <v>738</v>
      </c>
      <c r="CC510" s="47">
        <v>11879</v>
      </c>
      <c r="CD510" s="55">
        <f t="shared" si="206"/>
        <v>1.5302073940486924</v>
      </c>
      <c r="CE510" s="3">
        <f t="shared" si="207"/>
        <v>6091.7948717948721</v>
      </c>
      <c r="CF510" s="55">
        <f t="shared" si="208"/>
        <v>5.616548463356974</v>
      </c>
      <c r="CG510" s="55">
        <f t="shared" si="209"/>
        <v>1.531983492391024</v>
      </c>
      <c r="CH510" s="55">
        <f t="shared" si="210"/>
        <v>0.61201071761416592</v>
      </c>
      <c r="CI510" s="30">
        <v>9</v>
      </c>
      <c r="CJ510" s="30">
        <v>0</v>
      </c>
      <c r="CK510" s="30">
        <v>1</v>
      </c>
      <c r="CL510" s="30">
        <v>10</v>
      </c>
      <c r="CM510" s="30">
        <v>380</v>
      </c>
      <c r="CN510" s="30">
        <v>0</v>
      </c>
      <c r="CO510" s="30">
        <v>1</v>
      </c>
      <c r="CP510" s="30">
        <v>381</v>
      </c>
      <c r="CQ510" s="1">
        <f t="shared" si="218"/>
        <v>4.9078964317918333E-2</v>
      </c>
      <c r="CR510" s="47">
        <v>7754</v>
      </c>
      <c r="CS510" s="55">
        <f t="shared" si="211"/>
        <v>0.99884065438619085</v>
      </c>
      <c r="CT510" s="59">
        <v>2266</v>
      </c>
      <c r="CU510" s="29" t="s">
        <v>25</v>
      </c>
      <c r="CV510" s="29" t="s">
        <v>25</v>
      </c>
      <c r="CW510" s="29" t="s">
        <v>25</v>
      </c>
      <c r="CX510" s="35">
        <v>0</v>
      </c>
      <c r="CY510" s="49">
        <v>0</v>
      </c>
      <c r="CZ510" s="35">
        <v>0.95</v>
      </c>
      <c r="DA510" s="35">
        <v>1</v>
      </c>
      <c r="DB510" s="35">
        <v>1.95</v>
      </c>
      <c r="DC510" s="49">
        <f t="shared" si="212"/>
        <v>3981.0256410256411</v>
      </c>
      <c r="DD510" s="30">
        <v>7</v>
      </c>
      <c r="DE510" s="31">
        <v>26390</v>
      </c>
      <c r="DF510" s="35">
        <v>38</v>
      </c>
      <c r="DG510" s="29" t="s">
        <v>25</v>
      </c>
      <c r="DH510" s="29" t="s">
        <v>25</v>
      </c>
      <c r="DI510" s="29" t="s">
        <v>25</v>
      </c>
      <c r="DJ510" s="47">
        <v>34</v>
      </c>
      <c r="DK510" s="47">
        <v>36</v>
      </c>
      <c r="DL510" s="47">
        <v>7</v>
      </c>
      <c r="DM510" s="47">
        <v>3872</v>
      </c>
      <c r="DN510" s="47">
        <v>43</v>
      </c>
      <c r="DO510" s="47">
        <v>11285</v>
      </c>
      <c r="DP510" s="29" t="s">
        <v>25</v>
      </c>
      <c r="DQ510" s="47">
        <v>2236</v>
      </c>
      <c r="DR510" s="47">
        <v>2115</v>
      </c>
      <c r="DS510" s="30">
        <v>52</v>
      </c>
      <c r="DT510" s="30">
        <v>43</v>
      </c>
      <c r="DU510" s="30">
        <v>43</v>
      </c>
      <c r="DV510" s="30">
        <v>43</v>
      </c>
      <c r="DX510" s="2">
        <f t="shared" si="213"/>
        <v>2115</v>
      </c>
      <c r="DY510" s="33" t="s">
        <v>2184</v>
      </c>
      <c r="DZ510" s="33" t="s">
        <v>1290</v>
      </c>
      <c r="EA510" s="33" t="s">
        <v>2031</v>
      </c>
      <c r="EB510" s="33" t="s">
        <v>2027</v>
      </c>
      <c r="EC510" s="36">
        <v>390</v>
      </c>
      <c r="ED510" s="29" t="s">
        <v>1288</v>
      </c>
      <c r="EE510" s="29" t="s">
        <v>1289</v>
      </c>
      <c r="EF510" s="37">
        <v>41548</v>
      </c>
      <c r="EG510" s="37">
        <v>41912</v>
      </c>
      <c r="EH510" s="29" t="s">
        <v>1288</v>
      </c>
      <c r="EI510" s="55">
        <f t="shared" si="214"/>
        <v>0.39443514105371635</v>
      </c>
      <c r="EJ510" s="54">
        <f t="shared" si="215"/>
        <v>8.1669457683885102E-2</v>
      </c>
      <c r="EK510" s="55">
        <f t="shared" si="216"/>
        <v>0.95903645497874535</v>
      </c>
      <c r="EL510" s="54">
        <f t="shared" si="217"/>
        <v>9.5066340332345747E-2</v>
      </c>
    </row>
    <row r="511" spans="1:142" ht="28.8" x14ac:dyDescent="0.3">
      <c r="A511" s="29" t="s">
        <v>1291</v>
      </c>
      <c r="B511" s="29"/>
      <c r="C511" s="30">
        <v>100223</v>
      </c>
      <c r="D511" s="30">
        <v>0</v>
      </c>
      <c r="E511" s="30">
        <v>0</v>
      </c>
      <c r="F511" s="30">
        <v>50000</v>
      </c>
      <c r="H511" s="2">
        <f t="shared" si="219"/>
        <v>50000</v>
      </c>
      <c r="I511" s="1">
        <f t="shared" si="220"/>
        <v>0.49888748091755386</v>
      </c>
      <c r="J511" s="31">
        <v>729605</v>
      </c>
      <c r="K511" s="31">
        <v>255527</v>
      </c>
      <c r="L511" s="31">
        <v>985132</v>
      </c>
      <c r="M511" s="45">
        <f t="shared" si="194"/>
        <v>9.8294004370254324</v>
      </c>
      <c r="N511" s="31">
        <v>81253</v>
      </c>
      <c r="O511" s="31">
        <v>16757</v>
      </c>
      <c r="P511" s="31">
        <v>37078</v>
      </c>
      <c r="Q511" s="31">
        <v>135088</v>
      </c>
      <c r="R511" s="45">
        <f t="shared" si="195"/>
        <v>1.3478742404438102</v>
      </c>
      <c r="S511" s="31">
        <v>288990</v>
      </c>
      <c r="T511" s="31">
        <v>1409210</v>
      </c>
      <c r="U511" s="31">
        <v>0</v>
      </c>
      <c r="V511" s="31">
        <v>1409210</v>
      </c>
      <c r="W511" s="45">
        <f t="shared" si="196"/>
        <v>14.060744539676522</v>
      </c>
      <c r="X511" s="4">
        <f t="shared" si="197"/>
        <v>0.69906685305951566</v>
      </c>
      <c r="Y511" s="4">
        <f t="shared" si="198"/>
        <v>9.5860801441942645E-2</v>
      </c>
      <c r="Z511" s="4">
        <f t="shared" si="199"/>
        <v>0.20507234549854172</v>
      </c>
      <c r="AA511" s="4">
        <f t="shared" si="200"/>
        <v>0</v>
      </c>
      <c r="AB511" s="31">
        <v>114030</v>
      </c>
      <c r="AC511" s="31">
        <v>135088</v>
      </c>
      <c r="AD511" s="31">
        <v>1409210</v>
      </c>
      <c r="AE511" s="31">
        <v>1404021</v>
      </c>
      <c r="AF511" s="31">
        <v>1417713</v>
      </c>
      <c r="AG511" s="31">
        <v>0</v>
      </c>
      <c r="AH511" s="31">
        <v>0</v>
      </c>
      <c r="AI511" s="31">
        <v>1417713</v>
      </c>
      <c r="AJ511" s="45">
        <f t="shared" si="201"/>
        <v>14.145585344681361</v>
      </c>
      <c r="AK511" s="31">
        <v>0</v>
      </c>
      <c r="AL511" s="31">
        <v>0</v>
      </c>
      <c r="AM511" s="31">
        <v>0</v>
      </c>
      <c r="AN511" s="31">
        <v>0</v>
      </c>
      <c r="AO511" s="31">
        <v>0</v>
      </c>
      <c r="AP511" s="31">
        <v>61646</v>
      </c>
      <c r="AQ511" s="31">
        <v>61646</v>
      </c>
      <c r="AR511" s="31">
        <v>1479359</v>
      </c>
      <c r="AS511" s="46">
        <f t="shared" si="202"/>
        <v>14.760673697654232</v>
      </c>
      <c r="AT511" s="31">
        <v>0</v>
      </c>
      <c r="AU511" s="31">
        <v>0</v>
      </c>
      <c r="AV511" s="31">
        <v>0</v>
      </c>
      <c r="AW511" s="31">
        <v>0</v>
      </c>
      <c r="AX511" s="31">
        <v>0</v>
      </c>
      <c r="AY511" s="31">
        <v>0</v>
      </c>
      <c r="AZ511" s="31">
        <v>0</v>
      </c>
      <c r="BA511" s="31">
        <v>114030</v>
      </c>
      <c r="BB511" s="31">
        <v>114030</v>
      </c>
      <c r="BC511" s="33" t="s">
        <v>25</v>
      </c>
      <c r="BD511" s="47">
        <v>133121</v>
      </c>
      <c r="BE511" s="47">
        <v>167594</v>
      </c>
      <c r="BF511" s="45">
        <f t="shared" si="203"/>
        <v>1.6722109695379304</v>
      </c>
      <c r="BG511" s="30">
        <v>4733</v>
      </c>
      <c r="BH511" s="30">
        <v>5473</v>
      </c>
      <c r="BI511" s="30">
        <v>4662</v>
      </c>
      <c r="BJ511" s="30">
        <v>6422</v>
      </c>
      <c r="BK511" s="30">
        <v>10061</v>
      </c>
      <c r="BL511" s="30">
        <v>94</v>
      </c>
      <c r="BM511" s="30">
        <v>9159</v>
      </c>
      <c r="BN511" s="30">
        <v>17</v>
      </c>
      <c r="BO511" s="30">
        <v>51</v>
      </c>
      <c r="BP511" s="30">
        <v>0</v>
      </c>
      <c r="BQ511" s="30">
        <v>68</v>
      </c>
      <c r="BR511" s="47">
        <v>144276</v>
      </c>
      <c r="BS511" s="47">
        <v>197060</v>
      </c>
      <c r="BT511" s="1">
        <f t="shared" si="204"/>
        <v>1.9662153397922633</v>
      </c>
      <c r="BU511" s="30">
        <v>147</v>
      </c>
      <c r="BV511" s="30">
        <v>0</v>
      </c>
      <c r="BW511" s="47">
        <v>3683</v>
      </c>
      <c r="BX511" s="52">
        <f t="shared" si="205"/>
        <v>3.6748051844387015E-2</v>
      </c>
      <c r="BY511" s="47">
        <v>92241</v>
      </c>
      <c r="BZ511" s="47">
        <v>1122</v>
      </c>
      <c r="CA511" s="47">
        <v>147839</v>
      </c>
      <c r="CB511" s="47">
        <v>18488</v>
      </c>
      <c r="CC511" s="47">
        <v>259690</v>
      </c>
      <c r="CD511" s="55">
        <f t="shared" si="206"/>
        <v>2.5911217983895911</v>
      </c>
      <c r="CE511" s="3">
        <f t="shared" si="207"/>
        <v>10471.370967741936</v>
      </c>
      <c r="CF511" s="55">
        <f t="shared" si="208"/>
        <v>94.604735883424411</v>
      </c>
      <c r="CG511" s="55">
        <f t="shared" si="209"/>
        <v>1.1813971685409614</v>
      </c>
      <c r="CH511" s="55">
        <f t="shared" si="210"/>
        <v>1.2183091444230183</v>
      </c>
      <c r="CI511" s="30">
        <v>437</v>
      </c>
      <c r="CJ511" s="30">
        <v>23</v>
      </c>
      <c r="CK511" s="30">
        <v>72</v>
      </c>
      <c r="CL511" s="30">
        <v>532</v>
      </c>
      <c r="CM511" s="30">
        <v>20550</v>
      </c>
      <c r="CN511" s="30">
        <v>335</v>
      </c>
      <c r="CO511" s="30">
        <v>1547</v>
      </c>
      <c r="CP511" s="30">
        <v>22432</v>
      </c>
      <c r="CQ511" s="1">
        <f t="shared" si="218"/>
        <v>0.22382087943885137</v>
      </c>
      <c r="CR511" s="47">
        <v>219816</v>
      </c>
      <c r="CS511" s="55">
        <f t="shared" si="211"/>
        <v>2.1932690101074606</v>
      </c>
      <c r="CT511" s="59">
        <v>11896</v>
      </c>
      <c r="CU511" s="29" t="s">
        <v>25</v>
      </c>
      <c r="CV511" s="29" t="s">
        <v>25</v>
      </c>
      <c r="CW511" s="29" t="s">
        <v>25</v>
      </c>
      <c r="CX511" s="35">
        <v>4</v>
      </c>
      <c r="CY511" s="49">
        <f>C511/CX511</f>
        <v>25055.75</v>
      </c>
      <c r="CZ511" s="35">
        <v>0</v>
      </c>
      <c r="DA511" s="35">
        <v>20.8</v>
      </c>
      <c r="DB511" s="35">
        <v>24.8</v>
      </c>
      <c r="DC511" s="49">
        <f t="shared" si="212"/>
        <v>4041.25</v>
      </c>
      <c r="DD511" s="30">
        <v>2377</v>
      </c>
      <c r="DE511" s="31">
        <v>72141</v>
      </c>
      <c r="DF511" s="35">
        <v>40</v>
      </c>
      <c r="DG511" s="29" t="s">
        <v>25</v>
      </c>
      <c r="DH511" s="29" t="s">
        <v>25</v>
      </c>
      <c r="DI511" s="29" t="s">
        <v>25</v>
      </c>
      <c r="DJ511" s="47">
        <v>722</v>
      </c>
      <c r="DK511" s="47">
        <v>436</v>
      </c>
      <c r="DL511" s="47">
        <v>25</v>
      </c>
      <c r="DM511" s="47">
        <v>27979</v>
      </c>
      <c r="DN511" s="47">
        <v>23</v>
      </c>
      <c r="DO511" s="47">
        <v>-1</v>
      </c>
      <c r="DP511" s="29" t="s">
        <v>25</v>
      </c>
      <c r="DQ511" s="47">
        <v>105709</v>
      </c>
      <c r="DR511" s="47">
        <v>2745</v>
      </c>
      <c r="DS511" s="30">
        <v>52</v>
      </c>
      <c r="DT511" s="30">
        <v>55</v>
      </c>
      <c r="DU511" s="30">
        <v>55</v>
      </c>
      <c r="DV511" s="30">
        <v>55</v>
      </c>
      <c r="DX511" s="2">
        <f t="shared" si="213"/>
        <v>2745</v>
      </c>
      <c r="DY511" s="33" t="s">
        <v>2182</v>
      </c>
      <c r="DZ511" s="33" t="s">
        <v>1293</v>
      </c>
      <c r="EA511" s="33" t="s">
        <v>2030</v>
      </c>
      <c r="EB511" s="33" t="s">
        <v>2027</v>
      </c>
      <c r="EC511" s="36">
        <v>391</v>
      </c>
      <c r="ED511" s="29" t="s">
        <v>1292</v>
      </c>
      <c r="EE511" s="29" t="s">
        <v>123</v>
      </c>
      <c r="EF511" s="37">
        <v>41548</v>
      </c>
      <c r="EG511" s="37">
        <v>41912</v>
      </c>
      <c r="EH511" s="29" t="s">
        <v>1292</v>
      </c>
      <c r="EI511" s="55">
        <f t="shared" si="214"/>
        <v>0.92035760254632171</v>
      </c>
      <c r="EJ511" s="54">
        <f t="shared" si="215"/>
        <v>1.1195035071789908E-2</v>
      </c>
      <c r="EK511" s="55">
        <f t="shared" si="216"/>
        <v>1.4751005258274048</v>
      </c>
      <c r="EL511" s="54">
        <f t="shared" si="217"/>
        <v>0.1844686349440747</v>
      </c>
    </row>
    <row r="512" spans="1:142" ht="28.8" x14ac:dyDescent="0.3">
      <c r="A512" s="29" t="s">
        <v>1455</v>
      </c>
      <c r="B512" s="29"/>
      <c r="C512" s="30">
        <v>19372</v>
      </c>
      <c r="D512" s="30">
        <v>0</v>
      </c>
      <c r="E512" s="30">
        <v>0</v>
      </c>
      <c r="F512" s="30">
        <v>8000</v>
      </c>
      <c r="H512" s="2">
        <f t="shared" si="219"/>
        <v>8000</v>
      </c>
      <c r="I512" s="1">
        <f t="shared" si="220"/>
        <v>0.41296716911005577</v>
      </c>
      <c r="J512" s="31">
        <v>111912</v>
      </c>
      <c r="K512" s="31">
        <v>17879</v>
      </c>
      <c r="L512" s="31">
        <v>129791</v>
      </c>
      <c r="M512" s="45">
        <f t="shared" si="194"/>
        <v>6.6999277307454062</v>
      </c>
      <c r="N512" s="31">
        <v>13104</v>
      </c>
      <c r="O512" s="31">
        <v>12125</v>
      </c>
      <c r="P512" s="31">
        <v>3414</v>
      </c>
      <c r="Q512" s="31">
        <v>28643</v>
      </c>
      <c r="R512" s="45">
        <f t="shared" si="195"/>
        <v>1.4785773281024159</v>
      </c>
      <c r="S512" s="31">
        <v>43875</v>
      </c>
      <c r="T512" s="31">
        <v>202309</v>
      </c>
      <c r="U512" s="31">
        <v>14960</v>
      </c>
      <c r="V512" s="31">
        <v>217269</v>
      </c>
      <c r="W512" s="45">
        <f t="shared" si="196"/>
        <v>11.215620483171588</v>
      </c>
      <c r="X512" s="4">
        <f t="shared" si="197"/>
        <v>0.59737468299665397</v>
      </c>
      <c r="Y512" s="4">
        <f t="shared" si="198"/>
        <v>0.13183196866557126</v>
      </c>
      <c r="Z512" s="4">
        <f t="shared" si="199"/>
        <v>0.20193861066235863</v>
      </c>
      <c r="AA512" s="4">
        <f t="shared" si="200"/>
        <v>6.8854737675416194E-2</v>
      </c>
      <c r="AB512" s="31">
        <v>2418</v>
      </c>
      <c r="AC512" s="31">
        <v>28643</v>
      </c>
      <c r="AD512" s="31">
        <v>217269</v>
      </c>
      <c r="AE512" s="31">
        <v>213332</v>
      </c>
      <c r="AF512" s="31">
        <v>257656</v>
      </c>
      <c r="AG512" s="31">
        <v>0</v>
      </c>
      <c r="AH512" s="31">
        <v>0</v>
      </c>
      <c r="AI512" s="31">
        <v>257656</v>
      </c>
      <c r="AJ512" s="45">
        <f t="shared" si="201"/>
        <v>13.300433615527565</v>
      </c>
      <c r="AK512" s="31">
        <v>0</v>
      </c>
      <c r="AL512" s="31">
        <v>0</v>
      </c>
      <c r="AM512" s="31">
        <v>0</v>
      </c>
      <c r="AN512" s="31">
        <v>0</v>
      </c>
      <c r="AO512" s="31">
        <v>0</v>
      </c>
      <c r="AP512" s="31">
        <v>5446</v>
      </c>
      <c r="AQ512" s="31">
        <v>5446</v>
      </c>
      <c r="AR512" s="31">
        <v>263102</v>
      </c>
      <c r="AS512" s="46">
        <f t="shared" si="202"/>
        <v>13.581561015899236</v>
      </c>
      <c r="AT512" s="31">
        <v>2418</v>
      </c>
      <c r="AU512" s="31">
        <v>0</v>
      </c>
      <c r="AV512" s="31">
        <v>0</v>
      </c>
      <c r="AW512" s="31">
        <v>0</v>
      </c>
      <c r="AX512" s="31">
        <v>0</v>
      </c>
      <c r="AY512" s="31">
        <v>0</v>
      </c>
      <c r="AZ512" s="31">
        <v>0</v>
      </c>
      <c r="BA512" s="31">
        <v>0</v>
      </c>
      <c r="BB512" s="31">
        <v>2418</v>
      </c>
      <c r="BC512" s="33" t="s">
        <v>25</v>
      </c>
      <c r="BD512" s="47">
        <v>23376</v>
      </c>
      <c r="BE512" s="47">
        <v>24782</v>
      </c>
      <c r="BF512" s="45">
        <f t="shared" si="203"/>
        <v>1.2792690481106752</v>
      </c>
      <c r="BG512" s="30">
        <v>706</v>
      </c>
      <c r="BH512" s="30">
        <v>706</v>
      </c>
      <c r="BI512" s="30">
        <v>447</v>
      </c>
      <c r="BJ512" s="30">
        <v>934</v>
      </c>
      <c r="BK512" s="30">
        <v>954</v>
      </c>
      <c r="BL512" s="30">
        <v>136</v>
      </c>
      <c r="BM512" s="30">
        <v>2097</v>
      </c>
      <c r="BN512" s="30">
        <v>3</v>
      </c>
      <c r="BO512" s="30">
        <v>51</v>
      </c>
      <c r="BP512" s="30">
        <v>0</v>
      </c>
      <c r="BQ512" s="30">
        <v>54</v>
      </c>
      <c r="BR512" s="47">
        <v>25016</v>
      </c>
      <c r="BS512" s="47">
        <v>29125</v>
      </c>
      <c r="BT512" s="1">
        <f t="shared" si="204"/>
        <v>1.5034586000412966</v>
      </c>
      <c r="BU512" s="30">
        <v>46</v>
      </c>
      <c r="BV512" s="30">
        <v>0</v>
      </c>
      <c r="BW512" s="47">
        <v>7631</v>
      </c>
      <c r="BX512" s="52">
        <f t="shared" si="205"/>
        <v>0.39391905843485442</v>
      </c>
      <c r="BY512" s="47">
        <v>9817</v>
      </c>
      <c r="BZ512" s="47">
        <v>168</v>
      </c>
      <c r="CA512" s="47">
        <v>28731</v>
      </c>
      <c r="CB512" s="47">
        <v>994</v>
      </c>
      <c r="CC512" s="47">
        <v>39710</v>
      </c>
      <c r="CD512" s="55">
        <f t="shared" si="206"/>
        <v>2.0498657856700393</v>
      </c>
      <c r="CE512" s="3">
        <f t="shared" si="207"/>
        <v>13236.666666666666</v>
      </c>
      <c r="CF512" s="55">
        <f t="shared" si="208"/>
        <v>19.408602150537636</v>
      </c>
      <c r="CG512" s="55">
        <f t="shared" si="209"/>
        <v>1.053175971356584</v>
      </c>
      <c r="CH512" s="55">
        <f t="shared" si="210"/>
        <v>1.3235364806866954</v>
      </c>
      <c r="CI512" s="30">
        <v>146</v>
      </c>
      <c r="CJ512" s="30">
        <v>0</v>
      </c>
      <c r="CK512" s="30">
        <v>107</v>
      </c>
      <c r="CL512" s="30">
        <v>253</v>
      </c>
      <c r="CM512" s="30">
        <v>1874</v>
      </c>
      <c r="CN512" s="30">
        <v>0</v>
      </c>
      <c r="CO512" s="30">
        <v>604</v>
      </c>
      <c r="CP512" s="30">
        <v>2478</v>
      </c>
      <c r="CQ512" s="1">
        <f t="shared" si="218"/>
        <v>0.12791658063183978</v>
      </c>
      <c r="CR512" s="47">
        <v>37705</v>
      </c>
      <c r="CS512" s="55">
        <f t="shared" si="211"/>
        <v>1.9463658889118316</v>
      </c>
      <c r="CT512" s="59">
        <v>6982</v>
      </c>
      <c r="CU512" s="29" t="s">
        <v>25</v>
      </c>
      <c r="CV512" s="29" t="s">
        <v>25</v>
      </c>
      <c r="CW512" s="29" t="s">
        <v>25</v>
      </c>
      <c r="CX512" s="35">
        <v>1.5</v>
      </c>
      <c r="CY512" s="49">
        <f>C512/CX512</f>
        <v>12914.666666666666</v>
      </c>
      <c r="CZ512" s="35">
        <v>0</v>
      </c>
      <c r="DA512" s="35">
        <v>1.5</v>
      </c>
      <c r="DB512" s="35">
        <v>3</v>
      </c>
      <c r="DC512" s="49">
        <f t="shared" si="212"/>
        <v>6457.333333333333</v>
      </c>
      <c r="DD512" s="30">
        <v>4657</v>
      </c>
      <c r="DE512" s="31">
        <v>50170</v>
      </c>
      <c r="DF512" s="35">
        <v>40</v>
      </c>
      <c r="DG512" s="29" t="s">
        <v>25</v>
      </c>
      <c r="DH512" s="29" t="s">
        <v>25</v>
      </c>
      <c r="DI512" s="29" t="s">
        <v>25</v>
      </c>
      <c r="DJ512" s="47">
        <v>607</v>
      </c>
      <c r="DK512" s="47">
        <v>3</v>
      </c>
      <c r="DL512" s="47">
        <v>18</v>
      </c>
      <c r="DM512" s="47">
        <v>12136</v>
      </c>
      <c r="DN512" s="47">
        <v>2966</v>
      </c>
      <c r="DO512" s="47">
        <v>1084</v>
      </c>
      <c r="DP512" s="29" t="s">
        <v>2028</v>
      </c>
      <c r="DQ512" s="47">
        <v>0</v>
      </c>
      <c r="DR512" s="47">
        <v>2046</v>
      </c>
      <c r="DS512" s="30">
        <v>52</v>
      </c>
      <c r="DT512" s="30">
        <v>44</v>
      </c>
      <c r="DU512" s="30">
        <v>44</v>
      </c>
      <c r="DV512" s="30">
        <v>44</v>
      </c>
      <c r="DX512" s="2">
        <f t="shared" si="213"/>
        <v>2046</v>
      </c>
      <c r="DY512" s="33" t="s">
        <v>2187</v>
      </c>
      <c r="DZ512" s="33" t="s">
        <v>1456</v>
      </c>
      <c r="EA512" s="33" t="s">
        <v>2030</v>
      </c>
      <c r="EB512" s="33" t="s">
        <v>2027</v>
      </c>
      <c r="EC512" s="36">
        <v>459</v>
      </c>
      <c r="ED512" s="29" t="s">
        <v>1454</v>
      </c>
      <c r="EE512" s="29" t="s">
        <v>814</v>
      </c>
      <c r="EF512" s="37">
        <v>41548</v>
      </c>
      <c r="EG512" s="37">
        <v>41912</v>
      </c>
      <c r="EH512" s="29" t="s">
        <v>1454</v>
      </c>
      <c r="EI512" s="55">
        <f t="shared" si="214"/>
        <v>0.5067623373941772</v>
      </c>
      <c r="EJ512" s="54">
        <f t="shared" si="215"/>
        <v>8.6723105513111711E-3</v>
      </c>
      <c r="EK512" s="55">
        <f t="shared" si="216"/>
        <v>1.4831199669626265</v>
      </c>
      <c r="EL512" s="54">
        <f t="shared" si="217"/>
        <v>5.1311170761924429E-2</v>
      </c>
    </row>
    <row r="513" spans="1:142" ht="28.8" x14ac:dyDescent="0.3">
      <c r="A513" s="29" t="s">
        <v>2065</v>
      </c>
      <c r="B513" s="29"/>
      <c r="C513" s="30">
        <v>23992</v>
      </c>
      <c r="D513" s="30">
        <v>0</v>
      </c>
      <c r="E513" s="30">
        <v>0</v>
      </c>
      <c r="F513" s="30">
        <v>16000</v>
      </c>
      <c r="H513" s="2">
        <f t="shared" si="219"/>
        <v>16000</v>
      </c>
      <c r="I513" s="1">
        <f t="shared" si="220"/>
        <v>0.66688896298766254</v>
      </c>
      <c r="J513" s="31">
        <v>312648</v>
      </c>
      <c r="K513" s="31">
        <v>77146</v>
      </c>
      <c r="L513" s="31">
        <v>389794</v>
      </c>
      <c r="M513" s="45">
        <f t="shared" si="194"/>
        <v>16.24683227742581</v>
      </c>
      <c r="N513" s="31">
        <v>51964</v>
      </c>
      <c r="O513" s="31">
        <v>40478</v>
      </c>
      <c r="P513" s="31">
        <v>2511</v>
      </c>
      <c r="Q513" s="31">
        <v>94953</v>
      </c>
      <c r="R513" s="45">
        <f t="shared" si="195"/>
        <v>3.9576942314104699</v>
      </c>
      <c r="S513" s="31">
        <v>255837</v>
      </c>
      <c r="T513" s="31">
        <v>740584</v>
      </c>
      <c r="U513" s="31">
        <v>0</v>
      </c>
      <c r="V513" s="31">
        <v>740584</v>
      </c>
      <c r="W513" s="45">
        <f t="shared" si="196"/>
        <v>30.867955985328443</v>
      </c>
      <c r="X513" s="4">
        <f t="shared" si="197"/>
        <v>0.52633327212038072</v>
      </c>
      <c r="Y513" s="4">
        <f t="shared" si="198"/>
        <v>0.12821368001469111</v>
      </c>
      <c r="Z513" s="4">
        <f t="shared" si="199"/>
        <v>0.3454530478649282</v>
      </c>
      <c r="AA513" s="4">
        <f t="shared" si="200"/>
        <v>0</v>
      </c>
      <c r="AB513" s="31">
        <v>0</v>
      </c>
      <c r="AC513" s="31">
        <v>94953</v>
      </c>
      <c r="AD513" s="31">
        <v>645631</v>
      </c>
      <c r="AE513" s="31">
        <v>440584</v>
      </c>
      <c r="AF513" s="31">
        <v>440584</v>
      </c>
      <c r="AG513" s="31">
        <v>0</v>
      </c>
      <c r="AH513" s="31">
        <v>0</v>
      </c>
      <c r="AI513" s="31">
        <v>440584</v>
      </c>
      <c r="AJ513" s="45">
        <f t="shared" si="201"/>
        <v>18.363787929309769</v>
      </c>
      <c r="AK513" s="31">
        <v>0</v>
      </c>
      <c r="AL513" s="31">
        <v>0</v>
      </c>
      <c r="AM513" s="31">
        <v>0</v>
      </c>
      <c r="AN513" s="31">
        <v>0</v>
      </c>
      <c r="AO513" s="31">
        <v>0</v>
      </c>
      <c r="AP513" s="31">
        <v>300000</v>
      </c>
      <c r="AQ513" s="31">
        <v>300000</v>
      </c>
      <c r="AR513" s="31">
        <v>740584</v>
      </c>
      <c r="AS513" s="46">
        <f t="shared" si="202"/>
        <v>30.867955985328443</v>
      </c>
      <c r="AT513" s="31">
        <v>0</v>
      </c>
      <c r="AU513" s="31">
        <v>0</v>
      </c>
      <c r="AV513" s="31">
        <v>0</v>
      </c>
      <c r="AW513" s="31">
        <v>0</v>
      </c>
      <c r="AX513" s="31">
        <v>0</v>
      </c>
      <c r="AY513" s="31">
        <v>0</v>
      </c>
      <c r="AZ513" s="31">
        <v>0</v>
      </c>
      <c r="BA513" s="31">
        <v>0</v>
      </c>
      <c r="BB513" s="31">
        <v>0</v>
      </c>
      <c r="BC513" s="33" t="s">
        <v>25</v>
      </c>
      <c r="BD513" s="47">
        <v>39135</v>
      </c>
      <c r="BE513" s="47">
        <v>42889</v>
      </c>
      <c r="BF513" s="45">
        <f t="shared" si="203"/>
        <v>1.7876375458486162</v>
      </c>
      <c r="BG513" s="30">
        <v>575</v>
      </c>
      <c r="BH513" s="30">
        <v>586</v>
      </c>
      <c r="BI513" s="30">
        <v>5169</v>
      </c>
      <c r="BJ513" s="30">
        <v>1834</v>
      </c>
      <c r="BK513" s="30">
        <v>2205</v>
      </c>
      <c r="BL513" s="30">
        <v>0</v>
      </c>
      <c r="BM513" s="30">
        <v>13108</v>
      </c>
      <c r="BN513" s="30">
        <v>4</v>
      </c>
      <c r="BO513" s="30">
        <v>51</v>
      </c>
      <c r="BP513" s="30">
        <v>0</v>
      </c>
      <c r="BQ513" s="30">
        <v>55</v>
      </c>
      <c r="BR513" s="47">
        <v>41544</v>
      </c>
      <c r="BS513" s="47">
        <v>63961</v>
      </c>
      <c r="BT513" s="1">
        <f t="shared" si="204"/>
        <v>2.6659303101033678</v>
      </c>
      <c r="BU513" s="30">
        <v>74</v>
      </c>
      <c r="BV513" s="30">
        <v>68</v>
      </c>
      <c r="BW513" s="47">
        <v>2513</v>
      </c>
      <c r="BX513" s="52">
        <f t="shared" si="205"/>
        <v>0.10474324774924974</v>
      </c>
      <c r="BY513" s="47">
        <v>64329</v>
      </c>
      <c r="BZ513" s="47">
        <v>2071</v>
      </c>
      <c r="CA513" s="47">
        <v>24351</v>
      </c>
      <c r="CB513" s="47">
        <v>6215</v>
      </c>
      <c r="CC513" s="47">
        <v>96966</v>
      </c>
      <c r="CD513" s="55">
        <f t="shared" si="206"/>
        <v>4.0415971990663557</v>
      </c>
      <c r="CE513" s="3">
        <f t="shared" si="207"/>
        <v>15210.35294117647</v>
      </c>
      <c r="CF513" s="55">
        <f t="shared" si="208"/>
        <v>43.28839285714286</v>
      </c>
      <c r="CG513" s="55">
        <f t="shared" si="209"/>
        <v>2.1694073427746829</v>
      </c>
      <c r="CH513" s="55">
        <f t="shared" si="210"/>
        <v>1.3864698800831756</v>
      </c>
      <c r="CI513" s="30">
        <v>85</v>
      </c>
      <c r="CJ513" s="30">
        <v>0</v>
      </c>
      <c r="CK513" s="30">
        <v>17</v>
      </c>
      <c r="CL513" s="30">
        <v>102</v>
      </c>
      <c r="CM513" s="30">
        <v>3907</v>
      </c>
      <c r="CN513" s="30">
        <v>0</v>
      </c>
      <c r="CO513" s="30">
        <v>373</v>
      </c>
      <c r="CP513" s="30">
        <v>4280</v>
      </c>
      <c r="CQ513" s="1">
        <f t="shared" si="218"/>
        <v>0.17839279759919974</v>
      </c>
      <c r="CR513" s="47">
        <v>44697</v>
      </c>
      <c r="CS513" s="55">
        <f t="shared" si="211"/>
        <v>1.8629959986662221</v>
      </c>
      <c r="CT513" s="59">
        <v>5990</v>
      </c>
      <c r="CU513" s="29" t="s">
        <v>25</v>
      </c>
      <c r="CV513" s="29" t="s">
        <v>25</v>
      </c>
      <c r="CW513" s="29" t="s">
        <v>25</v>
      </c>
      <c r="CX513" s="35">
        <v>3</v>
      </c>
      <c r="CY513" s="49">
        <f>C513/CX513</f>
        <v>7997.333333333333</v>
      </c>
      <c r="CZ513" s="35">
        <v>0</v>
      </c>
      <c r="DA513" s="35">
        <v>3.375</v>
      </c>
      <c r="DB513" s="35">
        <v>6.375</v>
      </c>
      <c r="DC513" s="49">
        <f t="shared" si="212"/>
        <v>3763.4509803921569</v>
      </c>
      <c r="DD513" s="30">
        <v>5769</v>
      </c>
      <c r="DE513" s="31">
        <v>104000</v>
      </c>
      <c r="DF513" s="35">
        <v>40</v>
      </c>
      <c r="DG513" s="29" t="s">
        <v>25</v>
      </c>
      <c r="DH513" s="29" t="s">
        <v>25</v>
      </c>
      <c r="DI513" s="29" t="s">
        <v>25</v>
      </c>
      <c r="DJ513" s="47">
        <v>1</v>
      </c>
      <c r="DK513" s="47">
        <v>58</v>
      </c>
      <c r="DL513" s="47">
        <v>16</v>
      </c>
      <c r="DM513" s="47">
        <v>3203</v>
      </c>
      <c r="DN513" s="47">
        <v>165</v>
      </c>
      <c r="DO513" s="47">
        <v>1311</v>
      </c>
      <c r="DP513" s="29" t="s">
        <v>25</v>
      </c>
      <c r="DQ513" s="47">
        <v>21304</v>
      </c>
      <c r="DR513" s="47">
        <v>2240</v>
      </c>
      <c r="DS513" s="30">
        <v>52</v>
      </c>
      <c r="DT513" s="30">
        <v>44</v>
      </c>
      <c r="DU513" s="30">
        <v>44</v>
      </c>
      <c r="DV513" s="30">
        <v>44</v>
      </c>
      <c r="DX513" s="2">
        <f t="shared" si="213"/>
        <v>2240</v>
      </c>
      <c r="DY513" s="33" t="s">
        <v>2182</v>
      </c>
      <c r="DZ513" s="33" t="s">
        <v>1749</v>
      </c>
      <c r="EA513" s="33" t="s">
        <v>2030</v>
      </c>
      <c r="EB513" s="33" t="s">
        <v>2027</v>
      </c>
      <c r="EC513" s="36">
        <v>606</v>
      </c>
      <c r="ED513" s="29" t="s">
        <v>1748</v>
      </c>
      <c r="EE513" s="29" t="s">
        <v>269</v>
      </c>
      <c r="EF513" s="37">
        <v>41548</v>
      </c>
      <c r="EG513" s="37">
        <v>41912</v>
      </c>
      <c r="EH513" s="29" t="s">
        <v>1748</v>
      </c>
      <c r="EI513" s="55">
        <f t="shared" si="214"/>
        <v>2.6812687562520838</v>
      </c>
      <c r="EJ513" s="54">
        <f t="shared" si="215"/>
        <v>8.6320440146715569E-2</v>
      </c>
      <c r="EK513" s="55">
        <f t="shared" si="216"/>
        <v>1.0149633211070357</v>
      </c>
      <c r="EL513" s="54">
        <f t="shared" si="217"/>
        <v>0.25904468156052018</v>
      </c>
    </row>
    <row r="514" spans="1:142" ht="28.8" x14ac:dyDescent="0.3">
      <c r="A514" s="29" t="s">
        <v>1665</v>
      </c>
      <c r="B514" s="29"/>
      <c r="C514" s="30">
        <v>3127</v>
      </c>
      <c r="D514" s="30">
        <v>0</v>
      </c>
      <c r="E514" s="30">
        <v>0</v>
      </c>
      <c r="F514" s="30">
        <v>3800</v>
      </c>
      <c r="H514" s="2">
        <f t="shared" si="219"/>
        <v>3800</v>
      </c>
      <c r="I514" s="1">
        <f t="shared" si="220"/>
        <v>1.2152222577550367</v>
      </c>
      <c r="J514" s="31">
        <v>0</v>
      </c>
      <c r="K514" s="31">
        <v>0</v>
      </c>
      <c r="L514" s="31">
        <v>0</v>
      </c>
      <c r="M514" s="45">
        <f t="shared" si="194"/>
        <v>0</v>
      </c>
      <c r="N514" s="31">
        <v>2979</v>
      </c>
      <c r="O514" s="31">
        <v>0</v>
      </c>
      <c r="P514" s="31">
        <v>186</v>
      </c>
      <c r="Q514" s="31">
        <v>3165</v>
      </c>
      <c r="R514" s="45">
        <f t="shared" si="195"/>
        <v>1.0121522225775503</v>
      </c>
      <c r="S514" s="31">
        <v>12978</v>
      </c>
      <c r="T514" s="31">
        <v>16143</v>
      </c>
      <c r="U514" s="31">
        <v>0</v>
      </c>
      <c r="V514" s="31">
        <v>16143</v>
      </c>
      <c r="W514" s="45">
        <f t="shared" si="196"/>
        <v>5.1624560281419889</v>
      </c>
      <c r="X514" s="4">
        <f t="shared" si="197"/>
        <v>0</v>
      </c>
      <c r="Y514" s="4">
        <f t="shared" si="198"/>
        <v>0.19606021185653225</v>
      </c>
      <c r="Z514" s="4">
        <f t="shared" si="199"/>
        <v>0.80393978814346778</v>
      </c>
      <c r="AA514" s="4">
        <f t="shared" si="200"/>
        <v>0</v>
      </c>
      <c r="AB514" s="31">
        <v>0</v>
      </c>
      <c r="AC514" s="31">
        <v>3165</v>
      </c>
      <c r="AD514" s="31">
        <v>16143</v>
      </c>
      <c r="AE514" s="31">
        <v>9900</v>
      </c>
      <c r="AF514" s="31">
        <v>0</v>
      </c>
      <c r="AG514" s="31">
        <v>9900</v>
      </c>
      <c r="AH514" s="31">
        <v>0</v>
      </c>
      <c r="AI514" s="31">
        <v>9900</v>
      </c>
      <c r="AJ514" s="45">
        <f t="shared" si="201"/>
        <v>3.1659737767828591</v>
      </c>
      <c r="AK514" s="31">
        <v>0</v>
      </c>
      <c r="AL514" s="31">
        <v>0</v>
      </c>
      <c r="AM514" s="31">
        <v>0</v>
      </c>
      <c r="AN514" s="31">
        <v>0</v>
      </c>
      <c r="AO514" s="31">
        <v>0</v>
      </c>
      <c r="AP514" s="31">
        <v>6237</v>
      </c>
      <c r="AQ514" s="31">
        <v>6237</v>
      </c>
      <c r="AR514" s="31">
        <v>16137</v>
      </c>
      <c r="AS514" s="46">
        <f t="shared" si="202"/>
        <v>5.1605372561560605</v>
      </c>
      <c r="AT514" s="31">
        <v>0</v>
      </c>
      <c r="AU514" s="31">
        <v>0</v>
      </c>
      <c r="AV514" s="31">
        <v>0</v>
      </c>
      <c r="AW514" s="31">
        <v>0</v>
      </c>
      <c r="AX514" s="31">
        <v>0</v>
      </c>
      <c r="AY514" s="31">
        <v>0</v>
      </c>
      <c r="AZ514" s="31">
        <v>0</v>
      </c>
      <c r="BA514" s="31">
        <v>0</v>
      </c>
      <c r="BB514" s="31">
        <v>0</v>
      </c>
      <c r="BC514" s="33" t="s">
        <v>25</v>
      </c>
      <c r="BD514" s="47">
        <v>15090</v>
      </c>
      <c r="BE514" s="47">
        <v>15568</v>
      </c>
      <c r="BF514" s="45">
        <f t="shared" si="203"/>
        <v>4.9785737128237928</v>
      </c>
      <c r="BG514" s="30">
        <v>625</v>
      </c>
      <c r="BH514" s="30">
        <v>640</v>
      </c>
      <c r="BI514" s="30">
        <v>0</v>
      </c>
      <c r="BJ514" s="30">
        <v>1142</v>
      </c>
      <c r="BK514" s="30">
        <v>1168</v>
      </c>
      <c r="BL514" s="30">
        <v>0</v>
      </c>
      <c r="BM514" s="30">
        <v>0</v>
      </c>
      <c r="BN514" s="30">
        <v>0</v>
      </c>
      <c r="BO514" s="30">
        <v>51</v>
      </c>
      <c r="BP514" s="30">
        <v>0</v>
      </c>
      <c r="BQ514" s="30">
        <v>51</v>
      </c>
      <c r="BR514" s="47">
        <v>16857</v>
      </c>
      <c r="BS514" s="47">
        <v>17376</v>
      </c>
      <c r="BT514" s="1">
        <f t="shared" si="204"/>
        <v>5.5567636712503994</v>
      </c>
      <c r="BU514" s="30">
        <v>22</v>
      </c>
      <c r="BV514" s="30">
        <v>0</v>
      </c>
      <c r="BW514" s="47">
        <v>35</v>
      </c>
      <c r="BX514" s="52">
        <f t="shared" si="205"/>
        <v>1.1192836584585865E-2</v>
      </c>
      <c r="BY514" s="47">
        <v>250</v>
      </c>
      <c r="BZ514" s="47">
        <v>0</v>
      </c>
      <c r="CA514" s="47">
        <v>3167</v>
      </c>
      <c r="CB514" s="47">
        <v>0</v>
      </c>
      <c r="CC514" s="47">
        <v>3417</v>
      </c>
      <c r="CD514" s="55">
        <f t="shared" si="206"/>
        <v>1.0927406459865685</v>
      </c>
      <c r="CE514" s="3">
        <v>0</v>
      </c>
      <c r="CF514" s="55">
        <f t="shared" si="208"/>
        <v>2.356551724137931</v>
      </c>
      <c r="CG514" s="55">
        <f t="shared" si="209"/>
        <v>0.69268193796878164</v>
      </c>
      <c r="CH514" s="55">
        <f t="shared" si="210"/>
        <v>0.19665055248618785</v>
      </c>
      <c r="CI514" s="30">
        <v>2</v>
      </c>
      <c r="CJ514" s="30">
        <v>0</v>
      </c>
      <c r="CK514" s="30">
        <v>6</v>
      </c>
      <c r="CL514" s="30">
        <v>8</v>
      </c>
      <c r="CM514" s="30">
        <v>20</v>
      </c>
      <c r="CN514" s="30">
        <v>0</v>
      </c>
      <c r="CO514" s="30">
        <v>129</v>
      </c>
      <c r="CP514" s="30">
        <v>149</v>
      </c>
      <c r="CQ514" s="1">
        <f t="shared" si="218"/>
        <v>4.7649504317236968E-2</v>
      </c>
      <c r="CR514" s="47">
        <v>4933</v>
      </c>
      <c r="CS514" s="55">
        <f t="shared" si="211"/>
        <v>1.5775503677646305</v>
      </c>
      <c r="CT514" s="59">
        <v>957</v>
      </c>
      <c r="CU514" s="29" t="s">
        <v>25</v>
      </c>
      <c r="CV514" s="29" t="s">
        <v>25</v>
      </c>
      <c r="CW514" s="29" t="s">
        <v>25</v>
      </c>
      <c r="CX514" s="35">
        <v>0</v>
      </c>
      <c r="CY514" s="49">
        <v>0</v>
      </c>
      <c r="CZ514" s="35">
        <v>0</v>
      </c>
      <c r="DA514" s="35">
        <v>0</v>
      </c>
      <c r="DB514" s="35">
        <v>0</v>
      </c>
      <c r="DC514" s="49">
        <v>0</v>
      </c>
      <c r="DD514" s="30">
        <v>1960</v>
      </c>
      <c r="DE514" s="31">
        <v>0</v>
      </c>
      <c r="DF514" s="35">
        <v>20</v>
      </c>
      <c r="DG514" s="29" t="s">
        <v>25</v>
      </c>
      <c r="DH514" s="29" t="s">
        <v>25</v>
      </c>
      <c r="DI514" s="29" t="s">
        <v>25</v>
      </c>
      <c r="DJ514" s="47">
        <v>55</v>
      </c>
      <c r="DK514" s="47">
        <v>21</v>
      </c>
      <c r="DL514" s="47">
        <v>6</v>
      </c>
      <c r="DM514" s="47">
        <v>912</v>
      </c>
      <c r="DN514" s="47">
        <v>9</v>
      </c>
      <c r="DO514" s="47">
        <v>45</v>
      </c>
      <c r="DP514" s="29" t="s">
        <v>2028</v>
      </c>
      <c r="DQ514" s="47">
        <v>0</v>
      </c>
      <c r="DR514" s="47">
        <v>1450</v>
      </c>
      <c r="DS514" s="30">
        <v>50</v>
      </c>
      <c r="DT514" s="30">
        <v>29</v>
      </c>
      <c r="DU514" s="30">
        <v>29</v>
      </c>
      <c r="DV514" s="30">
        <v>29</v>
      </c>
      <c r="DX514" s="2">
        <f t="shared" si="213"/>
        <v>1450</v>
      </c>
      <c r="DY514" s="33" t="s">
        <v>2187</v>
      </c>
      <c r="DZ514" s="33" t="s">
        <v>1667</v>
      </c>
      <c r="EA514" s="33" t="s">
        <v>2032</v>
      </c>
      <c r="EB514" s="33" t="s">
        <v>2027</v>
      </c>
      <c r="EC514" s="36">
        <v>566</v>
      </c>
      <c r="ED514" s="29" t="s">
        <v>1666</v>
      </c>
      <c r="EE514" s="29" t="s">
        <v>1294</v>
      </c>
      <c r="EF514" s="37">
        <v>41548</v>
      </c>
      <c r="EG514" s="37">
        <v>41912</v>
      </c>
      <c r="EH514" s="29" t="s">
        <v>1666</v>
      </c>
      <c r="EI514" s="55">
        <f t="shared" si="214"/>
        <v>7.9948832747041898E-2</v>
      </c>
      <c r="EJ514" s="54">
        <f t="shared" si="215"/>
        <v>0</v>
      </c>
      <c r="EK514" s="55">
        <f t="shared" si="216"/>
        <v>1.0127918132395266</v>
      </c>
      <c r="EL514" s="54">
        <f t="shared" si="217"/>
        <v>0</v>
      </c>
    </row>
    <row r="515" spans="1:142" ht="28.8" x14ac:dyDescent="0.3">
      <c r="A515" s="29" t="s">
        <v>1294</v>
      </c>
      <c r="B515" s="29"/>
      <c r="C515" s="30">
        <v>21695</v>
      </c>
      <c r="D515" s="30">
        <v>0</v>
      </c>
      <c r="E515" s="30">
        <v>0</v>
      </c>
      <c r="F515" s="30">
        <v>35000</v>
      </c>
      <c r="H515" s="2">
        <f t="shared" si="219"/>
        <v>35000</v>
      </c>
      <c r="I515" s="1">
        <f t="shared" si="220"/>
        <v>1.6132749481447337</v>
      </c>
      <c r="J515" s="31">
        <v>154192</v>
      </c>
      <c r="K515" s="31">
        <v>36778</v>
      </c>
      <c r="L515" s="31">
        <v>190970</v>
      </c>
      <c r="M515" s="45">
        <f t="shared" si="194"/>
        <v>8.8024890527771369</v>
      </c>
      <c r="N515" s="31">
        <v>14626</v>
      </c>
      <c r="O515" s="31">
        <v>3000</v>
      </c>
      <c r="P515" s="31">
        <v>1000</v>
      </c>
      <c r="Q515" s="31">
        <v>18626</v>
      </c>
      <c r="R515" s="45">
        <f t="shared" si="195"/>
        <v>0.85853883383268037</v>
      </c>
      <c r="S515" s="31">
        <v>177515</v>
      </c>
      <c r="T515" s="31">
        <v>387111</v>
      </c>
      <c r="U515" s="31">
        <v>0</v>
      </c>
      <c r="V515" s="31">
        <v>387111</v>
      </c>
      <c r="W515" s="45">
        <f t="shared" si="196"/>
        <v>17.843327955750173</v>
      </c>
      <c r="X515" s="4">
        <f t="shared" si="197"/>
        <v>0.49332103711855257</v>
      </c>
      <c r="Y515" s="4">
        <f t="shared" si="198"/>
        <v>4.8115398425774517E-2</v>
      </c>
      <c r="Z515" s="4">
        <f t="shared" si="199"/>
        <v>0.45856356445567292</v>
      </c>
      <c r="AA515" s="4">
        <f t="shared" si="200"/>
        <v>0</v>
      </c>
      <c r="AB515" s="31">
        <v>0</v>
      </c>
      <c r="AC515" s="31">
        <v>18626</v>
      </c>
      <c r="AD515" s="31">
        <v>387111</v>
      </c>
      <c r="AE515" s="31">
        <v>262000</v>
      </c>
      <c r="AF515" s="31">
        <v>150000</v>
      </c>
      <c r="AG515" s="31">
        <v>112000</v>
      </c>
      <c r="AH515" s="31">
        <v>0</v>
      </c>
      <c r="AI515" s="31">
        <v>262000</v>
      </c>
      <c r="AJ515" s="45">
        <f t="shared" si="201"/>
        <v>12.076515326112007</v>
      </c>
      <c r="AK515" s="31">
        <v>0</v>
      </c>
      <c r="AL515" s="31">
        <v>0</v>
      </c>
      <c r="AM515" s="31">
        <v>0</v>
      </c>
      <c r="AN515" s="31">
        <v>0</v>
      </c>
      <c r="AO515" s="31">
        <v>0</v>
      </c>
      <c r="AP515" s="31">
        <v>103870</v>
      </c>
      <c r="AQ515" s="31">
        <v>103870</v>
      </c>
      <c r="AR515" s="31">
        <v>365870</v>
      </c>
      <c r="AS515" s="46">
        <f t="shared" si="202"/>
        <v>16.864254436506108</v>
      </c>
      <c r="AT515" s="31">
        <v>0</v>
      </c>
      <c r="AU515" s="31">
        <v>0</v>
      </c>
      <c r="AV515" s="31">
        <v>0</v>
      </c>
      <c r="AW515" s="31">
        <v>0</v>
      </c>
      <c r="AX515" s="31">
        <v>0</v>
      </c>
      <c r="AY515" s="31">
        <v>0</v>
      </c>
      <c r="AZ515" s="31">
        <v>0</v>
      </c>
      <c r="BA515" s="31">
        <v>0</v>
      </c>
      <c r="BB515" s="31">
        <v>0</v>
      </c>
      <c r="BC515" s="33" t="s">
        <v>25</v>
      </c>
      <c r="BD515" s="47">
        <v>51307</v>
      </c>
      <c r="BE515" s="47">
        <v>57310</v>
      </c>
      <c r="BF515" s="45">
        <f t="shared" si="203"/>
        <v>2.6416224936621342</v>
      </c>
      <c r="BG515" s="30">
        <v>1999</v>
      </c>
      <c r="BH515" s="30">
        <v>2040</v>
      </c>
      <c r="BI515" s="30">
        <v>0</v>
      </c>
      <c r="BJ515" s="30">
        <v>2083</v>
      </c>
      <c r="BK515" s="30">
        <v>2262</v>
      </c>
      <c r="BL515" s="30">
        <v>0</v>
      </c>
      <c r="BM515" s="30">
        <v>23</v>
      </c>
      <c r="BN515" s="30">
        <v>0</v>
      </c>
      <c r="BO515" s="30">
        <v>51</v>
      </c>
      <c r="BP515" s="30">
        <v>0</v>
      </c>
      <c r="BQ515" s="30">
        <v>51</v>
      </c>
      <c r="BR515" s="47">
        <v>55389</v>
      </c>
      <c r="BS515" s="47">
        <v>61635</v>
      </c>
      <c r="BT515" s="1">
        <f t="shared" si="204"/>
        <v>2.8409771836828761</v>
      </c>
      <c r="BU515" s="30">
        <v>116</v>
      </c>
      <c r="BV515" s="30">
        <v>0</v>
      </c>
      <c r="BW515" s="47">
        <v>1800</v>
      </c>
      <c r="BX515" s="52">
        <f t="shared" si="205"/>
        <v>8.2968425904586307E-2</v>
      </c>
      <c r="BY515" s="47">
        <v>11862</v>
      </c>
      <c r="BZ515" s="47">
        <v>0</v>
      </c>
      <c r="CA515" s="47">
        <v>38581</v>
      </c>
      <c r="CB515" s="47">
        <v>0</v>
      </c>
      <c r="CC515" s="47">
        <v>50443</v>
      </c>
      <c r="CD515" s="55">
        <f t="shared" si="206"/>
        <v>2.3250979488361372</v>
      </c>
      <c r="CE515" s="3">
        <f t="shared" si="207"/>
        <v>7760.4615384615381</v>
      </c>
      <c r="CF515" s="55">
        <f t="shared" si="208"/>
        <v>25.221499999999999</v>
      </c>
      <c r="CG515" s="55">
        <f t="shared" si="209"/>
        <v>0.32571399053393513</v>
      </c>
      <c r="CH515" s="55">
        <f t="shared" si="210"/>
        <v>0.81841486168573052</v>
      </c>
      <c r="CI515" s="30">
        <v>59</v>
      </c>
      <c r="CJ515" s="30">
        <v>0</v>
      </c>
      <c r="CK515" s="30">
        <v>12</v>
      </c>
      <c r="CL515" s="30">
        <v>71</v>
      </c>
      <c r="CM515" s="30">
        <v>1058</v>
      </c>
      <c r="CN515" s="30">
        <v>0</v>
      </c>
      <c r="CO515" s="30">
        <v>792</v>
      </c>
      <c r="CP515" s="30">
        <v>1850</v>
      </c>
      <c r="CQ515" s="1">
        <f t="shared" si="218"/>
        <v>8.5273104401935931E-2</v>
      </c>
      <c r="CR515" s="47">
        <v>154869</v>
      </c>
      <c r="CS515" s="55">
        <f t="shared" si="211"/>
        <v>7.1384650841207655</v>
      </c>
      <c r="CT515" s="59">
        <v>15003</v>
      </c>
      <c r="CU515" s="29" t="s">
        <v>25</v>
      </c>
      <c r="CV515" s="29" t="s">
        <v>25</v>
      </c>
      <c r="CW515" s="29" t="s">
        <v>25</v>
      </c>
      <c r="CX515" s="35">
        <v>0</v>
      </c>
      <c r="CY515" s="49">
        <v>0</v>
      </c>
      <c r="CZ515" s="35">
        <v>2</v>
      </c>
      <c r="DA515" s="35">
        <v>4.5</v>
      </c>
      <c r="DB515" s="35">
        <v>6.5</v>
      </c>
      <c r="DC515" s="49">
        <f t="shared" si="212"/>
        <v>3337.6923076923076</v>
      </c>
      <c r="DD515" s="30">
        <v>2744</v>
      </c>
      <c r="DE515" s="31">
        <v>33000</v>
      </c>
      <c r="DF515" s="35">
        <v>40</v>
      </c>
      <c r="DG515" s="29" t="s">
        <v>25</v>
      </c>
      <c r="DH515" s="29" t="s">
        <v>25</v>
      </c>
      <c r="DI515" s="29" t="s">
        <v>25</v>
      </c>
      <c r="DJ515" s="47">
        <v>74</v>
      </c>
      <c r="DK515" s="47">
        <v>231</v>
      </c>
      <c r="DL515" s="47">
        <v>10</v>
      </c>
      <c r="DM515" s="47">
        <v>6091</v>
      </c>
      <c r="DN515" s="47">
        <v>2400</v>
      </c>
      <c r="DO515" s="47">
        <v>3800</v>
      </c>
      <c r="DP515" s="29" t="s">
        <v>2028</v>
      </c>
      <c r="DQ515" s="47">
        <v>0</v>
      </c>
      <c r="DR515" s="47">
        <v>2000</v>
      </c>
      <c r="DS515" s="30">
        <v>52</v>
      </c>
      <c r="DT515" s="30">
        <v>40</v>
      </c>
      <c r="DU515" s="30">
        <v>40</v>
      </c>
      <c r="DV515" s="30">
        <v>40</v>
      </c>
      <c r="DX515" s="2">
        <f t="shared" si="213"/>
        <v>2000</v>
      </c>
      <c r="DY515" s="33" t="s">
        <v>2187</v>
      </c>
      <c r="DZ515" s="33" t="s">
        <v>1296</v>
      </c>
      <c r="EA515" s="33" t="s">
        <v>2032</v>
      </c>
      <c r="EB515" s="33" t="s">
        <v>2027</v>
      </c>
      <c r="EC515" s="36">
        <v>392</v>
      </c>
      <c r="ED515" s="29" t="s">
        <v>1295</v>
      </c>
      <c r="EE515" s="29" t="s">
        <v>1294</v>
      </c>
      <c r="EF515" s="37">
        <v>41456</v>
      </c>
      <c r="EG515" s="37">
        <v>41820</v>
      </c>
      <c r="EH515" s="29" t="s">
        <v>1295</v>
      </c>
      <c r="EI515" s="55">
        <f t="shared" si="214"/>
        <v>0.54676192671122381</v>
      </c>
      <c r="EJ515" s="54">
        <f t="shared" si="215"/>
        <v>0</v>
      </c>
      <c r="EK515" s="55">
        <f t="shared" si="216"/>
        <v>1.7783360221249136</v>
      </c>
      <c r="EL515" s="54">
        <f t="shared" si="217"/>
        <v>0</v>
      </c>
    </row>
    <row r="516" spans="1:142" ht="28.8" x14ac:dyDescent="0.3">
      <c r="A516" s="29" t="s">
        <v>1669</v>
      </c>
      <c r="B516" s="29"/>
      <c r="C516" s="30">
        <v>1173</v>
      </c>
      <c r="D516" s="30">
        <v>0</v>
      </c>
      <c r="E516" s="30">
        <v>0</v>
      </c>
      <c r="F516" s="30">
        <v>1354</v>
      </c>
      <c r="H516" s="2">
        <f t="shared" si="219"/>
        <v>1354</v>
      </c>
      <c r="I516" s="1">
        <f t="shared" si="220"/>
        <v>1.1543052003410059</v>
      </c>
      <c r="J516" s="31">
        <v>12000</v>
      </c>
      <c r="K516" s="31">
        <v>918</v>
      </c>
      <c r="L516" s="31">
        <v>12918</v>
      </c>
      <c r="M516" s="45">
        <f t="shared" ref="M516:M558" si="221">L516/C516</f>
        <v>11.012787723785166</v>
      </c>
      <c r="N516" s="31">
        <v>1364</v>
      </c>
      <c r="O516" s="31">
        <v>0</v>
      </c>
      <c r="P516" s="31">
        <v>0</v>
      </c>
      <c r="Q516" s="31">
        <v>1364</v>
      </c>
      <c r="R516" s="45">
        <f t="shared" ref="R516:R558" si="222">Q516/C516</f>
        <v>1.1628303495311167</v>
      </c>
      <c r="S516" s="31">
        <v>3058</v>
      </c>
      <c r="T516" s="31">
        <v>17340</v>
      </c>
      <c r="U516" s="31">
        <v>2423</v>
      </c>
      <c r="V516" s="31">
        <v>19763</v>
      </c>
      <c r="W516" s="45">
        <f t="shared" ref="W516:W558" si="223">V516/C516</f>
        <v>16.848252344416029</v>
      </c>
      <c r="X516" s="4">
        <f t="shared" ref="X516:X558" si="224">L516/V516</f>
        <v>0.65364570156352786</v>
      </c>
      <c r="Y516" s="4">
        <f t="shared" ref="Y516:Y558" si="225">Q516/V516</f>
        <v>6.9017861660679053E-2</v>
      </c>
      <c r="Z516" s="4">
        <f t="shared" ref="Z516:Z558" si="226">S516/V516</f>
        <v>0.15473359307797399</v>
      </c>
      <c r="AA516" s="4">
        <f t="shared" ref="AA516:AA558" si="227">U516/V516</f>
        <v>0.12260284369781915</v>
      </c>
      <c r="AB516" s="31">
        <v>3642</v>
      </c>
      <c r="AC516" s="31">
        <v>364</v>
      </c>
      <c r="AD516" s="31">
        <v>17763</v>
      </c>
      <c r="AE516" s="31">
        <v>13423</v>
      </c>
      <c r="AF516" s="31">
        <v>11000</v>
      </c>
      <c r="AG516" s="31">
        <v>0</v>
      </c>
      <c r="AH516" s="31">
        <v>0</v>
      </c>
      <c r="AI516" s="31">
        <v>11000</v>
      </c>
      <c r="AJ516" s="45">
        <f t="shared" ref="AJ516:AJ558" si="228">AI516/C516</f>
        <v>9.3776641091219091</v>
      </c>
      <c r="AK516" s="31">
        <v>0</v>
      </c>
      <c r="AL516" s="31">
        <v>0</v>
      </c>
      <c r="AM516" s="31">
        <v>0</v>
      </c>
      <c r="AN516" s="31">
        <v>0</v>
      </c>
      <c r="AO516" s="31">
        <v>4500</v>
      </c>
      <c r="AP516" s="31">
        <v>1609</v>
      </c>
      <c r="AQ516" s="31">
        <v>6109</v>
      </c>
      <c r="AR516" s="31">
        <v>17109</v>
      </c>
      <c r="AS516" s="46">
        <f t="shared" ref="AS516:AS558" si="229">AR516/C516</f>
        <v>14.585677749360613</v>
      </c>
      <c r="AT516" s="31">
        <v>0</v>
      </c>
      <c r="AU516" s="31">
        <v>0</v>
      </c>
      <c r="AV516" s="31">
        <v>0</v>
      </c>
      <c r="AW516" s="31">
        <v>0</v>
      </c>
      <c r="AX516" s="31">
        <v>0</v>
      </c>
      <c r="AY516" s="31">
        <v>0</v>
      </c>
      <c r="AZ516" s="31">
        <v>0</v>
      </c>
      <c r="BA516" s="31">
        <v>3600</v>
      </c>
      <c r="BB516" s="31">
        <v>3600</v>
      </c>
      <c r="BC516" s="33" t="s">
        <v>25</v>
      </c>
      <c r="BD516" s="47">
        <v>10580</v>
      </c>
      <c r="BE516" s="47">
        <v>10588</v>
      </c>
      <c r="BF516" s="45">
        <f t="shared" ref="BF516:BF558" si="230">BE516/C516</f>
        <v>9.0264279624893433</v>
      </c>
      <c r="BG516" s="30">
        <v>89</v>
      </c>
      <c r="BH516" s="30">
        <v>114</v>
      </c>
      <c r="BI516" s="30">
        <v>0</v>
      </c>
      <c r="BJ516" s="30">
        <v>287</v>
      </c>
      <c r="BK516" s="30">
        <v>324</v>
      </c>
      <c r="BL516" s="30">
        <v>0</v>
      </c>
      <c r="BM516" s="30">
        <v>154</v>
      </c>
      <c r="BN516" s="30">
        <v>0</v>
      </c>
      <c r="BO516" s="30">
        <v>51</v>
      </c>
      <c r="BP516" s="30">
        <v>0</v>
      </c>
      <c r="BQ516" s="30">
        <v>51</v>
      </c>
      <c r="BR516" s="47">
        <v>10956</v>
      </c>
      <c r="BS516" s="47">
        <v>11180</v>
      </c>
      <c r="BT516" s="1">
        <f t="shared" ref="BT516:BT558" si="231">BS516/C516</f>
        <v>9.5311167945439053</v>
      </c>
      <c r="BU516" s="30">
        <v>1</v>
      </c>
      <c r="BV516" s="30">
        <v>0</v>
      </c>
      <c r="BW516" s="47">
        <v>320</v>
      </c>
      <c r="BX516" s="52">
        <f t="shared" ref="BX516:BX558" si="232">BW516/C516</f>
        <v>0.27280477408354648</v>
      </c>
      <c r="BY516" s="47">
        <v>2224</v>
      </c>
      <c r="BZ516" s="47">
        <v>0</v>
      </c>
      <c r="CA516" s="47">
        <v>6807</v>
      </c>
      <c r="CB516" s="47">
        <v>0</v>
      </c>
      <c r="CC516" s="47">
        <v>9031</v>
      </c>
      <c r="CD516" s="55">
        <f t="shared" ref="CD516:CD558" si="233">CC516/C516</f>
        <v>7.6990622335890881</v>
      </c>
      <c r="CE516" s="3">
        <f t="shared" ref="CE516:CE558" si="234">CC516/DB516</f>
        <v>12041.333333333334</v>
      </c>
      <c r="CF516" s="55">
        <f t="shared" ref="CF516:CF558" si="235">CC516/DX516</f>
        <v>5.0172222222222222</v>
      </c>
      <c r="CG516" s="55">
        <f t="shared" ref="CG516:CG558" si="236">CC516/CR516</f>
        <v>1.0089375488772203</v>
      </c>
      <c r="CH516" s="55">
        <f t="shared" ref="CH516:CH558" si="237">(BY516+CA516)/BS516</f>
        <v>0.80778175313059031</v>
      </c>
      <c r="CI516" s="30">
        <v>10</v>
      </c>
      <c r="CJ516" s="30">
        <v>2</v>
      </c>
      <c r="CK516" s="30">
        <v>13</v>
      </c>
      <c r="CL516" s="30">
        <v>25</v>
      </c>
      <c r="CM516" s="30">
        <v>227</v>
      </c>
      <c r="CN516" s="30">
        <v>12</v>
      </c>
      <c r="CO516" s="30">
        <v>208</v>
      </c>
      <c r="CP516" s="30">
        <v>447</v>
      </c>
      <c r="CQ516" s="1">
        <f t="shared" si="218"/>
        <v>0.38107416879795397</v>
      </c>
      <c r="CR516" s="47">
        <v>8951</v>
      </c>
      <c r="CS516" s="55">
        <f t="shared" ref="CS516:CS558" si="238">CR516/C516</f>
        <v>7.6308610400682015</v>
      </c>
      <c r="CT516" s="59">
        <v>2722</v>
      </c>
      <c r="CU516" s="29" t="s">
        <v>25</v>
      </c>
      <c r="CV516" s="29" t="s">
        <v>25</v>
      </c>
      <c r="CW516" s="29" t="s">
        <v>25</v>
      </c>
      <c r="CX516" s="35">
        <v>0</v>
      </c>
      <c r="CY516" s="49">
        <v>0</v>
      </c>
      <c r="CZ516" s="35">
        <v>0.75</v>
      </c>
      <c r="DA516" s="35">
        <v>0</v>
      </c>
      <c r="DB516" s="35">
        <v>0.75</v>
      </c>
      <c r="DC516" s="49">
        <f t="shared" ref="DC516:DC558" si="239">C516/DB516</f>
        <v>1564</v>
      </c>
      <c r="DD516" s="30">
        <v>2052</v>
      </c>
      <c r="DE516" s="31">
        <v>12000</v>
      </c>
      <c r="DF516" s="35">
        <v>30</v>
      </c>
      <c r="DG516" s="29" t="s">
        <v>25</v>
      </c>
      <c r="DH516" s="29" t="s">
        <v>25</v>
      </c>
      <c r="DI516" s="29" t="s">
        <v>25</v>
      </c>
      <c r="DJ516" s="47">
        <v>2</v>
      </c>
      <c r="DK516" s="47">
        <v>2</v>
      </c>
      <c r="DL516" s="47">
        <v>7</v>
      </c>
      <c r="DM516" s="47">
        <v>2035</v>
      </c>
      <c r="DN516" s="47">
        <v>2</v>
      </c>
      <c r="DO516" s="47">
        <v>1300</v>
      </c>
      <c r="DP516" s="29" t="s">
        <v>2028</v>
      </c>
      <c r="DQ516" s="47">
        <v>0</v>
      </c>
      <c r="DR516" s="47">
        <v>1800</v>
      </c>
      <c r="DS516" s="30">
        <v>50</v>
      </c>
      <c r="DT516" s="30">
        <v>35</v>
      </c>
      <c r="DU516" s="30">
        <v>35</v>
      </c>
      <c r="DV516" s="30">
        <v>35</v>
      </c>
      <c r="DX516" s="2">
        <f t="shared" ref="DX516:DX558" si="240">DR516+DW516</f>
        <v>1800</v>
      </c>
      <c r="DY516" s="33" t="s">
        <v>2186</v>
      </c>
      <c r="DZ516" s="33" t="s">
        <v>1670</v>
      </c>
      <c r="EA516" s="33" t="s">
        <v>2032</v>
      </c>
      <c r="EB516" s="33" t="s">
        <v>2027</v>
      </c>
      <c r="EC516" s="36">
        <v>567</v>
      </c>
      <c r="ED516" s="29" t="s">
        <v>1668</v>
      </c>
      <c r="EE516" s="29" t="s">
        <v>317</v>
      </c>
      <c r="EF516" s="37">
        <v>41548</v>
      </c>
      <c r="EG516" s="37">
        <v>41912</v>
      </c>
      <c r="EH516" s="29" t="s">
        <v>1668</v>
      </c>
      <c r="EI516" s="55">
        <f t="shared" ref="EI516:EI558" si="241">BY516/C516</f>
        <v>1.895993179880648</v>
      </c>
      <c r="EJ516" s="54">
        <f t="shared" ref="EJ516:EJ558" si="242">BZ516/C516</f>
        <v>0</v>
      </c>
      <c r="EK516" s="55">
        <f t="shared" ref="EK516:EK558" si="243">CA516/C516</f>
        <v>5.8030690537084402</v>
      </c>
      <c r="EL516" s="54">
        <f t="shared" ref="EL516:EL558" si="244">CB516/C516</f>
        <v>0</v>
      </c>
    </row>
    <row r="517" spans="1:142" ht="28.8" x14ac:dyDescent="0.3">
      <c r="A517" s="29" t="s">
        <v>2066</v>
      </c>
      <c r="B517" s="29"/>
      <c r="C517" s="30">
        <v>2650</v>
      </c>
      <c r="D517" s="30">
        <v>0</v>
      </c>
      <c r="E517" s="30">
        <v>0</v>
      </c>
      <c r="F517" s="30">
        <v>2600</v>
      </c>
      <c r="H517" s="2">
        <f t="shared" si="219"/>
        <v>2600</v>
      </c>
      <c r="I517" s="1">
        <f t="shared" si="220"/>
        <v>0.98113207547169812</v>
      </c>
      <c r="J517" s="31">
        <v>5421</v>
      </c>
      <c r="K517" s="31">
        <v>0</v>
      </c>
      <c r="L517" s="31">
        <v>5421</v>
      </c>
      <c r="M517" s="45">
        <f t="shared" si="221"/>
        <v>2.0456603773584905</v>
      </c>
      <c r="N517" s="31">
        <v>1828</v>
      </c>
      <c r="O517" s="31">
        <v>0</v>
      </c>
      <c r="P517" s="31">
        <v>0</v>
      </c>
      <c r="Q517" s="31">
        <v>1828</v>
      </c>
      <c r="R517" s="45">
        <f t="shared" si="222"/>
        <v>0.68981132075471696</v>
      </c>
      <c r="S517" s="31">
        <v>4401</v>
      </c>
      <c r="T517" s="31">
        <v>11650</v>
      </c>
      <c r="U517" s="31">
        <v>0</v>
      </c>
      <c r="V517" s="31">
        <v>11650</v>
      </c>
      <c r="W517" s="45">
        <f t="shared" si="223"/>
        <v>4.3962264150943398</v>
      </c>
      <c r="X517" s="4">
        <f t="shared" si="224"/>
        <v>0.46532188841201716</v>
      </c>
      <c r="Y517" s="4">
        <f t="shared" si="225"/>
        <v>0.15690987124463518</v>
      </c>
      <c r="Z517" s="4">
        <f t="shared" si="226"/>
        <v>0.37776824034334766</v>
      </c>
      <c r="AA517" s="4">
        <f t="shared" si="227"/>
        <v>0</v>
      </c>
      <c r="AB517" s="31">
        <v>0</v>
      </c>
      <c r="AC517" s="31">
        <v>1828</v>
      </c>
      <c r="AD517" s="31">
        <v>11649</v>
      </c>
      <c r="AE517" s="31">
        <v>11649</v>
      </c>
      <c r="AF517" s="31">
        <v>11649</v>
      </c>
      <c r="AG517" s="31">
        <v>0</v>
      </c>
      <c r="AH517" s="31">
        <v>0</v>
      </c>
      <c r="AI517" s="31">
        <v>11649</v>
      </c>
      <c r="AJ517" s="45">
        <f t="shared" si="228"/>
        <v>4.3958490566037733</v>
      </c>
      <c r="AK517" s="31">
        <v>0</v>
      </c>
      <c r="AL517" s="31">
        <v>0</v>
      </c>
      <c r="AM517" s="31">
        <v>0</v>
      </c>
      <c r="AN517" s="31">
        <v>0</v>
      </c>
      <c r="AO517" s="31">
        <v>1000</v>
      </c>
      <c r="AP517" s="31">
        <v>0</v>
      </c>
      <c r="AQ517" s="31">
        <v>1000</v>
      </c>
      <c r="AR517" s="31">
        <v>12649</v>
      </c>
      <c r="AS517" s="46">
        <f t="shared" si="229"/>
        <v>4.773207547169811</v>
      </c>
      <c r="AT517" s="31">
        <v>0</v>
      </c>
      <c r="AU517" s="31">
        <v>0</v>
      </c>
      <c r="AV517" s="31">
        <v>0</v>
      </c>
      <c r="AW517" s="31">
        <v>0</v>
      </c>
      <c r="AX517" s="31">
        <v>0</v>
      </c>
      <c r="AY517" s="31">
        <v>0</v>
      </c>
      <c r="AZ517" s="31">
        <v>0</v>
      </c>
      <c r="BA517" s="31">
        <v>0</v>
      </c>
      <c r="BB517" s="31">
        <v>0</v>
      </c>
      <c r="BC517" s="33" t="s">
        <v>25</v>
      </c>
      <c r="BD517" s="47">
        <v>13450</v>
      </c>
      <c r="BE517" s="47">
        <v>13960</v>
      </c>
      <c r="BF517" s="45">
        <f t="shared" si="230"/>
        <v>5.2679245283018865</v>
      </c>
      <c r="BG517" s="30">
        <v>55</v>
      </c>
      <c r="BH517" s="30">
        <v>55</v>
      </c>
      <c r="BI517" s="30">
        <v>0</v>
      </c>
      <c r="BJ517" s="30">
        <v>2010</v>
      </c>
      <c r="BK517" s="30">
        <v>2010</v>
      </c>
      <c r="BL517" s="30">
        <v>0</v>
      </c>
      <c r="BM517" s="30">
        <v>0</v>
      </c>
      <c r="BN517" s="30">
        <v>0</v>
      </c>
      <c r="BO517" s="30">
        <v>0</v>
      </c>
      <c r="BP517" s="30">
        <v>1</v>
      </c>
      <c r="BQ517" s="30">
        <v>1</v>
      </c>
      <c r="BR517" s="47">
        <v>15515</v>
      </c>
      <c r="BS517" s="47">
        <v>16025</v>
      </c>
      <c r="BT517" s="1">
        <f t="shared" si="231"/>
        <v>6.0471698113207548</v>
      </c>
      <c r="BU517" s="30">
        <v>0</v>
      </c>
      <c r="BV517" s="30">
        <v>0</v>
      </c>
      <c r="BW517" s="47">
        <v>260</v>
      </c>
      <c r="BX517" s="52">
        <f t="shared" si="232"/>
        <v>9.8113207547169817E-2</v>
      </c>
      <c r="BY517" s="47">
        <v>734</v>
      </c>
      <c r="BZ517" s="47">
        <v>0</v>
      </c>
      <c r="CA517" s="47">
        <v>3106</v>
      </c>
      <c r="CB517" s="47">
        <v>0</v>
      </c>
      <c r="CC517" s="47">
        <v>3840</v>
      </c>
      <c r="CD517" s="55">
        <f t="shared" si="233"/>
        <v>1.4490566037735848</v>
      </c>
      <c r="CE517" s="3">
        <f t="shared" si="234"/>
        <v>4266.666666666667</v>
      </c>
      <c r="CF517" s="55">
        <f t="shared" si="235"/>
        <v>3.6923076923076925</v>
      </c>
      <c r="CG517" s="55">
        <f t="shared" si="236"/>
        <v>0.77403749244104014</v>
      </c>
      <c r="CH517" s="55">
        <f t="shared" si="237"/>
        <v>0.23962558502340095</v>
      </c>
      <c r="CI517" s="30">
        <v>38</v>
      </c>
      <c r="CJ517" s="30">
        <v>0</v>
      </c>
      <c r="CK517" s="30">
        <v>0</v>
      </c>
      <c r="CL517" s="30">
        <v>38</v>
      </c>
      <c r="CM517" s="30">
        <v>921</v>
      </c>
      <c r="CN517" s="30">
        <v>0</v>
      </c>
      <c r="CO517" s="30">
        <v>0</v>
      </c>
      <c r="CP517" s="30">
        <v>921</v>
      </c>
      <c r="CQ517" s="1">
        <f t="shared" ref="CQ517:CQ558" si="245">CP517/C517</f>
        <v>0.34754716981132078</v>
      </c>
      <c r="CR517" s="47">
        <v>4961</v>
      </c>
      <c r="CS517" s="55">
        <f t="shared" si="238"/>
        <v>1.8720754716981132</v>
      </c>
      <c r="CT517" s="59">
        <v>2698</v>
      </c>
      <c r="CU517" s="29" t="s">
        <v>25</v>
      </c>
      <c r="CV517" s="29" t="s">
        <v>25</v>
      </c>
      <c r="CW517" s="29" t="s">
        <v>25</v>
      </c>
      <c r="CX517" s="35">
        <v>0</v>
      </c>
      <c r="CY517" s="49">
        <v>0</v>
      </c>
      <c r="CZ517" s="35">
        <v>0</v>
      </c>
      <c r="DA517" s="35">
        <v>0.9</v>
      </c>
      <c r="DB517" s="35">
        <v>0.9</v>
      </c>
      <c r="DC517" s="49">
        <f t="shared" si="239"/>
        <v>2944.4444444444443</v>
      </c>
      <c r="DD517" s="30">
        <v>1100</v>
      </c>
      <c r="DE517" s="31">
        <v>7280</v>
      </c>
      <c r="DF517" s="35">
        <v>14</v>
      </c>
      <c r="DG517" s="29" t="s">
        <v>26</v>
      </c>
      <c r="DH517" s="29" t="s">
        <v>26</v>
      </c>
      <c r="DI517" s="29" t="s">
        <v>26</v>
      </c>
      <c r="DJ517" s="47">
        <v>0</v>
      </c>
      <c r="DK517" s="47">
        <v>0</v>
      </c>
      <c r="DL517" s="47">
        <v>2</v>
      </c>
      <c r="DM517" s="47">
        <v>352</v>
      </c>
      <c r="DN517" s="47">
        <v>0</v>
      </c>
      <c r="DO517" s="47">
        <v>352</v>
      </c>
      <c r="DP517" s="29" t="s">
        <v>2028</v>
      </c>
      <c r="DQ517" s="47">
        <v>0</v>
      </c>
      <c r="DR517" s="47">
        <v>1040</v>
      </c>
      <c r="DS517" s="30">
        <v>52</v>
      </c>
      <c r="DT517" s="30">
        <v>20</v>
      </c>
      <c r="DU517" s="30">
        <v>20</v>
      </c>
      <c r="DV517" s="30">
        <v>20</v>
      </c>
      <c r="DX517" s="2">
        <f t="shared" si="240"/>
        <v>1040</v>
      </c>
      <c r="DY517" s="33" t="s">
        <v>2182</v>
      </c>
      <c r="DZ517" s="33" t="s">
        <v>2193</v>
      </c>
      <c r="EA517" s="33" t="s">
        <v>2032</v>
      </c>
      <c r="EB517" s="33" t="s">
        <v>2026</v>
      </c>
      <c r="EC517" s="36">
        <v>631</v>
      </c>
      <c r="ED517" s="29" t="s">
        <v>2203</v>
      </c>
      <c r="EE517" s="29" t="s">
        <v>252</v>
      </c>
      <c r="EF517" s="37">
        <v>41640</v>
      </c>
      <c r="EG517" s="37">
        <v>42004</v>
      </c>
      <c r="EH517" s="29" t="s">
        <v>2203</v>
      </c>
      <c r="EI517" s="55">
        <f t="shared" si="241"/>
        <v>0.2769811320754717</v>
      </c>
      <c r="EJ517" s="54">
        <f t="shared" si="242"/>
        <v>0</v>
      </c>
      <c r="EK517" s="55">
        <f t="shared" si="243"/>
        <v>1.1720754716981132</v>
      </c>
      <c r="EL517" s="54">
        <f t="shared" si="244"/>
        <v>0</v>
      </c>
    </row>
    <row r="518" spans="1:142" ht="28.8" x14ac:dyDescent="0.3">
      <c r="A518" s="29" t="s">
        <v>1298</v>
      </c>
      <c r="B518" s="29"/>
      <c r="C518" s="30">
        <v>4690</v>
      </c>
      <c r="D518" s="30">
        <v>0</v>
      </c>
      <c r="E518" s="30">
        <v>0</v>
      </c>
      <c r="F518" s="30">
        <v>8000</v>
      </c>
      <c r="H518" s="2">
        <f t="shared" si="219"/>
        <v>8000</v>
      </c>
      <c r="I518" s="1">
        <f t="shared" si="220"/>
        <v>1.7057569296375266</v>
      </c>
      <c r="J518" s="31">
        <v>92573</v>
      </c>
      <c r="K518" s="31">
        <v>18485</v>
      </c>
      <c r="L518" s="31">
        <v>111058</v>
      </c>
      <c r="M518" s="45">
        <f t="shared" si="221"/>
        <v>23.679744136460556</v>
      </c>
      <c r="N518" s="31">
        <v>11498</v>
      </c>
      <c r="O518" s="31">
        <v>1900</v>
      </c>
      <c r="P518" s="31">
        <v>1701</v>
      </c>
      <c r="Q518" s="31">
        <v>15099</v>
      </c>
      <c r="R518" s="45">
        <f t="shared" si="222"/>
        <v>3.2194029850746269</v>
      </c>
      <c r="S518" s="31">
        <v>23372</v>
      </c>
      <c r="T518" s="31">
        <v>149529</v>
      </c>
      <c r="U518" s="31">
        <v>471</v>
      </c>
      <c r="V518" s="31">
        <v>150000</v>
      </c>
      <c r="W518" s="45">
        <f t="shared" si="223"/>
        <v>31.982942430703623</v>
      </c>
      <c r="X518" s="4">
        <f t="shared" si="224"/>
        <v>0.74038666666666664</v>
      </c>
      <c r="Y518" s="4">
        <f t="shared" si="225"/>
        <v>0.10066</v>
      </c>
      <c r="Z518" s="4">
        <f t="shared" si="226"/>
        <v>0.15581333333333333</v>
      </c>
      <c r="AA518" s="4">
        <f t="shared" si="227"/>
        <v>3.14E-3</v>
      </c>
      <c r="AB518" s="31">
        <v>0</v>
      </c>
      <c r="AC518" s="31">
        <v>15099</v>
      </c>
      <c r="AD518" s="31">
        <v>150000</v>
      </c>
      <c r="AE518" s="31">
        <v>150000</v>
      </c>
      <c r="AF518" s="31">
        <v>157008</v>
      </c>
      <c r="AG518" s="31">
        <v>2175</v>
      </c>
      <c r="AH518" s="31">
        <v>0</v>
      </c>
      <c r="AI518" s="31">
        <v>159183</v>
      </c>
      <c r="AJ518" s="45">
        <f t="shared" si="228"/>
        <v>33.940938166311298</v>
      </c>
      <c r="AK518" s="31">
        <v>0</v>
      </c>
      <c r="AL518" s="31">
        <v>0</v>
      </c>
      <c r="AM518" s="31">
        <v>0</v>
      </c>
      <c r="AN518" s="31">
        <v>0</v>
      </c>
      <c r="AO518" s="31">
        <v>0</v>
      </c>
      <c r="AP518" s="31">
        <v>8309</v>
      </c>
      <c r="AQ518" s="31">
        <v>8309</v>
      </c>
      <c r="AR518" s="31">
        <v>167492</v>
      </c>
      <c r="AS518" s="46">
        <f t="shared" si="229"/>
        <v>35.712579957356077</v>
      </c>
      <c r="AT518" s="31">
        <v>0</v>
      </c>
      <c r="AU518" s="31">
        <v>0</v>
      </c>
      <c r="AV518" s="31">
        <v>0</v>
      </c>
      <c r="AW518" s="31">
        <v>0</v>
      </c>
      <c r="AX518" s="31">
        <v>0</v>
      </c>
      <c r="AY518" s="31">
        <v>0</v>
      </c>
      <c r="AZ518" s="31">
        <v>0</v>
      </c>
      <c r="BA518" s="31">
        <v>0</v>
      </c>
      <c r="BB518" s="31">
        <v>0</v>
      </c>
      <c r="BC518" s="33" t="s">
        <v>25</v>
      </c>
      <c r="BD518" s="47">
        <v>22450</v>
      </c>
      <c r="BE518" s="47">
        <v>22874</v>
      </c>
      <c r="BF518" s="45">
        <f t="shared" si="230"/>
        <v>4.8771855010660978</v>
      </c>
      <c r="BG518" s="30">
        <v>628</v>
      </c>
      <c r="BH518" s="30">
        <v>636</v>
      </c>
      <c r="BI518" s="30">
        <v>1</v>
      </c>
      <c r="BJ518" s="30">
        <v>1621</v>
      </c>
      <c r="BK518" s="30">
        <v>1654</v>
      </c>
      <c r="BL518" s="30">
        <v>0</v>
      </c>
      <c r="BM518" s="30">
        <v>247</v>
      </c>
      <c r="BN518" s="30">
        <v>1</v>
      </c>
      <c r="BO518" s="30">
        <v>51</v>
      </c>
      <c r="BP518" s="30">
        <v>0</v>
      </c>
      <c r="BQ518" s="30">
        <v>52</v>
      </c>
      <c r="BR518" s="47">
        <v>24699</v>
      </c>
      <c r="BS518" s="47">
        <v>25413</v>
      </c>
      <c r="BT518" s="1">
        <f t="shared" si="231"/>
        <v>5.4185501066098078</v>
      </c>
      <c r="BU518" s="30">
        <v>12</v>
      </c>
      <c r="BV518" s="30">
        <v>0</v>
      </c>
      <c r="BW518" s="47">
        <v>3580</v>
      </c>
      <c r="BX518" s="52">
        <f t="shared" si="232"/>
        <v>0.76332622601279321</v>
      </c>
      <c r="BY518" s="47">
        <v>10993</v>
      </c>
      <c r="BZ518" s="47">
        <v>22</v>
      </c>
      <c r="CA518" s="47">
        <v>20516</v>
      </c>
      <c r="CB518" s="47">
        <v>91</v>
      </c>
      <c r="CC518" s="47">
        <v>31622</v>
      </c>
      <c r="CD518" s="55">
        <f t="shared" si="233"/>
        <v>6.7424307036247333</v>
      </c>
      <c r="CE518" s="3">
        <f t="shared" si="234"/>
        <v>20077.460317460318</v>
      </c>
      <c r="CF518" s="55">
        <f t="shared" si="235"/>
        <v>16.538702928870293</v>
      </c>
      <c r="CG518" s="55">
        <f t="shared" si="236"/>
        <v>1.2951343381389253</v>
      </c>
      <c r="CH518" s="55">
        <f t="shared" si="237"/>
        <v>1.2398772281902963</v>
      </c>
      <c r="CI518" s="30">
        <v>123</v>
      </c>
      <c r="CJ518" s="30">
        <v>66</v>
      </c>
      <c r="CK518" s="30">
        <v>24</v>
      </c>
      <c r="CL518" s="30">
        <v>213</v>
      </c>
      <c r="CM518" s="30">
        <v>1844</v>
      </c>
      <c r="CN518" s="30">
        <v>960</v>
      </c>
      <c r="CO518" s="30">
        <v>233</v>
      </c>
      <c r="CP518" s="30">
        <v>3037</v>
      </c>
      <c r="CQ518" s="1">
        <f t="shared" si="245"/>
        <v>0.64754797441364609</v>
      </c>
      <c r="CR518" s="47">
        <v>24416</v>
      </c>
      <c r="CS518" s="55">
        <f t="shared" si="238"/>
        <v>5.2059701492537309</v>
      </c>
      <c r="CT518" s="59">
        <v>1075</v>
      </c>
      <c r="CU518" s="29" t="s">
        <v>25</v>
      </c>
      <c r="CV518" s="29" t="s">
        <v>25</v>
      </c>
      <c r="CW518" s="29" t="s">
        <v>25</v>
      </c>
      <c r="CX518" s="35">
        <v>0</v>
      </c>
      <c r="CY518" s="49">
        <v>0</v>
      </c>
      <c r="CZ518" s="35">
        <v>1</v>
      </c>
      <c r="DA518" s="35">
        <v>0.57499999999999996</v>
      </c>
      <c r="DB518" s="35">
        <v>1.575</v>
      </c>
      <c r="DC518" s="49">
        <f t="shared" si="239"/>
        <v>2977.7777777777778</v>
      </c>
      <c r="DD518" s="30">
        <v>301</v>
      </c>
      <c r="DE518" s="31">
        <v>42000</v>
      </c>
      <c r="DF518" s="35">
        <v>40</v>
      </c>
      <c r="DG518" s="29" t="s">
        <v>25</v>
      </c>
      <c r="DH518" s="29" t="s">
        <v>25</v>
      </c>
      <c r="DI518" s="29" t="s">
        <v>25</v>
      </c>
      <c r="DJ518" s="47">
        <v>69</v>
      </c>
      <c r="DK518" s="47">
        <v>54</v>
      </c>
      <c r="DL518" s="47">
        <v>16</v>
      </c>
      <c r="DM518" s="47">
        <v>3826</v>
      </c>
      <c r="DN518" s="47">
        <v>62</v>
      </c>
      <c r="DO518" s="47">
        <v>0</v>
      </c>
      <c r="DP518" s="29" t="s">
        <v>2028</v>
      </c>
      <c r="DQ518" s="47">
        <v>0</v>
      </c>
      <c r="DR518" s="47">
        <v>1912</v>
      </c>
      <c r="DS518" s="30">
        <v>52</v>
      </c>
      <c r="DT518" s="30">
        <v>38</v>
      </c>
      <c r="DU518" s="30">
        <v>38</v>
      </c>
      <c r="DV518" s="30">
        <v>38</v>
      </c>
      <c r="DX518" s="2">
        <f t="shared" si="240"/>
        <v>1912</v>
      </c>
      <c r="DY518" s="33" t="s">
        <v>2182</v>
      </c>
      <c r="DZ518" s="33" t="s">
        <v>1299</v>
      </c>
      <c r="EA518" s="33" t="s">
        <v>2030</v>
      </c>
      <c r="EB518" s="33" t="s">
        <v>2027</v>
      </c>
      <c r="EC518" s="36">
        <v>393</v>
      </c>
      <c r="ED518" s="29" t="s">
        <v>1297</v>
      </c>
      <c r="EE518" s="29" t="s">
        <v>421</v>
      </c>
      <c r="EF518" s="37">
        <v>41548</v>
      </c>
      <c r="EG518" s="37">
        <v>41912</v>
      </c>
      <c r="EH518" s="29" t="s">
        <v>1297</v>
      </c>
      <c r="EI518" s="55">
        <f t="shared" si="241"/>
        <v>2.3439232409381665</v>
      </c>
      <c r="EJ518" s="54">
        <f t="shared" si="242"/>
        <v>4.690831556503198E-3</v>
      </c>
      <c r="EK518" s="55">
        <f t="shared" si="243"/>
        <v>4.3744136460554373</v>
      </c>
      <c r="EL518" s="54">
        <f t="shared" si="244"/>
        <v>1.9402985074626865E-2</v>
      </c>
    </row>
    <row r="519" spans="1:142" ht="28.8" x14ac:dyDescent="0.3">
      <c r="A519" s="29" t="s">
        <v>1302</v>
      </c>
      <c r="B519" s="29"/>
      <c r="C519" s="30">
        <v>2277</v>
      </c>
      <c r="D519" s="30">
        <v>0</v>
      </c>
      <c r="E519" s="30">
        <v>0</v>
      </c>
      <c r="F519" s="30">
        <v>5000</v>
      </c>
      <c r="H519" s="2">
        <f t="shared" si="219"/>
        <v>5000</v>
      </c>
      <c r="I519" s="1">
        <f t="shared" si="220"/>
        <v>2.1958717610891525</v>
      </c>
      <c r="J519" s="31">
        <v>60091</v>
      </c>
      <c r="K519" s="31">
        <v>20559</v>
      </c>
      <c r="L519" s="31">
        <v>80650</v>
      </c>
      <c r="M519" s="45">
        <f t="shared" si="221"/>
        <v>35.419411506368029</v>
      </c>
      <c r="N519" s="31">
        <v>6584</v>
      </c>
      <c r="O519" s="31">
        <v>0</v>
      </c>
      <c r="P519" s="31">
        <v>1015</v>
      </c>
      <c r="Q519" s="31">
        <v>7599</v>
      </c>
      <c r="R519" s="45">
        <f t="shared" si="222"/>
        <v>3.3372859025032939</v>
      </c>
      <c r="S519" s="31">
        <v>21637</v>
      </c>
      <c r="T519" s="31">
        <v>109886</v>
      </c>
      <c r="U519" s="31">
        <v>0</v>
      </c>
      <c r="V519" s="31">
        <v>109886</v>
      </c>
      <c r="W519" s="45">
        <f t="shared" si="223"/>
        <v>48.259112867808518</v>
      </c>
      <c r="X519" s="4">
        <f t="shared" si="224"/>
        <v>0.73394244944760934</v>
      </c>
      <c r="Y519" s="4">
        <f t="shared" si="225"/>
        <v>6.9153486340389134E-2</v>
      </c>
      <c r="Z519" s="4">
        <f t="shared" si="226"/>
        <v>0.19690406421200152</v>
      </c>
      <c r="AA519" s="4">
        <f t="shared" si="227"/>
        <v>0</v>
      </c>
      <c r="AB519" s="31">
        <v>0</v>
      </c>
      <c r="AC519" s="31">
        <v>7599</v>
      </c>
      <c r="AD519" s="31">
        <v>109885</v>
      </c>
      <c r="AE519" s="31">
        <v>109885</v>
      </c>
      <c r="AF519" s="31">
        <v>72800</v>
      </c>
      <c r="AG519" s="31">
        <v>42000</v>
      </c>
      <c r="AH519" s="31">
        <v>0</v>
      </c>
      <c r="AI519" s="31">
        <v>114800</v>
      </c>
      <c r="AJ519" s="45">
        <f t="shared" si="228"/>
        <v>50.41721563460694</v>
      </c>
      <c r="AK519" s="31">
        <v>0</v>
      </c>
      <c r="AL519" s="31">
        <v>0</v>
      </c>
      <c r="AM519" s="31">
        <v>0</v>
      </c>
      <c r="AN519" s="31">
        <v>0</v>
      </c>
      <c r="AO519" s="31">
        <v>0</v>
      </c>
      <c r="AP519" s="31">
        <v>1941</v>
      </c>
      <c r="AQ519" s="31">
        <v>1941</v>
      </c>
      <c r="AR519" s="31">
        <v>116741</v>
      </c>
      <c r="AS519" s="46">
        <f t="shared" si="229"/>
        <v>51.269653052261745</v>
      </c>
      <c r="AT519" s="31">
        <v>0</v>
      </c>
      <c r="AU519" s="31">
        <v>0</v>
      </c>
      <c r="AV519" s="31">
        <v>0</v>
      </c>
      <c r="AW519" s="31">
        <v>0</v>
      </c>
      <c r="AX519" s="31">
        <v>0</v>
      </c>
      <c r="AY519" s="31">
        <v>0</v>
      </c>
      <c r="AZ519" s="31">
        <v>0</v>
      </c>
      <c r="BA519" s="31">
        <v>0</v>
      </c>
      <c r="BB519" s="31">
        <v>0</v>
      </c>
      <c r="BC519" s="33" t="s">
        <v>25</v>
      </c>
      <c r="BD519" s="47">
        <v>18613</v>
      </c>
      <c r="BE519" s="47">
        <v>19106</v>
      </c>
      <c r="BF519" s="45">
        <f t="shared" si="230"/>
        <v>8.3908651734738697</v>
      </c>
      <c r="BG519" s="30">
        <v>484</v>
      </c>
      <c r="BH519" s="30">
        <v>484</v>
      </c>
      <c r="BI519" s="30">
        <v>0</v>
      </c>
      <c r="BJ519" s="30">
        <v>944</v>
      </c>
      <c r="BK519" s="30">
        <v>944</v>
      </c>
      <c r="BL519" s="30">
        <v>0</v>
      </c>
      <c r="BM519" s="30">
        <v>0</v>
      </c>
      <c r="BN519" s="30">
        <v>0</v>
      </c>
      <c r="BO519" s="30">
        <v>0</v>
      </c>
      <c r="BP519" s="30">
        <v>0</v>
      </c>
      <c r="BQ519" s="30">
        <v>0</v>
      </c>
      <c r="BR519" s="47">
        <v>20041</v>
      </c>
      <c r="BS519" s="47">
        <v>20534</v>
      </c>
      <c r="BT519" s="1">
        <f t="shared" si="231"/>
        <v>9.0180061484409304</v>
      </c>
      <c r="BU519" s="30">
        <v>31</v>
      </c>
      <c r="BV519" s="30">
        <v>0</v>
      </c>
      <c r="BW519" s="47">
        <v>1813</v>
      </c>
      <c r="BX519" s="52">
        <f t="shared" si="232"/>
        <v>0.79622310057092671</v>
      </c>
      <c r="BY519" s="47">
        <v>1057</v>
      </c>
      <c r="BZ519" s="47">
        <v>0</v>
      </c>
      <c r="CA519" s="47">
        <v>2535</v>
      </c>
      <c r="CB519" s="47">
        <v>0</v>
      </c>
      <c r="CC519" s="47">
        <v>3592</v>
      </c>
      <c r="CD519" s="55">
        <f t="shared" si="233"/>
        <v>1.5775142731664471</v>
      </c>
      <c r="CE519" s="3">
        <f t="shared" si="234"/>
        <v>1796</v>
      </c>
      <c r="CF519" s="55">
        <f t="shared" si="235"/>
        <v>1.8592132505175984</v>
      </c>
      <c r="CG519" s="55">
        <f t="shared" si="236"/>
        <v>0.66753391562906528</v>
      </c>
      <c r="CH519" s="55">
        <f t="shared" si="237"/>
        <v>0.17492938540956463</v>
      </c>
      <c r="CI519" s="30">
        <v>6</v>
      </c>
      <c r="CJ519" s="30">
        <v>0</v>
      </c>
      <c r="CK519" s="30">
        <v>0</v>
      </c>
      <c r="CL519" s="30">
        <v>6</v>
      </c>
      <c r="CM519" s="30">
        <v>245</v>
      </c>
      <c r="CN519" s="30">
        <v>0</v>
      </c>
      <c r="CO519" s="30">
        <v>0</v>
      </c>
      <c r="CP519" s="30">
        <v>245</v>
      </c>
      <c r="CQ519" s="1">
        <f t="shared" si="245"/>
        <v>0.10759771629336846</v>
      </c>
      <c r="CR519" s="47">
        <v>5381</v>
      </c>
      <c r="CS519" s="55">
        <f t="shared" si="238"/>
        <v>2.3631971892841457</v>
      </c>
      <c r="CT519" s="59">
        <v>661</v>
      </c>
      <c r="CU519" s="29" t="s">
        <v>25</v>
      </c>
      <c r="CV519" s="29" t="s">
        <v>25</v>
      </c>
      <c r="CW519" s="29" t="s">
        <v>25</v>
      </c>
      <c r="CX519" s="35">
        <v>0</v>
      </c>
      <c r="CY519" s="49">
        <v>0</v>
      </c>
      <c r="CZ519" s="35">
        <v>1</v>
      </c>
      <c r="DA519" s="35">
        <v>1</v>
      </c>
      <c r="DB519" s="35">
        <v>2</v>
      </c>
      <c r="DC519" s="49">
        <f t="shared" si="239"/>
        <v>1138.5</v>
      </c>
      <c r="DD519" s="30">
        <v>3</v>
      </c>
      <c r="DE519" s="31">
        <v>35047</v>
      </c>
      <c r="DF519" s="35">
        <v>40</v>
      </c>
      <c r="DG519" s="29" t="s">
        <v>25</v>
      </c>
      <c r="DH519" s="29" t="s">
        <v>26</v>
      </c>
      <c r="DI519" s="29" t="s">
        <v>26</v>
      </c>
      <c r="DJ519" s="47">
        <v>0</v>
      </c>
      <c r="DK519" s="47">
        <v>0</v>
      </c>
      <c r="DL519" s="47">
        <v>8</v>
      </c>
      <c r="DM519" s="47">
        <v>2215</v>
      </c>
      <c r="DN519" s="47">
        <v>2</v>
      </c>
      <c r="DO519" s="47">
        <v>161</v>
      </c>
      <c r="DP519" s="29" t="s">
        <v>83</v>
      </c>
      <c r="DQ519" s="47">
        <v>0</v>
      </c>
      <c r="DR519" s="47">
        <v>1932</v>
      </c>
      <c r="DS519" s="30">
        <v>50</v>
      </c>
      <c r="DT519" s="30">
        <v>40</v>
      </c>
      <c r="DU519" s="30">
        <v>40</v>
      </c>
      <c r="DV519" s="30">
        <v>40</v>
      </c>
      <c r="DX519" s="2">
        <f t="shared" si="240"/>
        <v>1932</v>
      </c>
      <c r="DY519" s="33" t="s">
        <v>2183</v>
      </c>
      <c r="DZ519" s="33" t="s">
        <v>1303</v>
      </c>
      <c r="EA519" s="33" t="s">
        <v>2034</v>
      </c>
      <c r="EB519" s="33" t="s">
        <v>2027</v>
      </c>
      <c r="EC519" s="36">
        <v>394</v>
      </c>
      <c r="ED519" s="29" t="s">
        <v>1300</v>
      </c>
      <c r="EE519" s="29" t="s">
        <v>1301</v>
      </c>
      <c r="EF519" s="37">
        <v>41365</v>
      </c>
      <c r="EG519" s="37">
        <v>41729</v>
      </c>
      <c r="EH519" s="29" t="s">
        <v>1300</v>
      </c>
      <c r="EI519" s="55">
        <f t="shared" si="241"/>
        <v>0.46420729029424679</v>
      </c>
      <c r="EJ519" s="54">
        <f t="shared" si="242"/>
        <v>0</v>
      </c>
      <c r="EK519" s="55">
        <f t="shared" si="243"/>
        <v>1.1133069828722002</v>
      </c>
      <c r="EL519" s="54">
        <f t="shared" si="244"/>
        <v>0</v>
      </c>
    </row>
    <row r="520" spans="1:142" ht="28.8" x14ac:dyDescent="0.3">
      <c r="A520" s="29" t="s">
        <v>1463</v>
      </c>
      <c r="B520" s="29"/>
      <c r="C520" s="30">
        <v>2102</v>
      </c>
      <c r="D520" s="30">
        <v>0</v>
      </c>
      <c r="E520" s="30">
        <v>0</v>
      </c>
      <c r="F520" s="30">
        <v>2640</v>
      </c>
      <c r="H520" s="2">
        <f t="shared" si="219"/>
        <v>2640</v>
      </c>
      <c r="I520" s="1">
        <f t="shared" si="220"/>
        <v>1.2559467174119885</v>
      </c>
      <c r="J520" s="31">
        <v>5082</v>
      </c>
      <c r="K520" s="31">
        <v>918</v>
      </c>
      <c r="L520" s="31">
        <v>6000</v>
      </c>
      <c r="M520" s="45">
        <f t="shared" si="221"/>
        <v>2.8544243577545196</v>
      </c>
      <c r="N520" s="31">
        <v>5797</v>
      </c>
      <c r="O520" s="31">
        <v>0</v>
      </c>
      <c r="P520" s="31">
        <v>430</v>
      </c>
      <c r="Q520" s="31">
        <v>6227</v>
      </c>
      <c r="R520" s="45">
        <f t="shared" si="222"/>
        <v>2.9624167459562321</v>
      </c>
      <c r="S520" s="31">
        <v>20001</v>
      </c>
      <c r="T520" s="31">
        <v>32228</v>
      </c>
      <c r="U520" s="31">
        <v>0</v>
      </c>
      <c r="V520" s="31">
        <v>32228</v>
      </c>
      <c r="W520" s="45">
        <f t="shared" si="223"/>
        <v>15.332064700285443</v>
      </c>
      <c r="X520" s="4">
        <f t="shared" si="224"/>
        <v>0.18617351371478219</v>
      </c>
      <c r="Y520" s="4">
        <f t="shared" si="225"/>
        <v>0.19321707831699145</v>
      </c>
      <c r="Z520" s="4">
        <f t="shared" si="226"/>
        <v>0.62060940796822639</v>
      </c>
      <c r="AA520" s="4">
        <f t="shared" si="227"/>
        <v>0</v>
      </c>
      <c r="AB520" s="31">
        <v>0</v>
      </c>
      <c r="AC520" s="31">
        <v>6227</v>
      </c>
      <c r="AD520" s="31">
        <v>32228</v>
      </c>
      <c r="AE520" s="31">
        <v>17000</v>
      </c>
      <c r="AF520" s="31">
        <v>1000</v>
      </c>
      <c r="AG520" s="31">
        <v>15500</v>
      </c>
      <c r="AH520" s="31">
        <v>500</v>
      </c>
      <c r="AI520" s="31">
        <v>17000</v>
      </c>
      <c r="AJ520" s="45">
        <f t="shared" si="228"/>
        <v>8.0875356803044713</v>
      </c>
      <c r="AK520" s="31">
        <v>0</v>
      </c>
      <c r="AL520" s="31">
        <v>0</v>
      </c>
      <c r="AM520" s="31">
        <v>0</v>
      </c>
      <c r="AN520" s="31">
        <v>0</v>
      </c>
      <c r="AO520" s="31">
        <v>0</v>
      </c>
      <c r="AP520" s="31">
        <v>364</v>
      </c>
      <c r="AQ520" s="31">
        <v>364</v>
      </c>
      <c r="AR520" s="31">
        <v>17364</v>
      </c>
      <c r="AS520" s="46">
        <f t="shared" si="229"/>
        <v>8.2607040913415801</v>
      </c>
      <c r="AT520" s="31">
        <v>0</v>
      </c>
      <c r="AU520" s="31">
        <v>0</v>
      </c>
      <c r="AV520" s="31">
        <v>0</v>
      </c>
      <c r="AW520" s="31">
        <v>0</v>
      </c>
      <c r="AX520" s="31">
        <v>0</v>
      </c>
      <c r="AY520" s="31">
        <v>0</v>
      </c>
      <c r="AZ520" s="31">
        <v>0</v>
      </c>
      <c r="BA520" s="31">
        <v>0</v>
      </c>
      <c r="BB520" s="31">
        <v>0</v>
      </c>
      <c r="BC520" s="33" t="s">
        <v>25</v>
      </c>
      <c r="BD520" s="47">
        <v>16318</v>
      </c>
      <c r="BE520" s="47">
        <v>16515</v>
      </c>
      <c r="BF520" s="45">
        <f t="shared" si="230"/>
        <v>7.8568030447193147</v>
      </c>
      <c r="BG520" s="30">
        <v>190</v>
      </c>
      <c r="BH520" s="30">
        <v>191</v>
      </c>
      <c r="BI520" s="30">
        <v>0</v>
      </c>
      <c r="BJ520" s="30">
        <v>110</v>
      </c>
      <c r="BK520" s="30">
        <v>159</v>
      </c>
      <c r="BL520" s="30">
        <v>0</v>
      </c>
      <c r="BM520" s="30">
        <v>0</v>
      </c>
      <c r="BN520" s="30">
        <v>0</v>
      </c>
      <c r="BO520" s="30">
        <v>51</v>
      </c>
      <c r="BP520" s="30">
        <v>93</v>
      </c>
      <c r="BQ520" s="30">
        <v>144</v>
      </c>
      <c r="BR520" s="47">
        <v>16618</v>
      </c>
      <c r="BS520" s="47">
        <v>16865</v>
      </c>
      <c r="BT520" s="1">
        <f t="shared" si="231"/>
        <v>8.0233111322549959</v>
      </c>
      <c r="BU520" s="30">
        <v>28</v>
      </c>
      <c r="BV520" s="30">
        <v>0</v>
      </c>
      <c r="BW520" s="47">
        <v>31</v>
      </c>
      <c r="BX520" s="52">
        <f t="shared" si="232"/>
        <v>1.4747859181731684E-2</v>
      </c>
      <c r="BY520" s="47">
        <v>759</v>
      </c>
      <c r="BZ520" s="47">
        <v>0</v>
      </c>
      <c r="CA520" s="47">
        <v>1794</v>
      </c>
      <c r="CB520" s="47">
        <v>0</v>
      </c>
      <c r="CC520" s="47">
        <v>2553</v>
      </c>
      <c r="CD520" s="55">
        <f t="shared" si="233"/>
        <v>1.2145575642245481</v>
      </c>
      <c r="CE520" s="3">
        <f t="shared" si="234"/>
        <v>4641.8181818181811</v>
      </c>
      <c r="CF520" s="55">
        <f t="shared" si="235"/>
        <v>2.2794642857142855</v>
      </c>
      <c r="CG520" s="55">
        <f t="shared" si="236"/>
        <v>0.69488296135002725</v>
      </c>
      <c r="CH520" s="55">
        <f t="shared" si="237"/>
        <v>0.15137859472279869</v>
      </c>
      <c r="CI520" s="30">
        <v>4</v>
      </c>
      <c r="CJ520" s="30">
        <v>0</v>
      </c>
      <c r="CK520" s="30">
        <v>0</v>
      </c>
      <c r="CL520" s="30">
        <v>4</v>
      </c>
      <c r="CM520" s="30">
        <v>63</v>
      </c>
      <c r="CN520" s="30">
        <v>0</v>
      </c>
      <c r="CO520" s="30">
        <v>0</v>
      </c>
      <c r="CP520" s="30">
        <v>63</v>
      </c>
      <c r="CQ520" s="1">
        <f t="shared" si="245"/>
        <v>2.9971455756422453E-2</v>
      </c>
      <c r="CR520" s="47">
        <v>3674</v>
      </c>
      <c r="CS520" s="55">
        <f t="shared" si="238"/>
        <v>1.7478591817316842</v>
      </c>
      <c r="CT520" s="59">
        <v>640</v>
      </c>
      <c r="CU520" s="29" t="s">
        <v>25</v>
      </c>
      <c r="CV520" s="29" t="s">
        <v>25</v>
      </c>
      <c r="CW520" s="29" t="s">
        <v>25</v>
      </c>
      <c r="CX520" s="35">
        <v>0</v>
      </c>
      <c r="CY520" s="49">
        <v>0</v>
      </c>
      <c r="CZ520" s="35">
        <v>0.55000000000000004</v>
      </c>
      <c r="DA520" s="35">
        <v>0</v>
      </c>
      <c r="DB520" s="35">
        <v>0.55000000000000004</v>
      </c>
      <c r="DC520" s="49">
        <f t="shared" si="239"/>
        <v>3821.8181818181815</v>
      </c>
      <c r="DD520" s="30">
        <v>148</v>
      </c>
      <c r="DE520" s="31">
        <v>6000</v>
      </c>
      <c r="DF520" s="35">
        <v>22</v>
      </c>
      <c r="DG520" s="29" t="s">
        <v>25</v>
      </c>
      <c r="DH520" s="29" t="s">
        <v>25</v>
      </c>
      <c r="DI520" s="29" t="s">
        <v>25</v>
      </c>
      <c r="DJ520" s="47">
        <v>6</v>
      </c>
      <c r="DK520" s="47">
        <v>45</v>
      </c>
      <c r="DL520" s="47">
        <v>4</v>
      </c>
      <c r="DM520" s="47">
        <v>286</v>
      </c>
      <c r="DN520" s="47">
        <v>1</v>
      </c>
      <c r="DO520" s="47">
        <v>5</v>
      </c>
      <c r="DP520" s="29" t="s">
        <v>25</v>
      </c>
      <c r="DQ520" s="47">
        <v>761120</v>
      </c>
      <c r="DR520" s="47">
        <v>1120</v>
      </c>
      <c r="DS520" s="30">
        <v>52</v>
      </c>
      <c r="DT520" s="30">
        <v>22</v>
      </c>
      <c r="DU520" s="30">
        <v>22</v>
      </c>
      <c r="DV520" s="30">
        <v>22</v>
      </c>
      <c r="DX520" s="2">
        <f t="shared" si="240"/>
        <v>1120</v>
      </c>
      <c r="DY520" s="33" t="s">
        <v>2184</v>
      </c>
      <c r="DZ520" s="33" t="s">
        <v>1465</v>
      </c>
      <c r="EA520" s="33" t="s">
        <v>2031</v>
      </c>
      <c r="EB520" s="33" t="s">
        <v>2027</v>
      </c>
      <c r="EC520" s="36">
        <v>463</v>
      </c>
      <c r="ED520" s="29" t="s">
        <v>1464</v>
      </c>
      <c r="EE520" s="29" t="s">
        <v>586</v>
      </c>
      <c r="EF520" s="37">
        <v>41548</v>
      </c>
      <c r="EG520" s="37">
        <v>41912</v>
      </c>
      <c r="EH520" s="29" t="s">
        <v>1464</v>
      </c>
      <c r="EI520" s="55">
        <f t="shared" si="241"/>
        <v>0.36108468125594673</v>
      </c>
      <c r="EJ520" s="54">
        <f t="shared" si="242"/>
        <v>0</v>
      </c>
      <c r="EK520" s="55">
        <f t="shared" si="243"/>
        <v>0.85347288296860135</v>
      </c>
      <c r="EL520" s="54">
        <f t="shared" si="244"/>
        <v>0</v>
      </c>
    </row>
    <row r="521" spans="1:142" ht="57.6" x14ac:dyDescent="0.3">
      <c r="A521" s="29" t="s">
        <v>1654</v>
      </c>
      <c r="B521" s="29"/>
      <c r="C521" s="30">
        <v>9804</v>
      </c>
      <c r="D521" s="30">
        <v>0</v>
      </c>
      <c r="E521" s="30">
        <v>0</v>
      </c>
      <c r="F521" s="30">
        <v>3072</v>
      </c>
      <c r="H521" s="2">
        <f t="shared" si="219"/>
        <v>3072</v>
      </c>
      <c r="I521" s="1">
        <f t="shared" si="220"/>
        <v>0.31334149326805383</v>
      </c>
      <c r="J521" s="31">
        <v>82260</v>
      </c>
      <c r="K521" s="31">
        <v>4034</v>
      </c>
      <c r="L521" s="31">
        <v>86294</v>
      </c>
      <c r="M521" s="45">
        <f t="shared" si="221"/>
        <v>8.8019175846593232</v>
      </c>
      <c r="N521" s="31">
        <v>10069</v>
      </c>
      <c r="O521" s="31">
        <v>2875</v>
      </c>
      <c r="P521" s="31">
        <v>2434</v>
      </c>
      <c r="Q521" s="31">
        <v>15378</v>
      </c>
      <c r="R521" s="45">
        <f t="shared" si="222"/>
        <v>1.5685434516523868</v>
      </c>
      <c r="S521" s="31">
        <v>13787</v>
      </c>
      <c r="T521" s="31">
        <v>115459</v>
      </c>
      <c r="U521" s="31">
        <v>15586</v>
      </c>
      <c r="V521" s="31">
        <v>131045</v>
      </c>
      <c r="W521" s="45">
        <f t="shared" si="223"/>
        <v>13.366483068135455</v>
      </c>
      <c r="X521" s="4">
        <f t="shared" si="224"/>
        <v>0.65850661986340575</v>
      </c>
      <c r="Y521" s="4">
        <f t="shared" si="225"/>
        <v>0.11734900225113511</v>
      </c>
      <c r="Z521" s="4">
        <f t="shared" si="226"/>
        <v>0.10520813461024839</v>
      </c>
      <c r="AA521" s="4">
        <f t="shared" si="227"/>
        <v>0.11893624327521081</v>
      </c>
      <c r="AB521" s="31">
        <v>0</v>
      </c>
      <c r="AC521" s="31">
        <v>15378</v>
      </c>
      <c r="AD521" s="31">
        <v>131045</v>
      </c>
      <c r="AE521" s="31">
        <v>131045</v>
      </c>
      <c r="AF521" s="31">
        <v>1000</v>
      </c>
      <c r="AG521" s="31">
        <v>0</v>
      </c>
      <c r="AH521" s="31">
        <v>114459</v>
      </c>
      <c r="AI521" s="31">
        <v>115459</v>
      </c>
      <c r="AJ521" s="45">
        <f t="shared" si="228"/>
        <v>11.776723786209711</v>
      </c>
      <c r="AK521" s="31">
        <v>0</v>
      </c>
      <c r="AL521" s="31">
        <v>0</v>
      </c>
      <c r="AM521" s="31">
        <v>0</v>
      </c>
      <c r="AN521" s="31">
        <v>0</v>
      </c>
      <c r="AO521" s="31">
        <v>0</v>
      </c>
      <c r="AP521" s="31">
        <v>2283</v>
      </c>
      <c r="AQ521" s="31">
        <v>2283</v>
      </c>
      <c r="AR521" s="31">
        <v>117742</v>
      </c>
      <c r="AS521" s="46">
        <f t="shared" si="229"/>
        <v>12.009587923296614</v>
      </c>
      <c r="AT521" s="31">
        <v>0</v>
      </c>
      <c r="AU521" s="31">
        <v>0</v>
      </c>
      <c r="AV521" s="31">
        <v>0</v>
      </c>
      <c r="AW521" s="31">
        <v>0</v>
      </c>
      <c r="AX521" s="31">
        <v>0</v>
      </c>
      <c r="AY521" s="31">
        <v>0</v>
      </c>
      <c r="AZ521" s="31">
        <v>0</v>
      </c>
      <c r="BA521" s="31">
        <v>0</v>
      </c>
      <c r="BB521" s="31">
        <v>0</v>
      </c>
      <c r="BC521" s="33" t="s">
        <v>25</v>
      </c>
      <c r="BD521" s="47">
        <v>19182</v>
      </c>
      <c r="BE521" s="47">
        <v>20879</v>
      </c>
      <c r="BF521" s="45">
        <f t="shared" si="230"/>
        <v>2.1296409628722972</v>
      </c>
      <c r="BG521" s="30">
        <v>198</v>
      </c>
      <c r="BH521" s="30">
        <v>204</v>
      </c>
      <c r="BI521" s="30">
        <v>31</v>
      </c>
      <c r="BJ521" s="30">
        <v>1258</v>
      </c>
      <c r="BK521" s="30">
        <v>1276</v>
      </c>
      <c r="BL521" s="30">
        <v>0</v>
      </c>
      <c r="BM521" s="30">
        <v>317</v>
      </c>
      <c r="BN521" s="30">
        <v>4</v>
      </c>
      <c r="BO521" s="30">
        <v>51</v>
      </c>
      <c r="BP521" s="30">
        <v>0</v>
      </c>
      <c r="BQ521" s="30">
        <v>55</v>
      </c>
      <c r="BR521" s="47">
        <v>20638</v>
      </c>
      <c r="BS521" s="47">
        <v>22711</v>
      </c>
      <c r="BT521" s="1">
        <f t="shared" si="231"/>
        <v>2.316503467972256</v>
      </c>
      <c r="BU521" s="30">
        <v>23</v>
      </c>
      <c r="BV521" s="30">
        <v>0</v>
      </c>
      <c r="BW521" s="47">
        <v>27</v>
      </c>
      <c r="BX521" s="52">
        <f t="shared" si="232"/>
        <v>2.7539779681762548E-3</v>
      </c>
      <c r="BY521" s="47">
        <v>813</v>
      </c>
      <c r="BZ521" s="47">
        <v>13</v>
      </c>
      <c r="CA521" s="47">
        <v>3794</v>
      </c>
      <c r="CB521" s="47">
        <v>15</v>
      </c>
      <c r="CC521" s="47">
        <v>4635</v>
      </c>
      <c r="CD521" s="55">
        <f t="shared" si="233"/>
        <v>0.47276621787025702</v>
      </c>
      <c r="CE521" s="3">
        <f t="shared" si="234"/>
        <v>3708</v>
      </c>
      <c r="CF521" s="55">
        <f t="shared" si="235"/>
        <v>9.3825910931174086</v>
      </c>
      <c r="CG521" s="55">
        <f t="shared" si="236"/>
        <v>1.3357348703170029</v>
      </c>
      <c r="CH521" s="55">
        <f t="shared" si="237"/>
        <v>0.2028532429219321</v>
      </c>
      <c r="CI521" s="30">
        <v>6</v>
      </c>
      <c r="CJ521" s="30">
        <v>0</v>
      </c>
      <c r="CK521" s="30">
        <v>0</v>
      </c>
      <c r="CL521" s="30">
        <v>6</v>
      </c>
      <c r="CM521" s="30">
        <v>609</v>
      </c>
      <c r="CN521" s="30">
        <v>0</v>
      </c>
      <c r="CO521" s="30">
        <v>0</v>
      </c>
      <c r="CP521" s="30">
        <v>609</v>
      </c>
      <c r="CQ521" s="1">
        <f t="shared" si="245"/>
        <v>6.2117503059975522E-2</v>
      </c>
      <c r="CR521" s="47">
        <v>3470</v>
      </c>
      <c r="CS521" s="55">
        <f t="shared" si="238"/>
        <v>0.353937168502652</v>
      </c>
      <c r="CT521" s="59">
        <v>2055</v>
      </c>
      <c r="CU521" s="29" t="s">
        <v>25</v>
      </c>
      <c r="CV521" s="29" t="s">
        <v>25</v>
      </c>
      <c r="CW521" s="29" t="s">
        <v>25</v>
      </c>
      <c r="CX521" s="35">
        <v>1</v>
      </c>
      <c r="CY521" s="49">
        <f>C521/CX521</f>
        <v>9804</v>
      </c>
      <c r="CZ521" s="35">
        <v>0.25</v>
      </c>
      <c r="DA521" s="35">
        <v>0</v>
      </c>
      <c r="DB521" s="35">
        <v>1.25</v>
      </c>
      <c r="DC521" s="49">
        <f t="shared" si="239"/>
        <v>7843.2</v>
      </c>
      <c r="DD521" s="30">
        <v>15</v>
      </c>
      <c r="DE521" s="31">
        <v>62967</v>
      </c>
      <c r="DF521" s="35">
        <v>40</v>
      </c>
      <c r="DG521" s="29" t="s">
        <v>25</v>
      </c>
      <c r="DH521" s="29" t="s">
        <v>26</v>
      </c>
      <c r="DI521" s="29" t="s">
        <v>26</v>
      </c>
      <c r="DJ521" s="47">
        <v>0</v>
      </c>
      <c r="DK521" s="47">
        <v>28</v>
      </c>
      <c r="DL521" s="47">
        <v>30</v>
      </c>
      <c r="DM521" s="47">
        <v>1040</v>
      </c>
      <c r="DN521" s="47">
        <v>6</v>
      </c>
      <c r="DO521" s="47">
        <v>79</v>
      </c>
      <c r="DP521" s="29" t="s">
        <v>2028</v>
      </c>
      <c r="DQ521" s="47">
        <v>0</v>
      </c>
      <c r="DR521" s="47">
        <v>494</v>
      </c>
      <c r="DS521" s="30">
        <v>43</v>
      </c>
      <c r="DT521" s="30">
        <v>10</v>
      </c>
      <c r="DU521" s="30">
        <v>10</v>
      </c>
      <c r="DV521" s="30">
        <v>20</v>
      </c>
      <c r="DX521" s="2">
        <f t="shared" si="240"/>
        <v>494</v>
      </c>
      <c r="DY521" s="33" t="s">
        <v>2181</v>
      </c>
      <c r="DZ521" s="33" t="s">
        <v>1656</v>
      </c>
      <c r="EA521" s="33" t="s">
        <v>2035</v>
      </c>
      <c r="EB521" s="33" t="s">
        <v>2027</v>
      </c>
      <c r="EC521" s="36">
        <v>562</v>
      </c>
      <c r="ED521" s="29" t="s">
        <v>1655</v>
      </c>
      <c r="EE521" s="29" t="s">
        <v>236</v>
      </c>
      <c r="EF521" s="37">
        <v>41640</v>
      </c>
      <c r="EG521" s="37">
        <v>42004</v>
      </c>
      <c r="EH521" s="29" t="s">
        <v>1655</v>
      </c>
      <c r="EI521" s="55">
        <f t="shared" si="241"/>
        <v>8.292533659730722E-2</v>
      </c>
      <c r="EJ521" s="54">
        <f t="shared" si="242"/>
        <v>1.3259893920848633E-3</v>
      </c>
      <c r="EK521" s="55">
        <f t="shared" si="243"/>
        <v>0.38698490412076703</v>
      </c>
      <c r="EL521" s="54">
        <f t="shared" si="244"/>
        <v>1.5299877600979193E-3</v>
      </c>
    </row>
    <row r="522" spans="1:142" ht="28.8" x14ac:dyDescent="0.3">
      <c r="A522" s="29" t="s">
        <v>1304</v>
      </c>
      <c r="B522" s="29"/>
      <c r="C522" s="30">
        <v>13131</v>
      </c>
      <c r="D522" s="30">
        <v>0</v>
      </c>
      <c r="E522" s="30">
        <v>0</v>
      </c>
      <c r="F522" s="30">
        <v>12000</v>
      </c>
      <c r="H522" s="2">
        <f t="shared" si="219"/>
        <v>12000</v>
      </c>
      <c r="I522" s="1">
        <f t="shared" si="220"/>
        <v>0.91386794608179123</v>
      </c>
      <c r="J522" s="31">
        <v>74735</v>
      </c>
      <c r="K522" s="31">
        <v>5717</v>
      </c>
      <c r="L522" s="31">
        <v>80452</v>
      </c>
      <c r="M522" s="45">
        <f t="shared" si="221"/>
        <v>6.1268753331810224</v>
      </c>
      <c r="N522" s="31">
        <v>11712</v>
      </c>
      <c r="O522" s="31">
        <v>0</v>
      </c>
      <c r="P522" s="31">
        <v>2861</v>
      </c>
      <c r="Q522" s="31">
        <v>14573</v>
      </c>
      <c r="R522" s="45">
        <f t="shared" si="222"/>
        <v>1.109816464854162</v>
      </c>
      <c r="S522" s="31">
        <v>28517</v>
      </c>
      <c r="T522" s="31">
        <v>123542</v>
      </c>
      <c r="U522" s="31">
        <v>0</v>
      </c>
      <c r="V522" s="31">
        <v>123542</v>
      </c>
      <c r="W522" s="45">
        <f t="shared" si="223"/>
        <v>9.4084228162363868</v>
      </c>
      <c r="X522" s="4">
        <f t="shared" si="224"/>
        <v>0.65121173366142693</v>
      </c>
      <c r="Y522" s="4">
        <f t="shared" si="225"/>
        <v>0.11795988408800247</v>
      </c>
      <c r="Z522" s="4">
        <f t="shared" si="226"/>
        <v>0.23082838225057065</v>
      </c>
      <c r="AA522" s="4">
        <f t="shared" si="227"/>
        <v>0</v>
      </c>
      <c r="AB522" s="31">
        <v>0</v>
      </c>
      <c r="AC522" s="31">
        <v>14573</v>
      </c>
      <c r="AD522" s="31">
        <v>123542</v>
      </c>
      <c r="AE522" s="31">
        <v>113764</v>
      </c>
      <c r="AF522" s="31">
        <v>56884</v>
      </c>
      <c r="AG522" s="31">
        <v>56880</v>
      </c>
      <c r="AH522" s="31">
        <v>0</v>
      </c>
      <c r="AI522" s="31">
        <v>113764</v>
      </c>
      <c r="AJ522" s="45">
        <f t="shared" si="228"/>
        <v>8.6637727515040748</v>
      </c>
      <c r="AK522" s="31">
        <v>0</v>
      </c>
      <c r="AL522" s="31">
        <v>0</v>
      </c>
      <c r="AM522" s="31">
        <v>0</v>
      </c>
      <c r="AN522" s="31">
        <v>0</v>
      </c>
      <c r="AO522" s="31">
        <v>2500</v>
      </c>
      <c r="AP522" s="31">
        <v>8853</v>
      </c>
      <c r="AQ522" s="31">
        <v>11353</v>
      </c>
      <c r="AR522" s="31">
        <v>125117</v>
      </c>
      <c r="AS522" s="46">
        <f t="shared" si="229"/>
        <v>9.5283679841596225</v>
      </c>
      <c r="AT522" s="31">
        <v>0</v>
      </c>
      <c r="AU522" s="31">
        <v>0</v>
      </c>
      <c r="AV522" s="31">
        <v>0</v>
      </c>
      <c r="AW522" s="31">
        <v>0</v>
      </c>
      <c r="AX522" s="31">
        <v>0</v>
      </c>
      <c r="AY522" s="31">
        <v>0</v>
      </c>
      <c r="AZ522" s="31">
        <v>0</v>
      </c>
      <c r="BA522" s="31">
        <v>0</v>
      </c>
      <c r="BB522" s="31">
        <v>0</v>
      </c>
      <c r="BC522" s="33" t="s">
        <v>25</v>
      </c>
      <c r="BD522" s="47">
        <v>32000</v>
      </c>
      <c r="BE522" s="47">
        <v>32025</v>
      </c>
      <c r="BF522" s="45">
        <f t="shared" si="230"/>
        <v>2.4388850811057803</v>
      </c>
      <c r="BG522" s="30">
        <v>3100</v>
      </c>
      <c r="BH522" s="30">
        <v>3125</v>
      </c>
      <c r="BI522" s="30">
        <v>0</v>
      </c>
      <c r="BJ522" s="30">
        <v>1800</v>
      </c>
      <c r="BK522" s="30">
        <v>1810</v>
      </c>
      <c r="BL522" s="30">
        <v>0</v>
      </c>
      <c r="BM522" s="30">
        <v>0</v>
      </c>
      <c r="BN522" s="30">
        <v>0</v>
      </c>
      <c r="BO522" s="30">
        <v>51</v>
      </c>
      <c r="BP522" s="30">
        <v>0</v>
      </c>
      <c r="BQ522" s="30">
        <v>51</v>
      </c>
      <c r="BR522" s="47">
        <v>36900</v>
      </c>
      <c r="BS522" s="47">
        <v>36960</v>
      </c>
      <c r="BT522" s="1">
        <f t="shared" si="231"/>
        <v>2.8147132739319169</v>
      </c>
      <c r="BU522" s="30">
        <v>66</v>
      </c>
      <c r="BV522" s="30">
        <v>0</v>
      </c>
      <c r="BW522" s="47">
        <v>4000</v>
      </c>
      <c r="BX522" s="52">
        <f t="shared" si="232"/>
        <v>0.30462264869393041</v>
      </c>
      <c r="BY522" s="47">
        <v>14000</v>
      </c>
      <c r="BZ522" s="47">
        <v>0</v>
      </c>
      <c r="CA522" s="47">
        <v>31000</v>
      </c>
      <c r="CB522" s="47">
        <v>0</v>
      </c>
      <c r="CC522" s="47">
        <v>45000</v>
      </c>
      <c r="CD522" s="55">
        <f t="shared" si="233"/>
        <v>3.4270047978067169</v>
      </c>
      <c r="CE522" s="3">
        <f t="shared" si="234"/>
        <v>19780.219780219781</v>
      </c>
      <c r="CF522" s="55">
        <f t="shared" si="235"/>
        <v>27.108433734939759</v>
      </c>
      <c r="CG522" s="55">
        <f t="shared" si="236"/>
        <v>2.5</v>
      </c>
      <c r="CH522" s="55">
        <f t="shared" si="237"/>
        <v>1.2175324675324675</v>
      </c>
      <c r="CI522" s="30">
        <v>26</v>
      </c>
      <c r="CJ522" s="30">
        <v>0</v>
      </c>
      <c r="CK522" s="30">
        <v>6</v>
      </c>
      <c r="CL522" s="30">
        <v>32</v>
      </c>
      <c r="CM522" s="30">
        <v>1000</v>
      </c>
      <c r="CN522" s="30">
        <v>0</v>
      </c>
      <c r="CO522" s="30">
        <v>80</v>
      </c>
      <c r="CP522" s="30">
        <v>1080</v>
      </c>
      <c r="CQ522" s="1">
        <f t="shared" si="245"/>
        <v>8.2248115147361203E-2</v>
      </c>
      <c r="CR522" s="47">
        <v>18000</v>
      </c>
      <c r="CS522" s="55">
        <f t="shared" si="238"/>
        <v>1.3708019191226868</v>
      </c>
      <c r="CT522" s="59">
        <v>8000</v>
      </c>
      <c r="CU522" s="29" t="s">
        <v>25</v>
      </c>
      <c r="CV522" s="29" t="s">
        <v>25</v>
      </c>
      <c r="CW522" s="29" t="s">
        <v>25</v>
      </c>
      <c r="CX522" s="35">
        <v>1</v>
      </c>
      <c r="CY522" s="49">
        <f>C522/CX522</f>
        <v>13131</v>
      </c>
      <c r="CZ522" s="35">
        <v>1</v>
      </c>
      <c r="DA522" s="35">
        <v>0.27500000000000002</v>
      </c>
      <c r="DB522" s="35">
        <v>2.2749999999999999</v>
      </c>
      <c r="DC522" s="49">
        <f t="shared" si="239"/>
        <v>5771.868131868132</v>
      </c>
      <c r="DD522" s="30">
        <v>65</v>
      </c>
      <c r="DE522" s="31">
        <v>43000</v>
      </c>
      <c r="DF522" s="35">
        <v>40</v>
      </c>
      <c r="DG522" s="29" t="s">
        <v>25</v>
      </c>
      <c r="DH522" s="29" t="s">
        <v>25</v>
      </c>
      <c r="DI522" s="29" t="s">
        <v>25</v>
      </c>
      <c r="DJ522" s="47">
        <v>16</v>
      </c>
      <c r="DK522" s="47">
        <v>25</v>
      </c>
      <c r="DL522" s="47">
        <v>7</v>
      </c>
      <c r="DM522" s="47">
        <v>8000</v>
      </c>
      <c r="DN522" s="47">
        <v>575</v>
      </c>
      <c r="DO522" s="47">
        <v>425</v>
      </c>
      <c r="DP522" s="29" t="s">
        <v>2028</v>
      </c>
      <c r="DQ522" s="47">
        <v>0</v>
      </c>
      <c r="DR522" s="47">
        <v>1660</v>
      </c>
      <c r="DS522" s="30">
        <v>52</v>
      </c>
      <c r="DT522" s="30">
        <v>33</v>
      </c>
      <c r="DU522" s="30">
        <v>33</v>
      </c>
      <c r="DV522" s="30">
        <v>33</v>
      </c>
      <c r="DX522" s="2">
        <f t="shared" si="240"/>
        <v>1660</v>
      </c>
      <c r="DY522" s="33" t="s">
        <v>2181</v>
      </c>
      <c r="DZ522" s="33" t="s">
        <v>1307</v>
      </c>
      <c r="EA522" s="33" t="s">
        <v>2032</v>
      </c>
      <c r="EB522" s="33" t="s">
        <v>2027</v>
      </c>
      <c r="EC522" s="36">
        <v>395</v>
      </c>
      <c r="ED522" s="29" t="s">
        <v>1305</v>
      </c>
      <c r="EE522" s="29" t="s">
        <v>1306</v>
      </c>
      <c r="EF522" s="37">
        <v>41548</v>
      </c>
      <c r="EG522" s="37">
        <v>41912</v>
      </c>
      <c r="EH522" s="29" t="s">
        <v>1305</v>
      </c>
      <c r="EI522" s="55">
        <f t="shared" si="241"/>
        <v>1.0661792704287565</v>
      </c>
      <c r="EJ522" s="54">
        <f t="shared" si="242"/>
        <v>0</v>
      </c>
      <c r="EK522" s="55">
        <f t="shared" si="243"/>
        <v>2.3608255273779606</v>
      </c>
      <c r="EL522" s="54">
        <f t="shared" si="244"/>
        <v>0</v>
      </c>
    </row>
    <row r="523" spans="1:142" ht="28.8" x14ac:dyDescent="0.3">
      <c r="A523" s="29" t="s">
        <v>37</v>
      </c>
      <c r="B523" s="29"/>
      <c r="C523" s="30">
        <v>90028</v>
      </c>
      <c r="D523" s="30">
        <v>0</v>
      </c>
      <c r="E523" s="30">
        <v>0</v>
      </c>
      <c r="F523" s="30">
        <v>33000</v>
      </c>
      <c r="H523" s="2">
        <f t="shared" si="219"/>
        <v>33000</v>
      </c>
      <c r="I523" s="1">
        <f t="shared" si="220"/>
        <v>0.36655262807126671</v>
      </c>
      <c r="J523" s="31">
        <v>895640</v>
      </c>
      <c r="K523" s="31">
        <v>360255</v>
      </c>
      <c r="L523" s="31">
        <v>1255895</v>
      </c>
      <c r="M523" s="45">
        <f t="shared" si="221"/>
        <v>13.950048873683743</v>
      </c>
      <c r="N523" s="31">
        <v>195256</v>
      </c>
      <c r="O523" s="31">
        <v>70903</v>
      </c>
      <c r="P523" s="31">
        <v>77365</v>
      </c>
      <c r="Q523" s="31">
        <v>343524</v>
      </c>
      <c r="R523" s="45">
        <f t="shared" si="222"/>
        <v>3.8157462122895098</v>
      </c>
      <c r="S523" s="31">
        <v>294886</v>
      </c>
      <c r="T523" s="31">
        <v>1894305</v>
      </c>
      <c r="U523" s="31">
        <v>0</v>
      </c>
      <c r="V523" s="31">
        <v>1894305</v>
      </c>
      <c r="W523" s="45">
        <f t="shared" si="223"/>
        <v>21.041287155107298</v>
      </c>
      <c r="X523" s="4">
        <f t="shared" si="224"/>
        <v>0.66298457745716766</v>
      </c>
      <c r="Y523" s="4">
        <f t="shared" si="225"/>
        <v>0.18134566503282207</v>
      </c>
      <c r="Z523" s="4">
        <f t="shared" si="226"/>
        <v>0.15566975751001028</v>
      </c>
      <c r="AA523" s="4">
        <f t="shared" si="227"/>
        <v>0</v>
      </c>
      <c r="AB523" s="31">
        <v>73677</v>
      </c>
      <c r="AC523" s="31">
        <v>343524</v>
      </c>
      <c r="AD523" s="31">
        <v>1894305</v>
      </c>
      <c r="AE523" s="31">
        <v>1894305</v>
      </c>
      <c r="AF523" s="31">
        <v>2137798</v>
      </c>
      <c r="AG523" s="31">
        <v>0</v>
      </c>
      <c r="AH523" s="31">
        <v>0</v>
      </c>
      <c r="AI523" s="31">
        <v>2137798</v>
      </c>
      <c r="AJ523" s="45">
        <f t="shared" si="228"/>
        <v>23.745923490469632</v>
      </c>
      <c r="AK523" s="31">
        <v>0</v>
      </c>
      <c r="AL523" s="31">
        <v>0</v>
      </c>
      <c r="AM523" s="31">
        <v>0</v>
      </c>
      <c r="AN523" s="31">
        <v>0</v>
      </c>
      <c r="AO523" s="31">
        <v>0</v>
      </c>
      <c r="AP523" s="31">
        <v>0</v>
      </c>
      <c r="AQ523" s="31">
        <v>0</v>
      </c>
      <c r="AR523" s="31">
        <v>2137798</v>
      </c>
      <c r="AS523" s="46">
        <f t="shared" si="229"/>
        <v>23.745923490469632</v>
      </c>
      <c r="AT523" s="31">
        <v>0</v>
      </c>
      <c r="AU523" s="31">
        <v>0</v>
      </c>
      <c r="AV523" s="31">
        <v>0</v>
      </c>
      <c r="AW523" s="31">
        <v>0</v>
      </c>
      <c r="AX523" s="31">
        <v>0</v>
      </c>
      <c r="AY523" s="31">
        <v>0</v>
      </c>
      <c r="AZ523" s="31">
        <v>0</v>
      </c>
      <c r="BA523" s="31">
        <v>0</v>
      </c>
      <c r="BB523" s="31">
        <v>0</v>
      </c>
      <c r="BC523" s="33" t="s">
        <v>25</v>
      </c>
      <c r="BD523" s="47">
        <v>112224</v>
      </c>
      <c r="BE523" s="47">
        <v>121987</v>
      </c>
      <c r="BF523" s="45">
        <f t="shared" si="230"/>
        <v>1.3549895588039276</v>
      </c>
      <c r="BG523" s="30">
        <v>10452</v>
      </c>
      <c r="BH523" s="30">
        <v>10910</v>
      </c>
      <c r="BI523" s="30">
        <v>1274</v>
      </c>
      <c r="BJ523" s="30">
        <v>4278</v>
      </c>
      <c r="BK523" s="30">
        <v>12887</v>
      </c>
      <c r="BL523" s="30">
        <v>0</v>
      </c>
      <c r="BM523" s="30">
        <v>12718</v>
      </c>
      <c r="BN523" s="30">
        <v>15</v>
      </c>
      <c r="BO523" s="30">
        <v>51</v>
      </c>
      <c r="BP523" s="30">
        <v>5</v>
      </c>
      <c r="BQ523" s="30">
        <v>71</v>
      </c>
      <c r="BR523" s="47">
        <v>126954</v>
      </c>
      <c r="BS523" s="47">
        <v>159791</v>
      </c>
      <c r="BT523" s="1">
        <f t="shared" si="231"/>
        <v>1.774903363398054</v>
      </c>
      <c r="BU523" s="30">
        <v>450</v>
      </c>
      <c r="BV523" s="30">
        <v>0</v>
      </c>
      <c r="BW523" s="47">
        <v>36687</v>
      </c>
      <c r="BX523" s="52">
        <f t="shared" si="232"/>
        <v>0.40750655351668369</v>
      </c>
      <c r="BY523" s="47">
        <v>114696</v>
      </c>
      <c r="BZ523" s="47">
        <v>1518</v>
      </c>
      <c r="CA523" s="47">
        <v>258579</v>
      </c>
      <c r="CB523" s="47">
        <v>22410</v>
      </c>
      <c r="CC523" s="47">
        <v>397203</v>
      </c>
      <c r="CD523" s="55">
        <f t="shared" si="233"/>
        <v>4.4119940462967078</v>
      </c>
      <c r="CE523" s="3">
        <f t="shared" si="234"/>
        <v>14352.41192411924</v>
      </c>
      <c r="CF523" s="55">
        <f t="shared" si="235"/>
        <v>129.55088062622309</v>
      </c>
      <c r="CG523" s="55">
        <f t="shared" si="236"/>
        <v>1.7106367034746508</v>
      </c>
      <c r="CH523" s="55">
        <f t="shared" si="237"/>
        <v>2.3360201763553641</v>
      </c>
      <c r="CI523" s="30">
        <v>488</v>
      </c>
      <c r="CJ523" s="30">
        <v>12</v>
      </c>
      <c r="CK523" s="30">
        <v>106</v>
      </c>
      <c r="CL523" s="30">
        <v>606</v>
      </c>
      <c r="CM523" s="30">
        <v>15521</v>
      </c>
      <c r="CN523" s="30">
        <v>357</v>
      </c>
      <c r="CO523" s="30">
        <v>840</v>
      </c>
      <c r="CP523" s="30">
        <v>16718</v>
      </c>
      <c r="CQ523" s="1">
        <f t="shared" si="245"/>
        <v>0.18569778291198294</v>
      </c>
      <c r="CR523" s="47">
        <v>232196</v>
      </c>
      <c r="CS523" s="55">
        <f t="shared" si="238"/>
        <v>2.5791531523526015</v>
      </c>
      <c r="CT523" s="59">
        <v>47801</v>
      </c>
      <c r="CU523" s="29" t="s">
        <v>25</v>
      </c>
      <c r="CV523" s="29" t="s">
        <v>25</v>
      </c>
      <c r="CW523" s="29" t="s">
        <v>25</v>
      </c>
      <c r="CX523" s="35">
        <v>8</v>
      </c>
      <c r="CY523" s="49">
        <f>C523/CX523</f>
        <v>11253.5</v>
      </c>
      <c r="CZ523" s="35">
        <v>0</v>
      </c>
      <c r="DA523" s="35">
        <v>19.675000000000001</v>
      </c>
      <c r="DB523" s="35">
        <v>27.675000000000001</v>
      </c>
      <c r="DC523" s="49">
        <f t="shared" si="239"/>
        <v>3253.0442637759711</v>
      </c>
      <c r="DD523" s="30">
        <v>788</v>
      </c>
      <c r="DE523" s="31">
        <v>94300</v>
      </c>
      <c r="DF523" s="35">
        <v>40</v>
      </c>
      <c r="DG523" s="29" t="s">
        <v>25</v>
      </c>
      <c r="DH523" s="29" t="s">
        <v>25</v>
      </c>
      <c r="DI523" s="29" t="s">
        <v>25</v>
      </c>
      <c r="DJ523" s="47">
        <v>6625</v>
      </c>
      <c r="DK523" s="47">
        <v>2415</v>
      </c>
      <c r="DL523" s="47">
        <v>38</v>
      </c>
      <c r="DM523" s="47">
        <v>32790</v>
      </c>
      <c r="DN523" s="47">
        <v>739</v>
      </c>
      <c r="DO523" s="47">
        <v>4813</v>
      </c>
      <c r="DP523" s="29" t="s">
        <v>25</v>
      </c>
      <c r="DQ523" s="47">
        <v>155768</v>
      </c>
      <c r="DR523" s="47">
        <v>3066</v>
      </c>
      <c r="DS523" s="30">
        <v>52</v>
      </c>
      <c r="DT523" s="30">
        <v>61</v>
      </c>
      <c r="DU523" s="30">
        <v>61</v>
      </c>
      <c r="DV523" s="30">
        <v>61</v>
      </c>
      <c r="DX523" s="2">
        <f t="shared" si="240"/>
        <v>3066</v>
      </c>
      <c r="DY523" s="33" t="s">
        <v>2180</v>
      </c>
      <c r="DZ523" s="33" t="s">
        <v>1309</v>
      </c>
      <c r="EA523" s="33" t="s">
        <v>2030</v>
      </c>
      <c r="EB523" s="33" t="s">
        <v>2027</v>
      </c>
      <c r="EC523" s="36">
        <v>396</v>
      </c>
      <c r="ED523" s="29" t="s">
        <v>1308</v>
      </c>
      <c r="EE523" s="29" t="s">
        <v>37</v>
      </c>
      <c r="EF523" s="37">
        <v>41548</v>
      </c>
      <c r="EG523" s="37">
        <v>41912</v>
      </c>
      <c r="EH523" s="29" t="s">
        <v>1308</v>
      </c>
      <c r="EI523" s="55">
        <f t="shared" si="241"/>
        <v>1.2740036433109698</v>
      </c>
      <c r="EJ523" s="54">
        <f t="shared" si="242"/>
        <v>1.6861420891278268E-2</v>
      </c>
      <c r="EK523" s="55">
        <f t="shared" si="243"/>
        <v>2.8722064246678811</v>
      </c>
      <c r="EL523" s="54">
        <f t="shared" si="244"/>
        <v>0.2489225574265784</v>
      </c>
    </row>
    <row r="524" spans="1:142" ht="28.8" x14ac:dyDescent="0.3">
      <c r="A524" s="29" t="s">
        <v>1310</v>
      </c>
      <c r="B524" s="29"/>
      <c r="C524" s="30">
        <v>10906</v>
      </c>
      <c r="D524" s="30">
        <v>0</v>
      </c>
      <c r="E524" s="30">
        <v>0</v>
      </c>
      <c r="F524" s="30">
        <v>4810</v>
      </c>
      <c r="H524" s="2">
        <f t="shared" si="219"/>
        <v>4810</v>
      </c>
      <c r="I524" s="1">
        <f t="shared" si="220"/>
        <v>0.44104162846139738</v>
      </c>
      <c r="J524" s="31">
        <v>83951</v>
      </c>
      <c r="K524" s="31">
        <v>52565</v>
      </c>
      <c r="L524" s="31">
        <v>136516</v>
      </c>
      <c r="M524" s="45">
        <f t="shared" si="221"/>
        <v>12.517513295433707</v>
      </c>
      <c r="N524" s="31">
        <v>15735</v>
      </c>
      <c r="O524" s="31">
        <v>0</v>
      </c>
      <c r="P524" s="31">
        <v>0</v>
      </c>
      <c r="Q524" s="31">
        <v>15735</v>
      </c>
      <c r="R524" s="45">
        <f t="shared" si="222"/>
        <v>1.4427837887401431</v>
      </c>
      <c r="S524" s="31">
        <v>53661</v>
      </c>
      <c r="T524" s="31">
        <v>205912</v>
      </c>
      <c r="U524" s="31">
        <v>0</v>
      </c>
      <c r="V524" s="31">
        <v>205912</v>
      </c>
      <c r="W524" s="45">
        <f t="shared" si="223"/>
        <v>18.880616174582798</v>
      </c>
      <c r="X524" s="4">
        <f t="shared" si="224"/>
        <v>0.66298224484245694</v>
      </c>
      <c r="Y524" s="4">
        <f t="shared" si="225"/>
        <v>7.6416138933136479E-2</v>
      </c>
      <c r="Z524" s="4">
        <f t="shared" si="226"/>
        <v>0.26060161622440653</v>
      </c>
      <c r="AA524" s="4">
        <f t="shared" si="227"/>
        <v>0</v>
      </c>
      <c r="AB524" s="31">
        <v>0</v>
      </c>
      <c r="AC524" s="31">
        <v>15735</v>
      </c>
      <c r="AD524" s="31">
        <v>205912</v>
      </c>
      <c r="AE524" s="31">
        <v>204912</v>
      </c>
      <c r="AF524" s="31">
        <v>205912</v>
      </c>
      <c r="AG524" s="31">
        <v>0</v>
      </c>
      <c r="AH524" s="31">
        <v>0</v>
      </c>
      <c r="AI524" s="31">
        <v>205912</v>
      </c>
      <c r="AJ524" s="45">
        <f t="shared" si="228"/>
        <v>18.880616174582798</v>
      </c>
      <c r="AK524" s="31">
        <v>0</v>
      </c>
      <c r="AL524" s="31">
        <v>0</v>
      </c>
      <c r="AM524" s="31">
        <v>0</v>
      </c>
      <c r="AN524" s="31">
        <v>0</v>
      </c>
      <c r="AO524" s="31">
        <v>20149</v>
      </c>
      <c r="AP524" s="31">
        <v>6954</v>
      </c>
      <c r="AQ524" s="31">
        <v>27103</v>
      </c>
      <c r="AR524" s="31">
        <v>233015</v>
      </c>
      <c r="AS524" s="46">
        <f t="shared" si="229"/>
        <v>21.365761965890336</v>
      </c>
      <c r="AT524" s="31">
        <v>0</v>
      </c>
      <c r="AU524" s="31">
        <v>0</v>
      </c>
      <c r="AV524" s="31">
        <v>0</v>
      </c>
      <c r="AW524" s="31">
        <v>0</v>
      </c>
      <c r="AX524" s="31">
        <v>0</v>
      </c>
      <c r="AY524" s="31">
        <v>0</v>
      </c>
      <c r="AZ524" s="31">
        <v>19149</v>
      </c>
      <c r="BA524" s="31">
        <v>0</v>
      </c>
      <c r="BB524" s="31">
        <v>19149</v>
      </c>
      <c r="BC524" s="33" t="s">
        <v>25</v>
      </c>
      <c r="BD524" s="47">
        <v>34140</v>
      </c>
      <c r="BE524" s="47">
        <v>37889</v>
      </c>
      <c r="BF524" s="45">
        <f t="shared" si="230"/>
        <v>3.4741426737575645</v>
      </c>
      <c r="BG524" s="30">
        <v>432</v>
      </c>
      <c r="BH524" s="30">
        <v>445</v>
      </c>
      <c r="BI524" s="30">
        <v>0</v>
      </c>
      <c r="BJ524" s="30">
        <v>2195</v>
      </c>
      <c r="BK524" s="30">
        <v>2381</v>
      </c>
      <c r="BL524" s="30">
        <v>0</v>
      </c>
      <c r="BM524" s="30">
        <v>0</v>
      </c>
      <c r="BN524" s="30">
        <v>0</v>
      </c>
      <c r="BO524" s="30">
        <v>51</v>
      </c>
      <c r="BP524" s="30">
        <v>0</v>
      </c>
      <c r="BQ524" s="30">
        <v>51</v>
      </c>
      <c r="BR524" s="47">
        <v>36767</v>
      </c>
      <c r="BS524" s="47">
        <v>40715</v>
      </c>
      <c r="BT524" s="1">
        <f t="shared" si="231"/>
        <v>3.733266092059417</v>
      </c>
      <c r="BU524" s="30">
        <v>9</v>
      </c>
      <c r="BV524" s="30">
        <v>0</v>
      </c>
      <c r="BW524" s="47">
        <v>5119</v>
      </c>
      <c r="BX524" s="52">
        <f t="shared" si="232"/>
        <v>0.46937465615257656</v>
      </c>
      <c r="BY524" s="47">
        <v>10200</v>
      </c>
      <c r="BZ524" s="47">
        <v>0</v>
      </c>
      <c r="CA524" s="47">
        <v>30431</v>
      </c>
      <c r="CB524" s="47">
        <v>0</v>
      </c>
      <c r="CC524" s="47">
        <v>40631</v>
      </c>
      <c r="CD524" s="55">
        <f t="shared" si="233"/>
        <v>3.725563909774436</v>
      </c>
      <c r="CE524" s="3">
        <f t="shared" si="234"/>
        <v>13543.666666666666</v>
      </c>
      <c r="CF524" s="55">
        <f t="shared" si="235"/>
        <v>18.810648148148147</v>
      </c>
      <c r="CG524" s="55">
        <f t="shared" si="236"/>
        <v>1.299942411057077</v>
      </c>
      <c r="CH524" s="55">
        <f t="shared" si="237"/>
        <v>0.99793687830038069</v>
      </c>
      <c r="CI524" s="30">
        <v>25</v>
      </c>
      <c r="CJ524" s="30">
        <v>0</v>
      </c>
      <c r="CK524" s="30">
        <v>54</v>
      </c>
      <c r="CL524" s="30">
        <v>79</v>
      </c>
      <c r="CM524" s="30">
        <v>1289</v>
      </c>
      <c r="CN524" s="30">
        <v>0</v>
      </c>
      <c r="CO524" s="30">
        <v>644</v>
      </c>
      <c r="CP524" s="30">
        <v>1933</v>
      </c>
      <c r="CQ524" s="1">
        <f t="shared" si="245"/>
        <v>0.17724188520080689</v>
      </c>
      <c r="CR524" s="47">
        <v>31256</v>
      </c>
      <c r="CS524" s="55">
        <f t="shared" si="238"/>
        <v>2.8659453511828352</v>
      </c>
      <c r="CT524" s="59">
        <v>5379</v>
      </c>
      <c r="CU524" s="29" t="s">
        <v>25</v>
      </c>
      <c r="CV524" s="29" t="s">
        <v>25</v>
      </c>
      <c r="CW524" s="29" t="s">
        <v>25</v>
      </c>
      <c r="CX524" s="35">
        <v>0</v>
      </c>
      <c r="CY524" s="49">
        <v>0</v>
      </c>
      <c r="CZ524" s="35">
        <v>1</v>
      </c>
      <c r="DA524" s="35">
        <v>2</v>
      </c>
      <c r="DB524" s="35">
        <v>3</v>
      </c>
      <c r="DC524" s="49">
        <f t="shared" si="239"/>
        <v>3635.3333333333335</v>
      </c>
      <c r="DD524" s="30">
        <v>2017</v>
      </c>
      <c r="DE524" s="31">
        <v>32656</v>
      </c>
      <c r="DF524" s="35">
        <v>40</v>
      </c>
      <c r="DG524" s="29" t="s">
        <v>25</v>
      </c>
      <c r="DH524" s="29" t="s">
        <v>26</v>
      </c>
      <c r="DI524" s="29" t="s">
        <v>26</v>
      </c>
      <c r="DJ524" s="47">
        <v>0</v>
      </c>
      <c r="DK524" s="47">
        <v>0</v>
      </c>
      <c r="DL524" s="47">
        <v>6</v>
      </c>
      <c r="DM524" s="47">
        <v>6292</v>
      </c>
      <c r="DN524" s="47">
        <v>3</v>
      </c>
      <c r="DO524" s="47">
        <v>41</v>
      </c>
      <c r="DP524" s="29" t="s">
        <v>25</v>
      </c>
      <c r="DQ524" s="47">
        <v>1883</v>
      </c>
      <c r="DR524" s="47">
        <v>2160</v>
      </c>
      <c r="DS524" s="30">
        <v>50</v>
      </c>
      <c r="DT524" s="30">
        <v>45</v>
      </c>
      <c r="DU524" s="30">
        <v>45</v>
      </c>
      <c r="DV524" s="30">
        <v>45</v>
      </c>
      <c r="DX524" s="2">
        <f t="shared" si="240"/>
        <v>2160</v>
      </c>
      <c r="DY524" s="33" t="s">
        <v>2185</v>
      </c>
      <c r="DZ524" s="33" t="s">
        <v>1312</v>
      </c>
      <c r="EA524" s="33" t="s">
        <v>2030</v>
      </c>
      <c r="EB524" s="33" t="s">
        <v>2027</v>
      </c>
      <c r="EC524" s="36">
        <v>397</v>
      </c>
      <c r="ED524" s="29" t="s">
        <v>1311</v>
      </c>
      <c r="EE524" s="29" t="s">
        <v>1000</v>
      </c>
      <c r="EF524" s="37">
        <v>41548</v>
      </c>
      <c r="EG524" s="37">
        <v>41912</v>
      </c>
      <c r="EH524" s="29" t="s">
        <v>1311</v>
      </c>
      <c r="EI524" s="55">
        <f t="shared" si="241"/>
        <v>0.93526499174766187</v>
      </c>
      <c r="EJ524" s="54">
        <f t="shared" si="242"/>
        <v>0</v>
      </c>
      <c r="EK524" s="55">
        <f t="shared" si="243"/>
        <v>2.7902989180267741</v>
      </c>
      <c r="EL524" s="54">
        <f t="shared" si="244"/>
        <v>0</v>
      </c>
    </row>
    <row r="525" spans="1:142" ht="28.8" x14ac:dyDescent="0.3">
      <c r="A525" s="29" t="s">
        <v>1313</v>
      </c>
      <c r="B525" s="29"/>
      <c r="C525" s="30">
        <v>201981</v>
      </c>
      <c r="D525" s="30">
        <v>3</v>
      </c>
      <c r="E525" s="30">
        <v>0</v>
      </c>
      <c r="F525" s="30">
        <v>35549</v>
      </c>
      <c r="G525">
        <v>50493</v>
      </c>
      <c r="H525" s="2">
        <f t="shared" si="219"/>
        <v>86042</v>
      </c>
      <c r="I525" s="1">
        <f t="shared" si="220"/>
        <v>0.42599056346884112</v>
      </c>
      <c r="J525" s="31">
        <v>1686362</v>
      </c>
      <c r="K525" s="31">
        <v>577429</v>
      </c>
      <c r="L525" s="31">
        <v>2263791</v>
      </c>
      <c r="M525" s="45">
        <f t="shared" si="221"/>
        <v>11.207940350825078</v>
      </c>
      <c r="N525" s="31">
        <v>220612</v>
      </c>
      <c r="O525" s="31">
        <v>37678</v>
      </c>
      <c r="P525" s="31">
        <v>97143</v>
      </c>
      <c r="Q525" s="31">
        <v>355433</v>
      </c>
      <c r="R525" s="45">
        <f t="shared" si="222"/>
        <v>1.7597348265430908</v>
      </c>
      <c r="S525" s="31">
        <v>788399</v>
      </c>
      <c r="T525" s="31">
        <v>3407623</v>
      </c>
      <c r="U525" s="31">
        <v>0</v>
      </c>
      <c r="V525" s="31">
        <v>3407623</v>
      </c>
      <c r="W525" s="45">
        <f t="shared" si="223"/>
        <v>16.871007669038178</v>
      </c>
      <c r="X525" s="4">
        <f t="shared" si="224"/>
        <v>0.66433141224836201</v>
      </c>
      <c r="Y525" s="4">
        <f t="shared" si="225"/>
        <v>0.10430525912050717</v>
      </c>
      <c r="Z525" s="4">
        <f t="shared" si="226"/>
        <v>0.23136332863113085</v>
      </c>
      <c r="AA525" s="4">
        <f t="shared" si="227"/>
        <v>0</v>
      </c>
      <c r="AB525" s="31">
        <v>145488</v>
      </c>
      <c r="AC525" s="31">
        <v>355433</v>
      </c>
      <c r="AD525" s="31">
        <v>3407623</v>
      </c>
      <c r="AE525" s="31">
        <v>3407623</v>
      </c>
      <c r="AF525" s="31">
        <v>2776803</v>
      </c>
      <c r="AG525" s="31">
        <v>555361</v>
      </c>
      <c r="AH525" s="31">
        <v>0</v>
      </c>
      <c r="AI525" s="31">
        <v>3332164</v>
      </c>
      <c r="AJ525" s="45">
        <f t="shared" si="228"/>
        <v>16.497413123016521</v>
      </c>
      <c r="AK525" s="31">
        <v>0</v>
      </c>
      <c r="AL525" s="31">
        <v>0</v>
      </c>
      <c r="AM525" s="31">
        <v>0</v>
      </c>
      <c r="AN525" s="31">
        <v>0</v>
      </c>
      <c r="AO525" s="31">
        <v>0</v>
      </c>
      <c r="AP525" s="31">
        <v>137318</v>
      </c>
      <c r="AQ525" s="31">
        <v>137318</v>
      </c>
      <c r="AR525" s="31">
        <v>3469482</v>
      </c>
      <c r="AS525" s="46">
        <f t="shared" si="229"/>
        <v>17.177269149078377</v>
      </c>
      <c r="AT525" s="31">
        <v>145488</v>
      </c>
      <c r="AU525" s="31">
        <v>0</v>
      </c>
      <c r="AV525" s="31">
        <v>0</v>
      </c>
      <c r="AW525" s="31">
        <v>0</v>
      </c>
      <c r="AX525" s="31">
        <v>0</v>
      </c>
      <c r="AY525" s="31">
        <v>0</v>
      </c>
      <c r="AZ525" s="31">
        <v>0</v>
      </c>
      <c r="BA525" s="31">
        <v>0</v>
      </c>
      <c r="BB525" s="31">
        <v>145488</v>
      </c>
      <c r="BC525" s="33" t="s">
        <v>25</v>
      </c>
      <c r="BD525" s="47">
        <v>195024</v>
      </c>
      <c r="BE525" s="47">
        <v>302506</v>
      </c>
      <c r="BF525" s="45">
        <f t="shared" si="230"/>
        <v>1.4976953277783553</v>
      </c>
      <c r="BG525" s="30">
        <v>11145</v>
      </c>
      <c r="BH525" s="30">
        <v>15525</v>
      </c>
      <c r="BI525" s="30">
        <v>6637</v>
      </c>
      <c r="BJ525" s="30">
        <v>12770</v>
      </c>
      <c r="BK525" s="30">
        <v>22748</v>
      </c>
      <c r="BL525" s="30">
        <v>0</v>
      </c>
      <c r="BM525" s="30">
        <v>4115</v>
      </c>
      <c r="BN525" s="30">
        <v>11</v>
      </c>
      <c r="BO525" s="30">
        <v>51</v>
      </c>
      <c r="BP525" s="30">
        <v>0</v>
      </c>
      <c r="BQ525" s="30">
        <v>62</v>
      </c>
      <c r="BR525" s="47">
        <v>218939</v>
      </c>
      <c r="BS525" s="47">
        <v>351542</v>
      </c>
      <c r="BT525" s="1">
        <f t="shared" si="231"/>
        <v>1.7404706383273674</v>
      </c>
      <c r="BU525" s="30">
        <v>372</v>
      </c>
      <c r="BV525" s="30">
        <v>84</v>
      </c>
      <c r="BW525" s="47">
        <v>78171</v>
      </c>
      <c r="BX525" s="52">
        <f t="shared" si="232"/>
        <v>0.38702155153207479</v>
      </c>
      <c r="BY525" s="47">
        <v>277145</v>
      </c>
      <c r="BZ525" s="47">
        <v>2048</v>
      </c>
      <c r="CA525" s="47">
        <v>446190</v>
      </c>
      <c r="CB525" s="47">
        <v>22677</v>
      </c>
      <c r="CC525" s="47">
        <v>748060</v>
      </c>
      <c r="CD525" s="55">
        <f t="shared" si="233"/>
        <v>3.7036156866239893</v>
      </c>
      <c r="CE525" s="3">
        <f t="shared" si="234"/>
        <v>15028.829733802108</v>
      </c>
      <c r="CF525" s="55">
        <f t="shared" si="235"/>
        <v>66.92252639112543</v>
      </c>
      <c r="CG525" s="55">
        <f t="shared" si="236"/>
        <v>1.6012072305403642</v>
      </c>
      <c r="CH525" s="55">
        <f t="shared" si="237"/>
        <v>2.0576062035261788</v>
      </c>
      <c r="CI525" s="30">
        <v>456</v>
      </c>
      <c r="CJ525" s="30">
        <v>54</v>
      </c>
      <c r="CK525" s="30">
        <v>60</v>
      </c>
      <c r="CL525" s="30">
        <v>570</v>
      </c>
      <c r="CM525" s="30">
        <v>25103</v>
      </c>
      <c r="CN525" s="30">
        <v>1135</v>
      </c>
      <c r="CO525" s="30">
        <v>1103</v>
      </c>
      <c r="CP525" s="30">
        <v>27341</v>
      </c>
      <c r="CQ525" s="1">
        <f t="shared" si="245"/>
        <v>0.1353642174263916</v>
      </c>
      <c r="CR525" s="47">
        <v>467185</v>
      </c>
      <c r="CS525" s="55">
        <f t="shared" si="238"/>
        <v>2.3130145904812829</v>
      </c>
      <c r="CT525" s="59">
        <v>94724</v>
      </c>
      <c r="CU525" s="29" t="s">
        <v>25</v>
      </c>
      <c r="CV525" s="29" t="s">
        <v>25</v>
      </c>
      <c r="CW525" s="29" t="s">
        <v>25</v>
      </c>
      <c r="CX525" s="35">
        <v>14.55</v>
      </c>
      <c r="CY525" s="49">
        <f>C525/CX525</f>
        <v>13881.855670103092</v>
      </c>
      <c r="CZ525" s="35">
        <v>0</v>
      </c>
      <c r="DA525" s="35">
        <v>35.225000000000001</v>
      </c>
      <c r="DB525" s="35">
        <v>49.775000000000006</v>
      </c>
      <c r="DC525" s="49">
        <f t="shared" si="239"/>
        <v>4057.8804620793567</v>
      </c>
      <c r="DD525" s="30">
        <v>5689</v>
      </c>
      <c r="DE525" s="31">
        <v>106275.25</v>
      </c>
      <c r="DF525" s="35">
        <v>40</v>
      </c>
      <c r="DG525" s="29" t="s">
        <v>25</v>
      </c>
      <c r="DH525" s="29" t="s">
        <v>25</v>
      </c>
      <c r="DI525" s="29" t="s">
        <v>25</v>
      </c>
      <c r="DJ525" s="47">
        <v>2501</v>
      </c>
      <c r="DK525" s="47">
        <v>3293</v>
      </c>
      <c r="DL525" s="47">
        <v>109</v>
      </c>
      <c r="DM525" s="47">
        <v>104186</v>
      </c>
      <c r="DN525" s="47">
        <v>23280</v>
      </c>
      <c r="DO525" s="47">
        <v>-1</v>
      </c>
      <c r="DP525" s="29" t="s">
        <v>25</v>
      </c>
      <c r="DQ525" s="47">
        <v>271150</v>
      </c>
      <c r="DR525" s="47">
        <v>3132</v>
      </c>
      <c r="DS525" s="30">
        <v>52</v>
      </c>
      <c r="DT525" s="30">
        <v>64</v>
      </c>
      <c r="DU525" s="30">
        <v>64</v>
      </c>
      <c r="DV525" s="30">
        <v>64</v>
      </c>
      <c r="DW525">
        <f>VLOOKUP(EC525,branch!$I$4:$K$77,3,0)</f>
        <v>8046</v>
      </c>
      <c r="DX525" s="2">
        <f t="shared" si="240"/>
        <v>11178</v>
      </c>
      <c r="DY525" s="33" t="s">
        <v>2186</v>
      </c>
      <c r="DZ525" s="33" t="s">
        <v>1316</v>
      </c>
      <c r="EA525" s="33" t="s">
        <v>2030</v>
      </c>
      <c r="EB525" s="33" t="s">
        <v>2027</v>
      </c>
      <c r="EC525" s="36">
        <v>398</v>
      </c>
      <c r="ED525" s="29" t="s">
        <v>1314</v>
      </c>
      <c r="EE525" s="29" t="s">
        <v>1315</v>
      </c>
      <c r="EF525" s="37">
        <v>41548</v>
      </c>
      <c r="EG525" s="37">
        <v>41912</v>
      </c>
      <c r="EH525" s="29" t="s">
        <v>1314</v>
      </c>
      <c r="EI525" s="55">
        <f t="shared" si="241"/>
        <v>1.372134012605146</v>
      </c>
      <c r="EJ525" s="54">
        <f t="shared" si="242"/>
        <v>1.0139567583089499E-2</v>
      </c>
      <c r="EK525" s="55">
        <f t="shared" si="243"/>
        <v>2.2090691698724139</v>
      </c>
      <c r="EL525" s="54">
        <f t="shared" si="244"/>
        <v>0.11227293656334011</v>
      </c>
    </row>
    <row r="526" spans="1:142" ht="28.8" x14ac:dyDescent="0.3">
      <c r="A526" s="29" t="s">
        <v>2067</v>
      </c>
      <c r="B526" s="29"/>
      <c r="C526" s="30">
        <v>5183</v>
      </c>
      <c r="D526" s="30">
        <v>0</v>
      </c>
      <c r="E526" s="30">
        <v>0</v>
      </c>
      <c r="F526" s="30">
        <v>1008</v>
      </c>
      <c r="H526" s="2">
        <f t="shared" si="219"/>
        <v>1008</v>
      </c>
      <c r="I526" s="1">
        <f t="shared" si="220"/>
        <v>0.19448196025467876</v>
      </c>
      <c r="J526" s="31">
        <v>10800</v>
      </c>
      <c r="K526" s="31">
        <v>0</v>
      </c>
      <c r="L526" s="31">
        <v>10800</v>
      </c>
      <c r="M526" s="45">
        <f t="shared" si="221"/>
        <v>2.0837352884429867</v>
      </c>
      <c r="N526" s="31">
        <v>1631</v>
      </c>
      <c r="O526" s="31">
        <v>0</v>
      </c>
      <c r="P526" s="31">
        <v>0</v>
      </c>
      <c r="Q526" s="31">
        <v>1631</v>
      </c>
      <c r="R526" s="45">
        <f t="shared" si="222"/>
        <v>0.31468261624541771</v>
      </c>
      <c r="S526" s="31">
        <v>5365</v>
      </c>
      <c r="T526" s="31">
        <v>17796</v>
      </c>
      <c r="U526" s="31">
        <v>0</v>
      </c>
      <c r="V526" s="31">
        <v>17796</v>
      </c>
      <c r="W526" s="45">
        <f t="shared" si="223"/>
        <v>3.4335327030677214</v>
      </c>
      <c r="X526" s="4">
        <f t="shared" si="224"/>
        <v>0.60687795010114631</v>
      </c>
      <c r="Y526" s="4">
        <f t="shared" si="225"/>
        <v>9.1649808945830524E-2</v>
      </c>
      <c r="Z526" s="4">
        <f t="shared" si="226"/>
        <v>0.30147224095302316</v>
      </c>
      <c r="AA526" s="4">
        <f t="shared" si="227"/>
        <v>0</v>
      </c>
      <c r="AB526" s="31">
        <v>0</v>
      </c>
      <c r="AC526" s="31">
        <v>1631</v>
      </c>
      <c r="AD526" s="31">
        <v>16379</v>
      </c>
      <c r="AE526" s="31">
        <v>16379</v>
      </c>
      <c r="AF526" s="31">
        <v>16379</v>
      </c>
      <c r="AG526" s="31">
        <v>1000</v>
      </c>
      <c r="AH526" s="31">
        <v>0</v>
      </c>
      <c r="AI526" s="31">
        <v>17379</v>
      </c>
      <c r="AJ526" s="45">
        <f t="shared" si="228"/>
        <v>3.3530773683195059</v>
      </c>
      <c r="AK526" s="31">
        <v>0</v>
      </c>
      <c r="AL526" s="31">
        <v>0</v>
      </c>
      <c r="AM526" s="31">
        <v>0</v>
      </c>
      <c r="AN526" s="31">
        <v>0</v>
      </c>
      <c r="AO526" s="31">
        <v>0</v>
      </c>
      <c r="AP526" s="31">
        <v>0</v>
      </c>
      <c r="AQ526" s="31">
        <v>0</v>
      </c>
      <c r="AR526" s="31">
        <v>17379</v>
      </c>
      <c r="AS526" s="46">
        <f t="shared" si="229"/>
        <v>3.3530773683195059</v>
      </c>
      <c r="AT526" s="31">
        <v>0</v>
      </c>
      <c r="AU526" s="31">
        <v>0</v>
      </c>
      <c r="AV526" s="31">
        <v>0</v>
      </c>
      <c r="AW526" s="31">
        <v>0</v>
      </c>
      <c r="AX526" s="31">
        <v>0</v>
      </c>
      <c r="AY526" s="31">
        <v>0</v>
      </c>
      <c r="AZ526" s="31">
        <v>0</v>
      </c>
      <c r="BA526" s="31">
        <v>0</v>
      </c>
      <c r="BB526" s="31">
        <v>0</v>
      </c>
      <c r="BC526" s="33" t="s">
        <v>25</v>
      </c>
      <c r="BD526" s="47">
        <v>7122</v>
      </c>
      <c r="BE526" s="47">
        <v>7142</v>
      </c>
      <c r="BF526" s="45">
        <f t="shared" si="230"/>
        <v>1.3779664287092417</v>
      </c>
      <c r="BG526" s="30">
        <v>360</v>
      </c>
      <c r="BH526" s="30">
        <v>365</v>
      </c>
      <c r="BI526" s="30">
        <v>0</v>
      </c>
      <c r="BJ526" s="30">
        <v>450</v>
      </c>
      <c r="BK526" s="30">
        <v>462</v>
      </c>
      <c r="BL526" s="30">
        <v>0</v>
      </c>
      <c r="BM526" s="30">
        <v>0</v>
      </c>
      <c r="BN526" s="30">
        <v>0</v>
      </c>
      <c r="BO526" s="30">
        <v>0</v>
      </c>
      <c r="BP526" s="30">
        <v>1</v>
      </c>
      <c r="BQ526" s="30">
        <v>1</v>
      </c>
      <c r="BR526" s="47">
        <v>7932</v>
      </c>
      <c r="BS526" s="47">
        <v>7969</v>
      </c>
      <c r="BT526" s="1">
        <f t="shared" si="231"/>
        <v>1.5375265290372371</v>
      </c>
      <c r="BU526" s="30">
        <v>4</v>
      </c>
      <c r="BV526" s="30">
        <v>0</v>
      </c>
      <c r="BW526" s="47">
        <v>50</v>
      </c>
      <c r="BX526" s="52">
        <f t="shared" si="232"/>
        <v>9.6469226316804931E-3</v>
      </c>
      <c r="BY526" s="47">
        <v>400</v>
      </c>
      <c r="BZ526" s="47">
        <v>0</v>
      </c>
      <c r="CA526" s="47">
        <v>350</v>
      </c>
      <c r="CB526" s="47">
        <v>0</v>
      </c>
      <c r="CC526" s="47">
        <v>750</v>
      </c>
      <c r="CD526" s="55">
        <f t="shared" si="233"/>
        <v>0.1447038394752074</v>
      </c>
      <c r="CE526" s="3">
        <f t="shared" si="234"/>
        <v>500</v>
      </c>
      <c r="CF526" s="55">
        <f t="shared" si="235"/>
        <v>0.72115384615384615</v>
      </c>
      <c r="CG526" s="55">
        <f t="shared" si="236"/>
        <v>9.3516209476309231E-2</v>
      </c>
      <c r="CH526" s="55">
        <f t="shared" si="237"/>
        <v>9.4114694440958713E-2</v>
      </c>
      <c r="CI526" s="30">
        <v>1</v>
      </c>
      <c r="CJ526" s="30">
        <v>1</v>
      </c>
      <c r="CK526" s="30">
        <v>1</v>
      </c>
      <c r="CL526" s="30">
        <v>3</v>
      </c>
      <c r="CM526" s="30">
        <v>125</v>
      </c>
      <c r="CN526" s="30">
        <v>40</v>
      </c>
      <c r="CO526" s="30">
        <v>5</v>
      </c>
      <c r="CP526" s="30">
        <v>170</v>
      </c>
      <c r="CQ526" s="1">
        <f t="shared" si="245"/>
        <v>3.2799536947713682E-2</v>
      </c>
      <c r="CR526" s="47">
        <v>8020</v>
      </c>
      <c r="CS526" s="55">
        <f t="shared" si="238"/>
        <v>1.5473663901215513</v>
      </c>
      <c r="CT526" s="59">
        <v>240</v>
      </c>
      <c r="CU526" s="29" t="s">
        <v>25</v>
      </c>
      <c r="CV526" s="29" t="s">
        <v>25</v>
      </c>
      <c r="CW526" s="29" t="s">
        <v>25</v>
      </c>
      <c r="CX526" s="35">
        <v>0.5</v>
      </c>
      <c r="CY526" s="49">
        <f>C526/CX526</f>
        <v>10366</v>
      </c>
      <c r="CZ526" s="35">
        <v>0</v>
      </c>
      <c r="DA526" s="35">
        <v>1</v>
      </c>
      <c r="DB526" s="35">
        <v>1.5</v>
      </c>
      <c r="DC526" s="49">
        <f t="shared" si="239"/>
        <v>3455.3333333333335</v>
      </c>
      <c r="DD526" s="30">
        <v>200</v>
      </c>
      <c r="DE526" s="31">
        <v>10515</v>
      </c>
      <c r="DF526" s="35">
        <v>20</v>
      </c>
      <c r="DG526" s="29" t="s">
        <v>25</v>
      </c>
      <c r="DH526" s="29" t="s">
        <v>26</v>
      </c>
      <c r="DI526" s="29" t="s">
        <v>26</v>
      </c>
      <c r="DJ526" s="47">
        <v>0</v>
      </c>
      <c r="DK526" s="47">
        <v>0</v>
      </c>
      <c r="DL526" s="47">
        <v>5</v>
      </c>
      <c r="DM526" s="47">
        <v>1040</v>
      </c>
      <c r="DN526" s="47">
        <v>4</v>
      </c>
      <c r="DO526" s="47">
        <v>260</v>
      </c>
      <c r="DP526" s="29" t="s">
        <v>83</v>
      </c>
      <c r="DQ526" s="47">
        <v>0</v>
      </c>
      <c r="DR526" s="47">
        <v>1040</v>
      </c>
      <c r="DS526" s="30">
        <v>52</v>
      </c>
      <c r="DT526" s="30">
        <v>20</v>
      </c>
      <c r="DU526" s="30">
        <v>20</v>
      </c>
      <c r="DV526" s="30">
        <v>20</v>
      </c>
      <c r="DX526" s="2">
        <f t="shared" si="240"/>
        <v>1040</v>
      </c>
      <c r="DY526" s="33" t="s">
        <v>2180</v>
      </c>
      <c r="DZ526" s="33" t="s">
        <v>2194</v>
      </c>
      <c r="EA526" s="33" t="s">
        <v>2030</v>
      </c>
      <c r="EB526" s="33" t="s">
        <v>2027</v>
      </c>
      <c r="EC526" s="36">
        <v>399</v>
      </c>
      <c r="ED526" s="29" t="s">
        <v>2204</v>
      </c>
      <c r="EE526" s="29" t="s">
        <v>588</v>
      </c>
      <c r="EF526" s="37">
        <v>41487</v>
      </c>
      <c r="EG526" s="37">
        <v>41851</v>
      </c>
      <c r="EH526" s="29" t="s">
        <v>2204</v>
      </c>
      <c r="EI526" s="55">
        <f t="shared" si="241"/>
        <v>7.7175381053443945E-2</v>
      </c>
      <c r="EJ526" s="54">
        <f t="shared" si="242"/>
        <v>0</v>
      </c>
      <c r="EK526" s="55">
        <f t="shared" si="243"/>
        <v>6.7528458421763457E-2</v>
      </c>
      <c r="EL526" s="54">
        <f t="shared" si="244"/>
        <v>0</v>
      </c>
    </row>
    <row r="527" spans="1:142" ht="28.8" x14ac:dyDescent="0.3">
      <c r="A527" s="29" t="s">
        <v>1317</v>
      </c>
      <c r="B527" s="29"/>
      <c r="C527" s="30">
        <v>14474</v>
      </c>
      <c r="D527" s="30">
        <v>2</v>
      </c>
      <c r="E527" s="30">
        <v>0</v>
      </c>
      <c r="F527" s="30">
        <v>2025</v>
      </c>
      <c r="G527">
        <v>3325</v>
      </c>
      <c r="H527" s="2">
        <f t="shared" si="219"/>
        <v>5350</v>
      </c>
      <c r="I527" s="1">
        <f t="shared" si="220"/>
        <v>0.36962829901893052</v>
      </c>
      <c r="J527" s="31">
        <v>71396</v>
      </c>
      <c r="K527" s="31">
        <v>35400</v>
      </c>
      <c r="L527" s="31">
        <v>106796</v>
      </c>
      <c r="M527" s="45">
        <f t="shared" si="221"/>
        <v>7.3784717424347104</v>
      </c>
      <c r="N527" s="31">
        <v>14087</v>
      </c>
      <c r="O527" s="31">
        <v>523</v>
      </c>
      <c r="P527" s="31">
        <v>4200</v>
      </c>
      <c r="Q527" s="31">
        <v>18810</v>
      </c>
      <c r="R527" s="45">
        <f t="shared" si="222"/>
        <v>1.2995716457095481</v>
      </c>
      <c r="S527" s="31">
        <v>19359</v>
      </c>
      <c r="T527" s="31">
        <v>144965</v>
      </c>
      <c r="U527" s="31">
        <v>0</v>
      </c>
      <c r="V527" s="31">
        <v>144965</v>
      </c>
      <c r="W527" s="45">
        <f t="shared" si="223"/>
        <v>10.0155451153793</v>
      </c>
      <c r="X527" s="4">
        <f t="shared" si="224"/>
        <v>0.73670196254268272</v>
      </c>
      <c r="Y527" s="4">
        <f t="shared" si="225"/>
        <v>0.12975545821405166</v>
      </c>
      <c r="Z527" s="4">
        <f t="shared" si="226"/>
        <v>0.13354257924326562</v>
      </c>
      <c r="AA527" s="4">
        <f t="shared" si="227"/>
        <v>0</v>
      </c>
      <c r="AB527" s="31">
        <v>0</v>
      </c>
      <c r="AC527" s="31">
        <v>18810</v>
      </c>
      <c r="AD527" s="31">
        <v>144965</v>
      </c>
      <c r="AE527" s="31">
        <v>120675</v>
      </c>
      <c r="AF527" s="31">
        <v>0</v>
      </c>
      <c r="AG527" s="31">
        <v>120675</v>
      </c>
      <c r="AH527" s="31">
        <v>0</v>
      </c>
      <c r="AI527" s="31">
        <v>120675</v>
      </c>
      <c r="AJ527" s="45">
        <f t="shared" si="228"/>
        <v>8.3373635484316697</v>
      </c>
      <c r="AK527" s="31">
        <v>0</v>
      </c>
      <c r="AL527" s="31">
        <v>0</v>
      </c>
      <c r="AM527" s="31">
        <v>0</v>
      </c>
      <c r="AN527" s="31">
        <v>0</v>
      </c>
      <c r="AO527" s="31">
        <v>0</v>
      </c>
      <c r="AP527" s="31">
        <v>6793</v>
      </c>
      <c r="AQ527" s="31">
        <v>6793</v>
      </c>
      <c r="AR527" s="31">
        <v>127468</v>
      </c>
      <c r="AS527" s="46">
        <f t="shared" si="229"/>
        <v>8.806687854083183</v>
      </c>
      <c r="AT527" s="31">
        <v>0</v>
      </c>
      <c r="AU527" s="31">
        <v>0</v>
      </c>
      <c r="AV527" s="31">
        <v>0</v>
      </c>
      <c r="AW527" s="31">
        <v>0</v>
      </c>
      <c r="AX527" s="31">
        <v>0</v>
      </c>
      <c r="AY527" s="31">
        <v>0</v>
      </c>
      <c r="AZ527" s="31">
        <v>0</v>
      </c>
      <c r="BA527" s="31">
        <v>0</v>
      </c>
      <c r="BB527" s="31">
        <v>0</v>
      </c>
      <c r="BC527" s="33" t="s">
        <v>25</v>
      </c>
      <c r="BD527" s="47">
        <v>31519</v>
      </c>
      <c r="BE527" s="47">
        <v>33019</v>
      </c>
      <c r="BF527" s="45">
        <f t="shared" si="230"/>
        <v>2.2812629542628162</v>
      </c>
      <c r="BG527" s="30">
        <v>231</v>
      </c>
      <c r="BH527" s="30">
        <v>500</v>
      </c>
      <c r="BI527" s="30">
        <v>0</v>
      </c>
      <c r="BJ527" s="30">
        <v>3200</v>
      </c>
      <c r="BK527" s="30">
        <v>3386</v>
      </c>
      <c r="BL527" s="30">
        <v>0</v>
      </c>
      <c r="BM527" s="30">
        <v>0</v>
      </c>
      <c r="BN527" s="30">
        <v>0</v>
      </c>
      <c r="BO527" s="30">
        <v>51</v>
      </c>
      <c r="BP527" s="30">
        <v>0</v>
      </c>
      <c r="BQ527" s="30">
        <v>51</v>
      </c>
      <c r="BR527" s="47">
        <v>34950</v>
      </c>
      <c r="BS527" s="47">
        <v>36905</v>
      </c>
      <c r="BT527" s="1">
        <f t="shared" si="231"/>
        <v>2.5497443692137627</v>
      </c>
      <c r="BU527" s="30">
        <v>9</v>
      </c>
      <c r="BV527" s="30">
        <v>1</v>
      </c>
      <c r="BW527" s="47">
        <v>1973</v>
      </c>
      <c r="BX527" s="52">
        <f t="shared" si="232"/>
        <v>0.13631338952604671</v>
      </c>
      <c r="BY527" s="47">
        <v>37299</v>
      </c>
      <c r="BZ527" s="47">
        <v>0</v>
      </c>
      <c r="CA527" s="47">
        <v>29170</v>
      </c>
      <c r="CB527" s="47">
        <v>0</v>
      </c>
      <c r="CC527" s="47">
        <v>66469</v>
      </c>
      <c r="CD527" s="55">
        <f t="shared" si="233"/>
        <v>4.5923034406522039</v>
      </c>
      <c r="CE527" s="3">
        <f t="shared" si="234"/>
        <v>19549.705882352941</v>
      </c>
      <c r="CF527" s="55">
        <f t="shared" si="235"/>
        <v>13.398306792985284</v>
      </c>
      <c r="CG527" s="55">
        <f t="shared" si="236"/>
        <v>2.0517656500802568</v>
      </c>
      <c r="CH527" s="55">
        <f t="shared" si="237"/>
        <v>1.801083863975071</v>
      </c>
      <c r="CI527" s="30">
        <v>16</v>
      </c>
      <c r="CJ527" s="30">
        <v>0</v>
      </c>
      <c r="CK527" s="30">
        <v>0</v>
      </c>
      <c r="CL527" s="30">
        <v>16</v>
      </c>
      <c r="CM527" s="30">
        <v>453</v>
      </c>
      <c r="CN527" s="30">
        <v>0</v>
      </c>
      <c r="CO527" s="30">
        <v>0</v>
      </c>
      <c r="CP527" s="30">
        <v>453</v>
      </c>
      <c r="CQ527" s="1">
        <f t="shared" si="245"/>
        <v>3.1297498963658972E-2</v>
      </c>
      <c r="CR527" s="47">
        <v>32396</v>
      </c>
      <c r="CS527" s="55">
        <f t="shared" si="238"/>
        <v>2.2382202570125744</v>
      </c>
      <c r="CT527" s="59">
        <v>5172</v>
      </c>
      <c r="CU527" s="29" t="s">
        <v>25</v>
      </c>
      <c r="CV527" s="29" t="s">
        <v>25</v>
      </c>
      <c r="CW527" s="29" t="s">
        <v>25</v>
      </c>
      <c r="CX527" s="35">
        <v>0</v>
      </c>
      <c r="CY527" s="49">
        <v>0</v>
      </c>
      <c r="CZ527" s="35">
        <v>1.6</v>
      </c>
      <c r="DA527" s="35">
        <v>1.8</v>
      </c>
      <c r="DB527" s="35">
        <v>3.4000000000000004</v>
      </c>
      <c r="DC527" s="49">
        <f t="shared" si="239"/>
        <v>4257.0588235294117</v>
      </c>
      <c r="DD527" s="30">
        <v>229</v>
      </c>
      <c r="DE527" s="31">
        <v>27875</v>
      </c>
      <c r="DF527" s="35">
        <v>32</v>
      </c>
      <c r="DG527" s="29" t="s">
        <v>25</v>
      </c>
      <c r="DH527" s="29" t="s">
        <v>25</v>
      </c>
      <c r="DI527" s="29" t="s">
        <v>25</v>
      </c>
      <c r="DJ527" s="47">
        <v>56</v>
      </c>
      <c r="DK527" s="47">
        <v>42</v>
      </c>
      <c r="DL527" s="47">
        <v>11</v>
      </c>
      <c r="DM527" s="47">
        <v>3815</v>
      </c>
      <c r="DN527" s="47">
        <v>882</v>
      </c>
      <c r="DO527" s="47">
        <v>1167</v>
      </c>
      <c r="DP527" s="29" t="s">
        <v>2028</v>
      </c>
      <c r="DQ527" s="47">
        <v>0</v>
      </c>
      <c r="DR527" s="47">
        <v>1987</v>
      </c>
      <c r="DS527" s="30">
        <v>52</v>
      </c>
      <c r="DT527" s="30">
        <v>44</v>
      </c>
      <c r="DU527" s="30">
        <v>44</v>
      </c>
      <c r="DV527" s="30">
        <v>44</v>
      </c>
      <c r="DW527">
        <f>VLOOKUP(EC527,branch!$I$4:$K$77,3,0)</f>
        <v>2974</v>
      </c>
      <c r="DX527" s="2">
        <f t="shared" si="240"/>
        <v>4961</v>
      </c>
      <c r="DY527" s="33" t="s">
        <v>2185</v>
      </c>
      <c r="DZ527" s="33" t="s">
        <v>1319</v>
      </c>
      <c r="EA527" s="33" t="s">
        <v>2031</v>
      </c>
      <c r="EB527" s="33" t="s">
        <v>2027</v>
      </c>
      <c r="EC527" s="36">
        <v>400</v>
      </c>
      <c r="ED527" s="29" t="s">
        <v>1318</v>
      </c>
      <c r="EE527" s="29" t="s">
        <v>108</v>
      </c>
      <c r="EF527" s="37">
        <v>41548</v>
      </c>
      <c r="EG527" s="37">
        <v>41912</v>
      </c>
      <c r="EH527" s="29" t="s">
        <v>1318</v>
      </c>
      <c r="EI527" s="55">
        <f t="shared" si="241"/>
        <v>2.5769655934779605</v>
      </c>
      <c r="EJ527" s="54">
        <f t="shared" si="242"/>
        <v>0</v>
      </c>
      <c r="EK527" s="55">
        <f t="shared" si="243"/>
        <v>2.0153378471742434</v>
      </c>
      <c r="EL527" s="54">
        <f t="shared" si="244"/>
        <v>0</v>
      </c>
    </row>
    <row r="528" spans="1:142" ht="28.8" x14ac:dyDescent="0.3">
      <c r="A528" s="29" t="s">
        <v>1765</v>
      </c>
      <c r="B528" s="29"/>
      <c r="C528" s="30">
        <v>5263</v>
      </c>
      <c r="D528" s="30">
        <v>0</v>
      </c>
      <c r="E528" s="30">
        <v>0</v>
      </c>
      <c r="F528" s="30">
        <v>2272</v>
      </c>
      <c r="H528" s="2">
        <f t="shared" si="219"/>
        <v>2272</v>
      </c>
      <c r="I528" s="1">
        <f t="shared" si="220"/>
        <v>0.43169295078852365</v>
      </c>
      <c r="J528" s="31">
        <v>13360</v>
      </c>
      <c r="K528" s="31">
        <v>2492</v>
      </c>
      <c r="L528" s="31">
        <v>15852</v>
      </c>
      <c r="M528" s="45">
        <f t="shared" si="221"/>
        <v>3.0119703591107734</v>
      </c>
      <c r="N528" s="31">
        <v>3267</v>
      </c>
      <c r="O528" s="31">
        <v>0</v>
      </c>
      <c r="P528" s="31">
        <v>0</v>
      </c>
      <c r="Q528" s="31">
        <v>3267</v>
      </c>
      <c r="R528" s="45">
        <f t="shared" si="222"/>
        <v>0.62074862245867379</v>
      </c>
      <c r="S528" s="31">
        <v>8151</v>
      </c>
      <c r="T528" s="31">
        <v>27270</v>
      </c>
      <c r="U528" s="31">
        <v>0</v>
      </c>
      <c r="V528" s="31">
        <v>27270</v>
      </c>
      <c r="W528" s="45">
        <f t="shared" si="223"/>
        <v>5.1814554436633102</v>
      </c>
      <c r="X528" s="4">
        <f t="shared" si="224"/>
        <v>0.58129812981298135</v>
      </c>
      <c r="Y528" s="4">
        <f t="shared" si="225"/>
        <v>0.1198019801980198</v>
      </c>
      <c r="Z528" s="4">
        <f t="shared" si="226"/>
        <v>0.29889988998899891</v>
      </c>
      <c r="AA528" s="4">
        <f t="shared" si="227"/>
        <v>0</v>
      </c>
      <c r="AB528" s="31">
        <v>0</v>
      </c>
      <c r="AC528" s="31">
        <v>500</v>
      </c>
      <c r="AD528" s="31">
        <v>21645</v>
      </c>
      <c r="AE528" s="31">
        <v>12000</v>
      </c>
      <c r="AF528" s="31">
        <v>5500</v>
      </c>
      <c r="AG528" s="31">
        <v>6500</v>
      </c>
      <c r="AH528" s="31">
        <v>0</v>
      </c>
      <c r="AI528" s="31">
        <v>12000</v>
      </c>
      <c r="AJ528" s="45">
        <f t="shared" si="228"/>
        <v>2.2800684020520614</v>
      </c>
      <c r="AK528" s="31">
        <v>0</v>
      </c>
      <c r="AL528" s="31">
        <v>0</v>
      </c>
      <c r="AM528" s="31">
        <v>0</v>
      </c>
      <c r="AN528" s="31">
        <v>0</v>
      </c>
      <c r="AO528" s="31">
        <v>6762</v>
      </c>
      <c r="AP528" s="31">
        <v>8508</v>
      </c>
      <c r="AQ528" s="31">
        <v>15270</v>
      </c>
      <c r="AR528" s="31">
        <v>27270</v>
      </c>
      <c r="AS528" s="46">
        <f t="shared" si="229"/>
        <v>5.1814554436633102</v>
      </c>
      <c r="AT528" s="31">
        <v>0</v>
      </c>
      <c r="AU528" s="31">
        <v>0</v>
      </c>
      <c r="AV528" s="31">
        <v>0</v>
      </c>
      <c r="AW528" s="31">
        <v>0</v>
      </c>
      <c r="AX528" s="31">
        <v>0</v>
      </c>
      <c r="AY528" s="31">
        <v>0</v>
      </c>
      <c r="AZ528" s="31">
        <v>0</v>
      </c>
      <c r="BA528" s="31">
        <v>0</v>
      </c>
      <c r="BB528" s="31">
        <v>0</v>
      </c>
      <c r="BC528" s="33" t="s">
        <v>25</v>
      </c>
      <c r="BD528" s="47">
        <v>12894</v>
      </c>
      <c r="BE528" s="47">
        <v>12894</v>
      </c>
      <c r="BF528" s="45">
        <f t="shared" si="230"/>
        <v>2.4499334980049401</v>
      </c>
      <c r="BG528" s="30">
        <v>979</v>
      </c>
      <c r="BH528" s="30">
        <v>979</v>
      </c>
      <c r="BI528" s="30">
        <v>0</v>
      </c>
      <c r="BJ528" s="30">
        <v>542</v>
      </c>
      <c r="BK528" s="30">
        <v>542</v>
      </c>
      <c r="BL528" s="30">
        <v>0</v>
      </c>
      <c r="BM528" s="30">
        <v>0</v>
      </c>
      <c r="BN528" s="30">
        <v>0</v>
      </c>
      <c r="BO528" s="30">
        <v>51</v>
      </c>
      <c r="BP528" s="30">
        <v>0</v>
      </c>
      <c r="BQ528" s="30">
        <v>51</v>
      </c>
      <c r="BR528" s="47">
        <v>14415</v>
      </c>
      <c r="BS528" s="47">
        <v>14415</v>
      </c>
      <c r="BT528" s="1">
        <f t="shared" si="231"/>
        <v>2.7389321679650389</v>
      </c>
      <c r="BU528" s="30">
        <v>0</v>
      </c>
      <c r="BV528" s="30">
        <v>0</v>
      </c>
      <c r="BW528" s="47">
        <v>1129</v>
      </c>
      <c r="BX528" s="52">
        <f t="shared" si="232"/>
        <v>0.21451643549306479</v>
      </c>
      <c r="BY528" s="47">
        <v>1598</v>
      </c>
      <c r="BZ528" s="47">
        <v>0</v>
      </c>
      <c r="CA528" s="47">
        <v>2494</v>
      </c>
      <c r="CB528" s="47">
        <v>0</v>
      </c>
      <c r="CC528" s="47">
        <v>4092</v>
      </c>
      <c r="CD528" s="55">
        <f t="shared" si="233"/>
        <v>0.77750332509975295</v>
      </c>
      <c r="CE528" s="3">
        <f t="shared" si="234"/>
        <v>6495.2380952380954</v>
      </c>
      <c r="CF528" s="55">
        <f t="shared" si="235"/>
        <v>3.2068965517241379</v>
      </c>
      <c r="CG528" s="55">
        <f t="shared" si="236"/>
        <v>0.44348108811097864</v>
      </c>
      <c r="CH528" s="55">
        <f t="shared" si="237"/>
        <v>0.28387096774193549</v>
      </c>
      <c r="CI528" s="30">
        <v>9</v>
      </c>
      <c r="CJ528" s="30">
        <v>0</v>
      </c>
      <c r="CK528" s="30">
        <v>8</v>
      </c>
      <c r="CL528" s="30">
        <v>17</v>
      </c>
      <c r="CM528" s="30">
        <v>508</v>
      </c>
      <c r="CN528" s="30">
        <v>0</v>
      </c>
      <c r="CO528" s="30">
        <v>99</v>
      </c>
      <c r="CP528" s="30">
        <v>607</v>
      </c>
      <c r="CQ528" s="1">
        <f t="shared" si="245"/>
        <v>0.11533346000380011</v>
      </c>
      <c r="CR528" s="47">
        <v>9227</v>
      </c>
      <c r="CS528" s="55">
        <f t="shared" si="238"/>
        <v>1.7531825954778644</v>
      </c>
      <c r="CT528" s="59">
        <v>2110</v>
      </c>
      <c r="CU528" s="29" t="s">
        <v>25</v>
      </c>
      <c r="CV528" s="29" t="s">
        <v>25</v>
      </c>
      <c r="CW528" s="29" t="s">
        <v>25</v>
      </c>
      <c r="CX528" s="35">
        <v>0</v>
      </c>
      <c r="CY528" s="49">
        <v>0</v>
      </c>
      <c r="CZ528" s="35">
        <v>0.63</v>
      </c>
      <c r="DA528" s="35">
        <v>0</v>
      </c>
      <c r="DB528" s="35">
        <v>0.63</v>
      </c>
      <c r="DC528" s="49">
        <f t="shared" si="239"/>
        <v>8353.9682539682544</v>
      </c>
      <c r="DD528" s="30">
        <v>1184</v>
      </c>
      <c r="DE528" s="31">
        <v>8320</v>
      </c>
      <c r="DF528" s="35">
        <v>20</v>
      </c>
      <c r="DG528" s="29" t="s">
        <v>25</v>
      </c>
      <c r="DH528" s="29" t="s">
        <v>25</v>
      </c>
      <c r="DI528" s="29" t="s">
        <v>25</v>
      </c>
      <c r="DJ528" s="47">
        <v>0</v>
      </c>
      <c r="DK528" s="47">
        <v>3</v>
      </c>
      <c r="DL528" s="47">
        <v>6</v>
      </c>
      <c r="DM528" s="47">
        <v>1006</v>
      </c>
      <c r="DN528" s="47">
        <v>16</v>
      </c>
      <c r="DO528" s="47">
        <v>69</v>
      </c>
      <c r="DP528" s="29" t="s">
        <v>25</v>
      </c>
      <c r="DQ528" s="47">
        <v>4678</v>
      </c>
      <c r="DR528" s="47">
        <v>1276</v>
      </c>
      <c r="DS528" s="30">
        <v>52</v>
      </c>
      <c r="DT528" s="30">
        <v>25</v>
      </c>
      <c r="DU528" s="30">
        <v>25</v>
      </c>
      <c r="DV528" s="30">
        <v>25</v>
      </c>
      <c r="DX528" s="2">
        <f t="shared" si="240"/>
        <v>1276</v>
      </c>
      <c r="DY528" s="33" t="s">
        <v>2182</v>
      </c>
      <c r="DZ528" s="33" t="s">
        <v>1767</v>
      </c>
      <c r="EA528" s="33" t="s">
        <v>2032</v>
      </c>
      <c r="EB528" s="33" t="s">
        <v>2027</v>
      </c>
      <c r="EC528" s="36">
        <v>616</v>
      </c>
      <c r="ED528" s="29" t="s">
        <v>1766</v>
      </c>
      <c r="EE528" s="29" t="s">
        <v>874</v>
      </c>
      <c r="EF528" s="37">
        <v>41640</v>
      </c>
      <c r="EG528" s="37">
        <v>42004</v>
      </c>
      <c r="EH528" s="29" t="s">
        <v>1766</v>
      </c>
      <c r="EI528" s="55">
        <f t="shared" si="241"/>
        <v>0.30362910887326622</v>
      </c>
      <c r="EJ528" s="54">
        <f t="shared" si="242"/>
        <v>0</v>
      </c>
      <c r="EK528" s="55">
        <f t="shared" si="243"/>
        <v>0.47387421622648679</v>
      </c>
      <c r="EL528" s="54">
        <f t="shared" si="244"/>
        <v>0</v>
      </c>
    </row>
    <row r="529" spans="1:142" ht="28.8" x14ac:dyDescent="0.3">
      <c r="A529" s="29" t="s">
        <v>1435</v>
      </c>
      <c r="B529" s="29"/>
      <c r="C529" s="30">
        <v>24187</v>
      </c>
      <c r="D529" s="30">
        <v>0</v>
      </c>
      <c r="E529" s="30">
        <v>0</v>
      </c>
      <c r="F529" s="30">
        <v>20413</v>
      </c>
      <c r="H529" s="2">
        <f t="shared" si="219"/>
        <v>20413</v>
      </c>
      <c r="I529" s="1">
        <f t="shared" si="220"/>
        <v>0.8439657667341961</v>
      </c>
      <c r="J529" s="31">
        <v>480516</v>
      </c>
      <c r="K529" s="31">
        <v>110748</v>
      </c>
      <c r="L529" s="31">
        <v>591264</v>
      </c>
      <c r="M529" s="45">
        <f t="shared" si="221"/>
        <v>24.445528589738288</v>
      </c>
      <c r="N529" s="31">
        <v>95799</v>
      </c>
      <c r="O529" s="31">
        <v>29105</v>
      </c>
      <c r="P529" s="31">
        <v>33467</v>
      </c>
      <c r="Q529" s="31">
        <v>158371</v>
      </c>
      <c r="R529" s="45">
        <f t="shared" si="222"/>
        <v>6.5477735973870264</v>
      </c>
      <c r="S529" s="31">
        <v>84786</v>
      </c>
      <c r="T529" s="31">
        <v>834421</v>
      </c>
      <c r="U529" s="31">
        <v>0</v>
      </c>
      <c r="V529" s="31">
        <v>834421</v>
      </c>
      <c r="W529" s="45">
        <f t="shared" si="223"/>
        <v>34.498738992020506</v>
      </c>
      <c r="X529" s="4">
        <f t="shared" si="224"/>
        <v>0.70859194579235185</v>
      </c>
      <c r="Y529" s="4">
        <f t="shared" si="225"/>
        <v>0.18979747633388902</v>
      </c>
      <c r="Z529" s="4">
        <f t="shared" si="226"/>
        <v>0.10161057787375917</v>
      </c>
      <c r="AA529" s="4">
        <f t="shared" si="227"/>
        <v>0</v>
      </c>
      <c r="AB529" s="31">
        <v>0</v>
      </c>
      <c r="AC529" s="31">
        <v>158254</v>
      </c>
      <c r="AD529" s="31">
        <v>830807</v>
      </c>
      <c r="AE529" s="31">
        <v>816226</v>
      </c>
      <c r="AF529" s="31">
        <v>816226</v>
      </c>
      <c r="AG529" s="31">
        <v>0</v>
      </c>
      <c r="AH529" s="31">
        <v>0</v>
      </c>
      <c r="AI529" s="31">
        <v>816226</v>
      </c>
      <c r="AJ529" s="45">
        <f t="shared" si="228"/>
        <v>33.746475379336005</v>
      </c>
      <c r="AK529" s="31">
        <v>0</v>
      </c>
      <c r="AL529" s="31">
        <v>0</v>
      </c>
      <c r="AM529" s="31">
        <v>0</v>
      </c>
      <c r="AN529" s="31">
        <v>0</v>
      </c>
      <c r="AO529" s="31">
        <v>4749</v>
      </c>
      <c r="AP529" s="31">
        <v>13446</v>
      </c>
      <c r="AQ529" s="31">
        <v>18195</v>
      </c>
      <c r="AR529" s="31">
        <v>834421</v>
      </c>
      <c r="AS529" s="46">
        <f t="shared" si="229"/>
        <v>34.498738992020506</v>
      </c>
      <c r="AT529" s="31">
        <v>0</v>
      </c>
      <c r="AU529" s="31">
        <v>0</v>
      </c>
      <c r="AV529" s="31">
        <v>0</v>
      </c>
      <c r="AW529" s="31">
        <v>0</v>
      </c>
      <c r="AX529" s="31">
        <v>0</v>
      </c>
      <c r="AY529" s="31">
        <v>0</v>
      </c>
      <c r="AZ529" s="31">
        <v>0</v>
      </c>
      <c r="BA529" s="31">
        <v>0</v>
      </c>
      <c r="BB529" s="31">
        <v>0</v>
      </c>
      <c r="BC529" s="33" t="s">
        <v>25</v>
      </c>
      <c r="BD529" s="47">
        <v>66869</v>
      </c>
      <c r="BE529" s="47">
        <v>75274</v>
      </c>
      <c r="BF529" s="45">
        <f t="shared" si="230"/>
        <v>3.1121676933890106</v>
      </c>
      <c r="BG529" s="30">
        <v>7054</v>
      </c>
      <c r="BH529" s="30">
        <v>7419</v>
      </c>
      <c r="BI529" s="30">
        <v>4501</v>
      </c>
      <c r="BJ529" s="30">
        <v>11156</v>
      </c>
      <c r="BK529" s="30">
        <v>13387</v>
      </c>
      <c r="BL529" s="30">
        <v>0</v>
      </c>
      <c r="BM529" s="30">
        <v>8131</v>
      </c>
      <c r="BN529" s="30">
        <v>14</v>
      </c>
      <c r="BO529" s="30">
        <v>51</v>
      </c>
      <c r="BP529" s="30">
        <v>0</v>
      </c>
      <c r="BQ529" s="30">
        <v>65</v>
      </c>
      <c r="BR529" s="47">
        <v>85079</v>
      </c>
      <c r="BS529" s="47">
        <v>108726</v>
      </c>
      <c r="BT529" s="1">
        <f t="shared" si="231"/>
        <v>4.4952247074874929</v>
      </c>
      <c r="BU529" s="30">
        <v>142</v>
      </c>
      <c r="BV529" s="30">
        <v>0</v>
      </c>
      <c r="BW529" s="47">
        <v>21962</v>
      </c>
      <c r="BX529" s="52">
        <f t="shared" si="232"/>
        <v>0.90800843428287925</v>
      </c>
      <c r="BY529" s="47">
        <v>183737</v>
      </c>
      <c r="BZ529" s="47">
        <v>144</v>
      </c>
      <c r="CA529" s="47">
        <v>170137</v>
      </c>
      <c r="CB529" s="47">
        <v>3984</v>
      </c>
      <c r="CC529" s="47">
        <v>358002</v>
      </c>
      <c r="CD529" s="55">
        <f t="shared" si="233"/>
        <v>14.801422251622773</v>
      </c>
      <c r="CE529" s="3">
        <f t="shared" si="234"/>
        <v>26518.666666666668</v>
      </c>
      <c r="CF529" s="55">
        <f t="shared" si="235"/>
        <v>165.28254847645428</v>
      </c>
      <c r="CG529" s="55">
        <f t="shared" si="236"/>
        <v>2.834649035987173</v>
      </c>
      <c r="CH529" s="55">
        <f t="shared" si="237"/>
        <v>3.254732078803598</v>
      </c>
      <c r="CI529" s="30">
        <v>579</v>
      </c>
      <c r="CJ529" s="30">
        <v>14</v>
      </c>
      <c r="CK529" s="30">
        <v>565</v>
      </c>
      <c r="CL529" s="30">
        <v>1158</v>
      </c>
      <c r="CM529" s="30">
        <v>20983</v>
      </c>
      <c r="CN529" s="30">
        <v>243</v>
      </c>
      <c r="CO529" s="30">
        <v>7454</v>
      </c>
      <c r="CP529" s="30">
        <v>28680</v>
      </c>
      <c r="CQ529" s="1">
        <f t="shared" si="245"/>
        <v>1.1857609459627072</v>
      </c>
      <c r="CR529" s="47">
        <v>126295</v>
      </c>
      <c r="CS529" s="55">
        <f t="shared" si="238"/>
        <v>5.2216066481994456</v>
      </c>
      <c r="CT529" s="59">
        <v>18196</v>
      </c>
      <c r="CU529" s="29" t="s">
        <v>25</v>
      </c>
      <c r="CV529" s="29" t="s">
        <v>25</v>
      </c>
      <c r="CW529" s="29" t="s">
        <v>25</v>
      </c>
      <c r="CX529" s="35">
        <v>4</v>
      </c>
      <c r="CY529" s="49">
        <f>C529/CX529</f>
        <v>6046.75</v>
      </c>
      <c r="CZ529" s="35">
        <v>1</v>
      </c>
      <c r="DA529" s="35">
        <v>8.5</v>
      </c>
      <c r="DB529" s="35">
        <v>13.5</v>
      </c>
      <c r="DC529" s="49">
        <f t="shared" si="239"/>
        <v>1791.6296296296296</v>
      </c>
      <c r="DD529" s="30">
        <v>6032</v>
      </c>
      <c r="DE529" s="31">
        <v>68678</v>
      </c>
      <c r="DF529" s="35">
        <v>40</v>
      </c>
      <c r="DG529" s="29" t="s">
        <v>25</v>
      </c>
      <c r="DH529" s="29" t="s">
        <v>25</v>
      </c>
      <c r="DI529" s="29" t="s">
        <v>25</v>
      </c>
      <c r="DJ529" s="47">
        <v>19491</v>
      </c>
      <c r="DK529" s="47">
        <v>54215</v>
      </c>
      <c r="DL529" s="47">
        <v>25</v>
      </c>
      <c r="DM529" s="47">
        <v>20107</v>
      </c>
      <c r="DN529" s="47">
        <v>570</v>
      </c>
      <c r="DO529" s="47">
        <v>2860</v>
      </c>
      <c r="DP529" s="29" t="s">
        <v>2028</v>
      </c>
      <c r="DQ529" s="47">
        <v>0</v>
      </c>
      <c r="DR529" s="47">
        <v>2166</v>
      </c>
      <c r="DS529" s="30">
        <v>52</v>
      </c>
      <c r="DT529" s="30">
        <v>44</v>
      </c>
      <c r="DU529" s="30">
        <v>44</v>
      </c>
      <c r="DV529" s="30">
        <v>44</v>
      </c>
      <c r="DX529" s="2">
        <f t="shared" si="240"/>
        <v>2166</v>
      </c>
      <c r="DY529" s="33" t="s">
        <v>2181</v>
      </c>
      <c r="DZ529" s="33" t="s">
        <v>1437</v>
      </c>
      <c r="EA529" s="33" t="s">
        <v>2030</v>
      </c>
      <c r="EB529" s="33" t="s">
        <v>2027</v>
      </c>
      <c r="EC529" s="36">
        <v>451</v>
      </c>
      <c r="ED529" s="29" t="s">
        <v>1436</v>
      </c>
      <c r="EE529" s="29" t="s">
        <v>91</v>
      </c>
      <c r="EF529" s="37">
        <v>41548</v>
      </c>
      <c r="EG529" s="37">
        <v>41912</v>
      </c>
      <c r="EH529" s="29" t="s">
        <v>1436</v>
      </c>
      <c r="EI529" s="55">
        <f t="shared" si="241"/>
        <v>7.5965187910861207</v>
      </c>
      <c r="EJ529" s="54">
        <f t="shared" si="242"/>
        <v>5.9536114441642203E-3</v>
      </c>
      <c r="EK529" s="55">
        <f t="shared" si="243"/>
        <v>7.0342332658039446</v>
      </c>
      <c r="EL529" s="54">
        <f t="shared" si="244"/>
        <v>0.16471658328854344</v>
      </c>
    </row>
    <row r="530" spans="1:142" ht="28.8" x14ac:dyDescent="0.3">
      <c r="A530" s="29" t="s">
        <v>1320</v>
      </c>
      <c r="B530" s="29"/>
      <c r="C530" s="30">
        <v>31591</v>
      </c>
      <c r="D530" s="30">
        <v>0</v>
      </c>
      <c r="E530" s="30">
        <v>0</v>
      </c>
      <c r="F530" s="30">
        <v>19980</v>
      </c>
      <c r="H530" s="2">
        <f t="shared" si="219"/>
        <v>19980</v>
      </c>
      <c r="I530" s="1">
        <f t="shared" si="220"/>
        <v>0.63245861162989458</v>
      </c>
      <c r="J530" s="31">
        <v>527311</v>
      </c>
      <c r="K530" s="31">
        <v>299669</v>
      </c>
      <c r="L530" s="31">
        <v>826980</v>
      </c>
      <c r="M530" s="45">
        <f t="shared" si="221"/>
        <v>26.177708841125636</v>
      </c>
      <c r="N530" s="31">
        <v>62705</v>
      </c>
      <c r="O530" s="31">
        <v>10630</v>
      </c>
      <c r="P530" s="31">
        <v>22383</v>
      </c>
      <c r="Q530" s="31">
        <v>95718</v>
      </c>
      <c r="R530" s="45">
        <f t="shared" si="222"/>
        <v>3.0299135829824948</v>
      </c>
      <c r="S530" s="31">
        <v>199589</v>
      </c>
      <c r="T530" s="31">
        <v>1122287</v>
      </c>
      <c r="U530" s="31">
        <v>0</v>
      </c>
      <c r="V530" s="31">
        <v>1122287</v>
      </c>
      <c r="W530" s="45">
        <f t="shared" si="223"/>
        <v>35.525529422936913</v>
      </c>
      <c r="X530" s="4">
        <f t="shared" si="224"/>
        <v>0.73687033708846306</v>
      </c>
      <c r="Y530" s="4">
        <f t="shared" si="225"/>
        <v>8.5288344247059805E-2</v>
      </c>
      <c r="Z530" s="4">
        <f t="shared" si="226"/>
        <v>0.17784131866447708</v>
      </c>
      <c r="AA530" s="4">
        <f t="shared" si="227"/>
        <v>0</v>
      </c>
      <c r="AB530" s="31">
        <v>0</v>
      </c>
      <c r="AC530" s="31">
        <v>95718</v>
      </c>
      <c r="AD530" s="31">
        <v>1019142</v>
      </c>
      <c r="AE530" s="31">
        <v>1019142</v>
      </c>
      <c r="AF530" s="31">
        <v>1019142</v>
      </c>
      <c r="AG530" s="31">
        <v>0</v>
      </c>
      <c r="AH530" s="31">
        <v>0</v>
      </c>
      <c r="AI530" s="31">
        <v>1019142</v>
      </c>
      <c r="AJ530" s="45">
        <f t="shared" si="228"/>
        <v>32.260517235921625</v>
      </c>
      <c r="AK530" s="31">
        <v>0</v>
      </c>
      <c r="AL530" s="31">
        <v>0</v>
      </c>
      <c r="AM530" s="31">
        <v>0</v>
      </c>
      <c r="AN530" s="31">
        <v>0</v>
      </c>
      <c r="AO530" s="31">
        <v>27188</v>
      </c>
      <c r="AP530" s="31">
        <v>156546</v>
      </c>
      <c r="AQ530" s="31">
        <v>183734</v>
      </c>
      <c r="AR530" s="31">
        <v>1202876</v>
      </c>
      <c r="AS530" s="46">
        <f t="shared" si="229"/>
        <v>38.076540786932988</v>
      </c>
      <c r="AT530" s="31">
        <v>0</v>
      </c>
      <c r="AU530" s="31">
        <v>0</v>
      </c>
      <c r="AV530" s="31">
        <v>0</v>
      </c>
      <c r="AW530" s="31">
        <v>0</v>
      </c>
      <c r="AX530" s="31">
        <v>0</v>
      </c>
      <c r="AY530" s="31">
        <v>0</v>
      </c>
      <c r="AZ530" s="31">
        <v>0</v>
      </c>
      <c r="BA530" s="31">
        <v>0</v>
      </c>
      <c r="BB530" s="31">
        <v>0</v>
      </c>
      <c r="BC530" s="33" t="s">
        <v>25</v>
      </c>
      <c r="BD530" s="47">
        <v>91701</v>
      </c>
      <c r="BE530" s="47">
        <v>104333</v>
      </c>
      <c r="BF530" s="45">
        <f t="shared" si="230"/>
        <v>3.302617834193283</v>
      </c>
      <c r="BG530" s="30">
        <v>5671</v>
      </c>
      <c r="BH530" s="30">
        <v>5881</v>
      </c>
      <c r="BI530" s="30">
        <v>424</v>
      </c>
      <c r="BJ530" s="30">
        <v>3984</v>
      </c>
      <c r="BK530" s="30">
        <v>4148</v>
      </c>
      <c r="BL530" s="30">
        <v>27</v>
      </c>
      <c r="BM530" s="30">
        <v>3072</v>
      </c>
      <c r="BN530" s="30">
        <v>6</v>
      </c>
      <c r="BO530" s="30">
        <v>51</v>
      </c>
      <c r="BP530" s="30">
        <v>1</v>
      </c>
      <c r="BQ530" s="30">
        <v>58</v>
      </c>
      <c r="BR530" s="47">
        <v>101356</v>
      </c>
      <c r="BS530" s="47">
        <v>117891</v>
      </c>
      <c r="BT530" s="1">
        <f t="shared" si="231"/>
        <v>3.731790699882878</v>
      </c>
      <c r="BU530" s="30">
        <v>115</v>
      </c>
      <c r="BV530" s="30">
        <v>0</v>
      </c>
      <c r="BW530" s="47">
        <v>22683</v>
      </c>
      <c r="BX530" s="52">
        <f t="shared" si="232"/>
        <v>0.71802095533538035</v>
      </c>
      <c r="BY530" s="47">
        <v>85576</v>
      </c>
      <c r="BZ530" s="47">
        <v>1042</v>
      </c>
      <c r="CA530" s="47">
        <v>99091</v>
      </c>
      <c r="CB530" s="47">
        <v>10536</v>
      </c>
      <c r="CC530" s="47">
        <v>196245</v>
      </c>
      <c r="CD530" s="55">
        <f t="shared" si="233"/>
        <v>6.2120540660314649</v>
      </c>
      <c r="CE530" s="3">
        <f t="shared" si="234"/>
        <v>16319.75051975052</v>
      </c>
      <c r="CF530" s="55">
        <f t="shared" si="235"/>
        <v>97.054896142433236</v>
      </c>
      <c r="CG530" s="55">
        <f t="shared" si="236"/>
        <v>0.74167787872832547</v>
      </c>
      <c r="CH530" s="55">
        <f t="shared" si="237"/>
        <v>1.5664215249679789</v>
      </c>
      <c r="CI530" s="30">
        <v>184</v>
      </c>
      <c r="CJ530" s="30">
        <v>101</v>
      </c>
      <c r="CK530" s="30">
        <v>223</v>
      </c>
      <c r="CL530" s="30">
        <v>508</v>
      </c>
      <c r="CM530" s="30">
        <v>5914</v>
      </c>
      <c r="CN530" s="30">
        <v>1035</v>
      </c>
      <c r="CO530" s="30">
        <v>1328</v>
      </c>
      <c r="CP530" s="30">
        <v>8277</v>
      </c>
      <c r="CQ530" s="1">
        <f t="shared" si="245"/>
        <v>0.26200500142445632</v>
      </c>
      <c r="CR530" s="47">
        <v>264596</v>
      </c>
      <c r="CS530" s="55">
        <f t="shared" si="238"/>
        <v>8.3756766167579375</v>
      </c>
      <c r="CT530" s="59">
        <v>18655</v>
      </c>
      <c r="CU530" s="29" t="s">
        <v>25</v>
      </c>
      <c r="CV530" s="29" t="s">
        <v>25</v>
      </c>
      <c r="CW530" s="29" t="s">
        <v>25</v>
      </c>
      <c r="CX530" s="35">
        <v>4</v>
      </c>
      <c r="CY530" s="49">
        <f>C530/CX530</f>
        <v>7897.75</v>
      </c>
      <c r="CZ530" s="35">
        <v>2</v>
      </c>
      <c r="DA530" s="35">
        <v>6.0250000000000004</v>
      </c>
      <c r="DB530" s="35">
        <v>12.025</v>
      </c>
      <c r="DC530" s="49">
        <f t="shared" si="239"/>
        <v>2627.1101871101869</v>
      </c>
      <c r="DD530" s="30">
        <v>465</v>
      </c>
      <c r="DE530" s="31">
        <v>87170</v>
      </c>
      <c r="DF530" s="35">
        <v>40</v>
      </c>
      <c r="DG530" s="29" t="s">
        <v>25</v>
      </c>
      <c r="DH530" s="29" t="s">
        <v>25</v>
      </c>
      <c r="DI530" s="29" t="s">
        <v>25</v>
      </c>
      <c r="DJ530" s="47">
        <v>8</v>
      </c>
      <c r="DK530" s="47">
        <v>41</v>
      </c>
      <c r="DL530" s="47">
        <v>28</v>
      </c>
      <c r="DM530" s="47">
        <v>9275</v>
      </c>
      <c r="DN530" s="47">
        <v>6106</v>
      </c>
      <c r="DO530" s="47">
        <v>2427</v>
      </c>
      <c r="DP530" s="29" t="s">
        <v>25</v>
      </c>
      <c r="DQ530" s="47">
        <v>22457</v>
      </c>
      <c r="DR530" s="47">
        <v>2022</v>
      </c>
      <c r="DS530" s="30">
        <v>51</v>
      </c>
      <c r="DT530" s="30">
        <v>41</v>
      </c>
      <c r="DU530" s="30">
        <v>41</v>
      </c>
      <c r="DV530" s="30">
        <v>41</v>
      </c>
      <c r="DX530" s="2">
        <f t="shared" si="240"/>
        <v>2022</v>
      </c>
      <c r="DY530" s="33" t="s">
        <v>2182</v>
      </c>
      <c r="DZ530" s="33" t="s">
        <v>1322</v>
      </c>
      <c r="EA530" s="33" t="s">
        <v>2036</v>
      </c>
      <c r="EB530" s="33" t="s">
        <v>2027</v>
      </c>
      <c r="EC530" s="36">
        <v>402</v>
      </c>
      <c r="ED530" s="29" t="s">
        <v>1321</v>
      </c>
      <c r="EE530" s="29" t="s">
        <v>494</v>
      </c>
      <c r="EF530" s="37">
        <v>41548</v>
      </c>
      <c r="EG530" s="37">
        <v>41912</v>
      </c>
      <c r="EH530" s="29" t="s">
        <v>1321</v>
      </c>
      <c r="EI530" s="55">
        <f t="shared" si="241"/>
        <v>2.7088727802222152</v>
      </c>
      <c r="EJ530" s="54">
        <f t="shared" si="242"/>
        <v>3.2984077743661168E-2</v>
      </c>
      <c r="EK530" s="55">
        <f t="shared" si="243"/>
        <v>3.1366844987496441</v>
      </c>
      <c r="EL530" s="54">
        <f t="shared" si="244"/>
        <v>0.3335127093159444</v>
      </c>
    </row>
    <row r="531" spans="1:142" ht="28.8" x14ac:dyDescent="0.3">
      <c r="A531" s="29" t="s">
        <v>1323</v>
      </c>
      <c r="B531" s="29"/>
      <c r="C531" s="30">
        <v>93523</v>
      </c>
      <c r="D531" s="30">
        <v>0</v>
      </c>
      <c r="E531" s="30">
        <v>0</v>
      </c>
      <c r="F531" s="30">
        <v>17000</v>
      </c>
      <c r="H531" s="2">
        <f t="shared" si="219"/>
        <v>17000</v>
      </c>
      <c r="I531" s="1">
        <f t="shared" si="220"/>
        <v>0.18177346748928072</v>
      </c>
      <c r="J531" s="31">
        <v>626956</v>
      </c>
      <c r="K531" s="31">
        <v>234067</v>
      </c>
      <c r="L531" s="31">
        <v>861023</v>
      </c>
      <c r="M531" s="45">
        <f t="shared" si="221"/>
        <v>9.2065374292954676</v>
      </c>
      <c r="N531" s="31">
        <v>107089</v>
      </c>
      <c r="O531" s="31">
        <v>16299</v>
      </c>
      <c r="P531" s="31">
        <v>17591</v>
      </c>
      <c r="Q531" s="31">
        <v>140979</v>
      </c>
      <c r="R531" s="45">
        <f t="shared" si="222"/>
        <v>1.5074259807747827</v>
      </c>
      <c r="S531" s="31">
        <v>92892</v>
      </c>
      <c r="T531" s="31">
        <v>1094894</v>
      </c>
      <c r="U531" s="31">
        <v>0</v>
      </c>
      <c r="V531" s="31">
        <v>1094894</v>
      </c>
      <c r="W531" s="45">
        <f t="shared" si="223"/>
        <v>11.707216406659324</v>
      </c>
      <c r="X531" s="4">
        <f t="shared" si="224"/>
        <v>0.78639850067677786</v>
      </c>
      <c r="Y531" s="4">
        <f t="shared" si="225"/>
        <v>0.12876040968349448</v>
      </c>
      <c r="Z531" s="4">
        <f t="shared" si="226"/>
        <v>8.4841089639727682E-2</v>
      </c>
      <c r="AA531" s="4">
        <f t="shared" si="227"/>
        <v>0</v>
      </c>
      <c r="AB531" s="31">
        <v>0</v>
      </c>
      <c r="AC531" s="31">
        <v>140979</v>
      </c>
      <c r="AD531" s="31">
        <v>1094894</v>
      </c>
      <c r="AE531" s="31">
        <v>1094894</v>
      </c>
      <c r="AF531" s="31">
        <v>1049794</v>
      </c>
      <c r="AG531" s="31">
        <v>45100</v>
      </c>
      <c r="AH531" s="31">
        <v>0</v>
      </c>
      <c r="AI531" s="31">
        <v>1094894</v>
      </c>
      <c r="AJ531" s="45">
        <f t="shared" si="228"/>
        <v>11.707216406659324</v>
      </c>
      <c r="AK531" s="31">
        <v>0</v>
      </c>
      <c r="AL531" s="31">
        <v>0</v>
      </c>
      <c r="AM531" s="31">
        <v>0</v>
      </c>
      <c r="AN531" s="31">
        <v>0</v>
      </c>
      <c r="AO531" s="31">
        <v>0</v>
      </c>
      <c r="AP531" s="31">
        <v>0</v>
      </c>
      <c r="AQ531" s="31">
        <v>0</v>
      </c>
      <c r="AR531" s="31">
        <v>1094894</v>
      </c>
      <c r="AS531" s="46">
        <f t="shared" si="229"/>
        <v>11.707216406659324</v>
      </c>
      <c r="AT531" s="31">
        <v>0</v>
      </c>
      <c r="AU531" s="31">
        <v>0</v>
      </c>
      <c r="AV531" s="31">
        <v>0</v>
      </c>
      <c r="AW531" s="31">
        <v>0</v>
      </c>
      <c r="AX531" s="31">
        <v>0</v>
      </c>
      <c r="AY531" s="31">
        <v>0</v>
      </c>
      <c r="AZ531" s="31">
        <v>0</v>
      </c>
      <c r="BA531" s="31">
        <v>0</v>
      </c>
      <c r="BB531" s="31">
        <v>0</v>
      </c>
      <c r="BC531" s="33" t="s">
        <v>25</v>
      </c>
      <c r="BD531" s="47">
        <v>83388</v>
      </c>
      <c r="BE531" s="47">
        <v>92511</v>
      </c>
      <c r="BF531" s="45">
        <f t="shared" si="230"/>
        <v>0.98917913240593225</v>
      </c>
      <c r="BG531" s="30">
        <v>3670</v>
      </c>
      <c r="BH531" s="30">
        <v>3833</v>
      </c>
      <c r="BI531" s="30">
        <v>4771</v>
      </c>
      <c r="BJ531" s="30">
        <v>6626</v>
      </c>
      <c r="BK531" s="30">
        <v>9073</v>
      </c>
      <c r="BL531" s="30">
        <v>0</v>
      </c>
      <c r="BM531" s="30">
        <v>10616</v>
      </c>
      <c r="BN531" s="30">
        <v>3</v>
      </c>
      <c r="BO531" s="30">
        <v>51</v>
      </c>
      <c r="BP531" s="30">
        <v>0</v>
      </c>
      <c r="BQ531" s="30">
        <v>54</v>
      </c>
      <c r="BR531" s="47">
        <v>93684</v>
      </c>
      <c r="BS531" s="47">
        <v>120807</v>
      </c>
      <c r="BT531" s="1">
        <f t="shared" si="231"/>
        <v>1.2917357227633843</v>
      </c>
      <c r="BU531" s="30">
        <v>107</v>
      </c>
      <c r="BV531" s="30">
        <v>50</v>
      </c>
      <c r="BW531" s="47">
        <v>11637</v>
      </c>
      <c r="BX531" s="52">
        <f t="shared" si="232"/>
        <v>0.12442928477486821</v>
      </c>
      <c r="BY531" s="47">
        <v>138209</v>
      </c>
      <c r="BZ531" s="47">
        <v>716</v>
      </c>
      <c r="CA531" s="47">
        <v>191333</v>
      </c>
      <c r="CB531" s="47">
        <v>17404</v>
      </c>
      <c r="CC531" s="47">
        <v>347662</v>
      </c>
      <c r="CD531" s="55">
        <f t="shared" si="233"/>
        <v>3.717395720838724</v>
      </c>
      <c r="CE531" s="3">
        <f t="shared" si="234"/>
        <v>24354.605954465853</v>
      </c>
      <c r="CF531" s="55">
        <f t="shared" si="235"/>
        <v>115.34903782349038</v>
      </c>
      <c r="CG531" s="55">
        <f t="shared" si="236"/>
        <v>2.5601785030486908</v>
      </c>
      <c r="CH531" s="55">
        <f t="shared" si="237"/>
        <v>2.727838618623093</v>
      </c>
      <c r="CI531" s="30">
        <v>150</v>
      </c>
      <c r="CJ531" s="30">
        <v>83</v>
      </c>
      <c r="CK531" s="30">
        <v>58</v>
      </c>
      <c r="CL531" s="30">
        <v>291</v>
      </c>
      <c r="CM531" s="30">
        <v>8900</v>
      </c>
      <c r="CN531" s="30">
        <v>1120</v>
      </c>
      <c r="CO531" s="30">
        <v>1167</v>
      </c>
      <c r="CP531" s="30">
        <v>11187</v>
      </c>
      <c r="CQ531" s="1">
        <f t="shared" si="245"/>
        <v>0.11961763416485784</v>
      </c>
      <c r="CR531" s="47">
        <v>135796</v>
      </c>
      <c r="CS531" s="55">
        <f t="shared" si="238"/>
        <v>1.4520064583043744</v>
      </c>
      <c r="CT531" s="59">
        <v>25667</v>
      </c>
      <c r="CU531" s="29" t="s">
        <v>25</v>
      </c>
      <c r="CV531" s="29" t="s">
        <v>25</v>
      </c>
      <c r="CW531" s="29" t="s">
        <v>25</v>
      </c>
      <c r="CX531" s="35">
        <v>3.4750000000000001</v>
      </c>
      <c r="CY531" s="49">
        <f>C531/CX531</f>
        <v>26913.093525179855</v>
      </c>
      <c r="CZ531" s="35">
        <v>1.4750000000000001</v>
      </c>
      <c r="DA531" s="35">
        <v>9.3249999999999993</v>
      </c>
      <c r="DB531" s="35">
        <v>14.274999999999999</v>
      </c>
      <c r="DC531" s="49">
        <f t="shared" si="239"/>
        <v>6551.5236427320497</v>
      </c>
      <c r="DD531" s="30">
        <v>2368</v>
      </c>
      <c r="DE531" s="31">
        <v>74069</v>
      </c>
      <c r="DF531" s="35">
        <v>40</v>
      </c>
      <c r="DG531" s="29" t="s">
        <v>25</v>
      </c>
      <c r="DH531" s="29" t="s">
        <v>25</v>
      </c>
      <c r="DI531" s="29" t="s">
        <v>25</v>
      </c>
      <c r="DJ531" s="47">
        <v>7029</v>
      </c>
      <c r="DK531" s="47">
        <v>9436</v>
      </c>
      <c r="DL531" s="47">
        <v>26</v>
      </c>
      <c r="DM531" s="47">
        <v>16402</v>
      </c>
      <c r="DN531" s="47">
        <v>0</v>
      </c>
      <c r="DO531" s="47">
        <v>9791</v>
      </c>
      <c r="DP531" s="29" t="s">
        <v>25</v>
      </c>
      <c r="DQ531" s="47">
        <v>132055</v>
      </c>
      <c r="DR531" s="47">
        <v>3014</v>
      </c>
      <c r="DS531" s="30">
        <v>52</v>
      </c>
      <c r="DT531" s="30">
        <v>60</v>
      </c>
      <c r="DU531" s="30">
        <v>60</v>
      </c>
      <c r="DV531" s="30">
        <v>60</v>
      </c>
      <c r="DX531" s="2">
        <f t="shared" si="240"/>
        <v>3014</v>
      </c>
      <c r="DY531" s="33" t="s">
        <v>2181</v>
      </c>
      <c r="DZ531" s="33" t="s">
        <v>1326</v>
      </c>
      <c r="EA531" s="33" t="s">
        <v>2030</v>
      </c>
      <c r="EB531" s="33" t="s">
        <v>2027</v>
      </c>
      <c r="EC531" s="36">
        <v>403</v>
      </c>
      <c r="ED531" s="29" t="s">
        <v>1324</v>
      </c>
      <c r="EE531" s="29" t="s">
        <v>1325</v>
      </c>
      <c r="EF531" s="37">
        <v>41548</v>
      </c>
      <c r="EG531" s="37">
        <v>41912</v>
      </c>
      <c r="EH531" s="29" t="s">
        <v>1324</v>
      </c>
      <c r="EI531" s="55">
        <f t="shared" si="241"/>
        <v>1.4778075981309411</v>
      </c>
      <c r="EJ531" s="54">
        <f t="shared" si="242"/>
        <v>7.6558707483720583E-3</v>
      </c>
      <c r="EK531" s="55">
        <f t="shared" si="243"/>
        <v>2.0458389914780319</v>
      </c>
      <c r="EL531" s="54">
        <f t="shared" si="244"/>
        <v>0.18609326048137892</v>
      </c>
    </row>
    <row r="532" spans="1:142" ht="28.8" x14ac:dyDescent="0.3">
      <c r="A532" s="29" t="s">
        <v>1327</v>
      </c>
      <c r="B532" s="29"/>
      <c r="C532" s="30">
        <v>3311</v>
      </c>
      <c r="D532" s="30">
        <v>0</v>
      </c>
      <c r="E532" s="30">
        <v>0</v>
      </c>
      <c r="F532" s="30">
        <v>3135</v>
      </c>
      <c r="H532" s="2">
        <f t="shared" si="219"/>
        <v>3135</v>
      </c>
      <c r="I532" s="1">
        <f t="shared" si="220"/>
        <v>0.94684385382059799</v>
      </c>
      <c r="J532" s="31">
        <v>51359</v>
      </c>
      <c r="K532" s="31">
        <v>20324</v>
      </c>
      <c r="L532" s="31">
        <v>71683</v>
      </c>
      <c r="M532" s="45">
        <f t="shared" si="221"/>
        <v>21.649954696466324</v>
      </c>
      <c r="N532" s="31">
        <v>10839</v>
      </c>
      <c r="O532" s="31">
        <v>1600</v>
      </c>
      <c r="P532" s="31">
        <v>1686</v>
      </c>
      <c r="Q532" s="31">
        <v>14125</v>
      </c>
      <c r="R532" s="45">
        <f t="shared" si="222"/>
        <v>4.2660827544548479</v>
      </c>
      <c r="S532" s="31">
        <v>13441</v>
      </c>
      <c r="T532" s="31">
        <v>99249</v>
      </c>
      <c r="U532" s="31">
        <v>0</v>
      </c>
      <c r="V532" s="31">
        <v>99249</v>
      </c>
      <c r="W532" s="45">
        <f t="shared" si="223"/>
        <v>29.975536091815162</v>
      </c>
      <c r="X532" s="4">
        <f t="shared" si="224"/>
        <v>0.72225412850507309</v>
      </c>
      <c r="Y532" s="4">
        <f t="shared" si="225"/>
        <v>0.14231881429535814</v>
      </c>
      <c r="Z532" s="4">
        <f t="shared" si="226"/>
        <v>0.13542705719956877</v>
      </c>
      <c r="AA532" s="4">
        <f t="shared" si="227"/>
        <v>0</v>
      </c>
      <c r="AB532" s="31">
        <v>0</v>
      </c>
      <c r="AC532" s="31">
        <v>14125</v>
      </c>
      <c r="AD532" s="31">
        <v>99248</v>
      </c>
      <c r="AE532" s="31">
        <v>99248</v>
      </c>
      <c r="AF532" s="31">
        <v>103566</v>
      </c>
      <c r="AG532" s="31">
        <v>5000</v>
      </c>
      <c r="AH532" s="31">
        <v>0</v>
      </c>
      <c r="AI532" s="31">
        <v>108566</v>
      </c>
      <c r="AJ532" s="45">
        <f t="shared" si="228"/>
        <v>32.789489580187258</v>
      </c>
      <c r="AK532" s="31">
        <v>0</v>
      </c>
      <c r="AL532" s="31">
        <v>0</v>
      </c>
      <c r="AM532" s="31">
        <v>0</v>
      </c>
      <c r="AN532" s="31">
        <v>0</v>
      </c>
      <c r="AO532" s="31">
        <v>0</v>
      </c>
      <c r="AP532" s="31">
        <v>0</v>
      </c>
      <c r="AQ532" s="31">
        <v>0</v>
      </c>
      <c r="AR532" s="31">
        <v>108566</v>
      </c>
      <c r="AS532" s="46">
        <f t="shared" si="229"/>
        <v>32.789489580187258</v>
      </c>
      <c r="AT532" s="31">
        <v>0</v>
      </c>
      <c r="AU532" s="31">
        <v>0</v>
      </c>
      <c r="AV532" s="31">
        <v>0</v>
      </c>
      <c r="AW532" s="31">
        <v>0</v>
      </c>
      <c r="AX532" s="31">
        <v>0</v>
      </c>
      <c r="AY532" s="31">
        <v>0</v>
      </c>
      <c r="AZ532" s="31">
        <v>0</v>
      </c>
      <c r="BA532" s="31">
        <v>0</v>
      </c>
      <c r="BB532" s="31">
        <v>0</v>
      </c>
      <c r="BC532" s="33" t="s">
        <v>25</v>
      </c>
      <c r="BD532" s="47">
        <v>13767</v>
      </c>
      <c r="BE532" s="47">
        <v>14117</v>
      </c>
      <c r="BF532" s="45">
        <f t="shared" si="230"/>
        <v>4.2636665659921471</v>
      </c>
      <c r="BG532" s="30">
        <v>350</v>
      </c>
      <c r="BH532" s="30">
        <v>351</v>
      </c>
      <c r="BI532" s="30">
        <v>53</v>
      </c>
      <c r="BJ532" s="30">
        <v>1602</v>
      </c>
      <c r="BK532" s="30">
        <v>1606</v>
      </c>
      <c r="BL532" s="30">
        <v>0</v>
      </c>
      <c r="BM532" s="30">
        <v>105</v>
      </c>
      <c r="BN532" s="30">
        <v>0</v>
      </c>
      <c r="BO532" s="30">
        <v>51</v>
      </c>
      <c r="BP532" s="30">
        <v>0</v>
      </c>
      <c r="BQ532" s="30">
        <v>51</v>
      </c>
      <c r="BR532" s="47">
        <v>15719</v>
      </c>
      <c r="BS532" s="47">
        <v>16232</v>
      </c>
      <c r="BT532" s="1">
        <f t="shared" si="231"/>
        <v>4.9024463908184837</v>
      </c>
      <c r="BU532" s="30">
        <v>3</v>
      </c>
      <c r="BV532" s="30">
        <v>1</v>
      </c>
      <c r="BW532" s="47">
        <v>1560</v>
      </c>
      <c r="BX532" s="52">
        <f t="shared" si="232"/>
        <v>0.47115675022651765</v>
      </c>
      <c r="BY532" s="47">
        <v>3298</v>
      </c>
      <c r="BZ532" s="47">
        <v>870</v>
      </c>
      <c r="CA532" s="47">
        <v>5800</v>
      </c>
      <c r="CB532" s="47">
        <v>215</v>
      </c>
      <c r="CC532" s="47">
        <v>10183</v>
      </c>
      <c r="CD532" s="55">
        <f t="shared" si="233"/>
        <v>3.0755058894593779</v>
      </c>
      <c r="CE532" s="3">
        <f t="shared" si="234"/>
        <v>2396</v>
      </c>
      <c r="CF532" s="55">
        <f t="shared" si="235"/>
        <v>4.4312445604873805</v>
      </c>
      <c r="CG532" s="55">
        <f t="shared" si="236"/>
        <v>0.9612044553520861</v>
      </c>
      <c r="CH532" s="55">
        <f t="shared" si="237"/>
        <v>0.56049778215869883</v>
      </c>
      <c r="CI532" s="30">
        <v>2</v>
      </c>
      <c r="CJ532" s="30">
        <v>0</v>
      </c>
      <c r="CK532" s="30">
        <v>1</v>
      </c>
      <c r="CL532" s="30">
        <v>3</v>
      </c>
      <c r="CM532" s="30">
        <v>198</v>
      </c>
      <c r="CN532" s="30">
        <v>0</v>
      </c>
      <c r="CO532" s="30">
        <v>1</v>
      </c>
      <c r="CP532" s="30">
        <v>199</v>
      </c>
      <c r="CQ532" s="1">
        <f t="shared" si="245"/>
        <v>6.0102688009664756E-2</v>
      </c>
      <c r="CR532" s="47">
        <v>10594</v>
      </c>
      <c r="CS532" s="55">
        <f t="shared" si="238"/>
        <v>3.1996375717305949</v>
      </c>
      <c r="CT532" s="59">
        <v>3205</v>
      </c>
      <c r="CU532" s="29" t="s">
        <v>25</v>
      </c>
      <c r="CV532" s="29" t="s">
        <v>25</v>
      </c>
      <c r="CW532" s="29" t="s">
        <v>25</v>
      </c>
      <c r="CX532" s="35">
        <v>0</v>
      </c>
      <c r="CY532" s="49">
        <v>0</v>
      </c>
      <c r="CZ532" s="35">
        <v>1</v>
      </c>
      <c r="DA532" s="35">
        <v>3.25</v>
      </c>
      <c r="DB532" s="35">
        <v>4.25</v>
      </c>
      <c r="DC532" s="49">
        <f t="shared" si="239"/>
        <v>779.05882352941171</v>
      </c>
      <c r="DD532" s="30">
        <v>25</v>
      </c>
      <c r="DE532" s="31">
        <v>36549</v>
      </c>
      <c r="DF532" s="35">
        <v>40</v>
      </c>
      <c r="DG532" s="29" t="s">
        <v>25</v>
      </c>
      <c r="DH532" s="29" t="s">
        <v>26</v>
      </c>
      <c r="DI532" s="29" t="s">
        <v>26</v>
      </c>
      <c r="DJ532" s="47">
        <v>0</v>
      </c>
      <c r="DK532" s="47">
        <v>0</v>
      </c>
      <c r="DL532" s="47">
        <v>7</v>
      </c>
      <c r="DM532" s="47">
        <v>8456</v>
      </c>
      <c r="DN532" s="47">
        <v>32</v>
      </c>
      <c r="DO532" s="47">
        <v>625</v>
      </c>
      <c r="DP532" s="29" t="s">
        <v>2028</v>
      </c>
      <c r="DQ532" s="47">
        <v>0</v>
      </c>
      <c r="DR532" s="47">
        <v>2298</v>
      </c>
      <c r="DS532" s="30">
        <v>52</v>
      </c>
      <c r="DT532" s="30">
        <v>33</v>
      </c>
      <c r="DU532" s="30">
        <v>33</v>
      </c>
      <c r="DV532" s="30">
        <v>33</v>
      </c>
      <c r="DX532" s="2">
        <f t="shared" si="240"/>
        <v>2298</v>
      </c>
      <c r="DY532" s="33" t="s">
        <v>2185</v>
      </c>
      <c r="DZ532" s="33" t="s">
        <v>1329</v>
      </c>
      <c r="EA532" s="33" t="s">
        <v>2030</v>
      </c>
      <c r="EB532" s="33" t="s">
        <v>2027</v>
      </c>
      <c r="EC532" s="36">
        <v>404</v>
      </c>
      <c r="ED532" s="29" t="s">
        <v>1328</v>
      </c>
      <c r="EE532" s="29" t="s">
        <v>331</v>
      </c>
      <c r="EF532" s="37">
        <v>41548</v>
      </c>
      <c r="EG532" s="37">
        <v>41912</v>
      </c>
      <c r="EH532" s="29" t="s">
        <v>1328</v>
      </c>
      <c r="EI532" s="55">
        <f t="shared" si="241"/>
        <v>0.99607369374811239</v>
      </c>
      <c r="EJ532" s="54">
        <f t="shared" si="242"/>
        <v>0.26276049531863488</v>
      </c>
      <c r="EK532" s="55">
        <f t="shared" si="243"/>
        <v>1.7517366354575656</v>
      </c>
      <c r="EL532" s="54">
        <f t="shared" si="244"/>
        <v>6.4935064935064929E-2</v>
      </c>
    </row>
    <row r="533" spans="1:142" ht="28.8" x14ac:dyDescent="0.3">
      <c r="A533" s="29" t="s">
        <v>1330</v>
      </c>
      <c r="B533" s="29"/>
      <c r="C533" s="30">
        <v>3099</v>
      </c>
      <c r="D533" s="30">
        <v>0</v>
      </c>
      <c r="E533" s="30">
        <v>0</v>
      </c>
      <c r="F533" s="30">
        <v>8500</v>
      </c>
      <c r="H533" s="2">
        <f t="shared" si="219"/>
        <v>8500</v>
      </c>
      <c r="I533" s="1">
        <f t="shared" si="220"/>
        <v>2.7428202646014843</v>
      </c>
      <c r="J533" s="31">
        <v>92535</v>
      </c>
      <c r="K533" s="31">
        <v>13108</v>
      </c>
      <c r="L533" s="31">
        <v>105643</v>
      </c>
      <c r="M533" s="45">
        <f t="shared" si="221"/>
        <v>34.089383672152309</v>
      </c>
      <c r="N533" s="31">
        <v>19720</v>
      </c>
      <c r="O533" s="31">
        <v>2779</v>
      </c>
      <c r="P533" s="31">
        <v>4814</v>
      </c>
      <c r="Q533" s="31">
        <v>27313</v>
      </c>
      <c r="R533" s="45">
        <f t="shared" si="222"/>
        <v>8.8134882220070985</v>
      </c>
      <c r="S533" s="31">
        <v>17458</v>
      </c>
      <c r="T533" s="31">
        <v>150414</v>
      </c>
      <c r="U533" s="31">
        <v>0</v>
      </c>
      <c r="V533" s="31">
        <v>150414</v>
      </c>
      <c r="W533" s="45">
        <f t="shared" si="223"/>
        <v>48.536302032913845</v>
      </c>
      <c r="X533" s="4">
        <f t="shared" si="224"/>
        <v>0.70234818567420587</v>
      </c>
      <c r="Y533" s="4">
        <f t="shared" si="225"/>
        <v>0.18158549071230071</v>
      </c>
      <c r="Z533" s="4">
        <f t="shared" si="226"/>
        <v>0.11606632361349342</v>
      </c>
      <c r="AA533" s="4">
        <f t="shared" si="227"/>
        <v>0</v>
      </c>
      <c r="AB533" s="31">
        <v>0</v>
      </c>
      <c r="AC533" s="31">
        <v>27313</v>
      </c>
      <c r="AD533" s="31">
        <v>150414</v>
      </c>
      <c r="AE533" s="31">
        <v>110676</v>
      </c>
      <c r="AF533" s="31">
        <v>0</v>
      </c>
      <c r="AG533" s="31">
        <v>2500</v>
      </c>
      <c r="AH533" s="31">
        <v>108176</v>
      </c>
      <c r="AI533" s="31">
        <v>110676</v>
      </c>
      <c r="AJ533" s="45">
        <f t="shared" si="228"/>
        <v>35.713455953533398</v>
      </c>
      <c r="AK533" s="31">
        <v>0</v>
      </c>
      <c r="AL533" s="31">
        <v>0</v>
      </c>
      <c r="AM533" s="31">
        <v>0</v>
      </c>
      <c r="AN533" s="31">
        <v>0</v>
      </c>
      <c r="AO533" s="31">
        <v>0</v>
      </c>
      <c r="AP533" s="31">
        <v>39738</v>
      </c>
      <c r="AQ533" s="31">
        <v>39738</v>
      </c>
      <c r="AR533" s="31">
        <v>150414</v>
      </c>
      <c r="AS533" s="46">
        <f t="shared" si="229"/>
        <v>48.536302032913845</v>
      </c>
      <c r="AT533" s="31">
        <v>0</v>
      </c>
      <c r="AU533" s="31">
        <v>0</v>
      </c>
      <c r="AV533" s="31">
        <v>0</v>
      </c>
      <c r="AW533" s="31">
        <v>0</v>
      </c>
      <c r="AX533" s="31">
        <v>0</v>
      </c>
      <c r="AY533" s="31">
        <v>0</v>
      </c>
      <c r="AZ533" s="31">
        <v>0</v>
      </c>
      <c r="BA533" s="31">
        <v>0</v>
      </c>
      <c r="BB533" s="31">
        <v>0</v>
      </c>
      <c r="BC533" s="33" t="s">
        <v>25</v>
      </c>
      <c r="BD533" s="47">
        <v>23126</v>
      </c>
      <c r="BE533" s="47">
        <v>26034</v>
      </c>
      <c r="BF533" s="45">
        <f t="shared" si="230"/>
        <v>8.4007744433688281</v>
      </c>
      <c r="BG533" s="30">
        <v>840</v>
      </c>
      <c r="BH533" s="30">
        <v>893</v>
      </c>
      <c r="BI533" s="30">
        <v>803</v>
      </c>
      <c r="BJ533" s="30">
        <v>1226</v>
      </c>
      <c r="BK533" s="30">
        <v>1387</v>
      </c>
      <c r="BL533" s="30">
        <v>23</v>
      </c>
      <c r="BM533" s="30">
        <v>2704</v>
      </c>
      <c r="BN533" s="30">
        <v>5</v>
      </c>
      <c r="BO533" s="30">
        <v>51</v>
      </c>
      <c r="BP533" s="30">
        <v>17</v>
      </c>
      <c r="BQ533" s="30">
        <v>73</v>
      </c>
      <c r="BR533" s="47">
        <v>25192</v>
      </c>
      <c r="BS533" s="47">
        <v>31849</v>
      </c>
      <c r="BT533" s="1">
        <f t="shared" si="231"/>
        <v>10.277186189093255</v>
      </c>
      <c r="BU533" s="30">
        <v>40</v>
      </c>
      <c r="BV533" s="30">
        <v>0</v>
      </c>
      <c r="BW533" s="47">
        <v>824</v>
      </c>
      <c r="BX533" s="52">
        <f t="shared" si="232"/>
        <v>0.26589222329783802</v>
      </c>
      <c r="BY533" s="47">
        <v>5417</v>
      </c>
      <c r="BZ533" s="47">
        <v>3715</v>
      </c>
      <c r="CA533" s="47">
        <v>24234</v>
      </c>
      <c r="CB533" s="47">
        <v>705</v>
      </c>
      <c r="CC533" s="47">
        <v>34071</v>
      </c>
      <c r="CD533" s="55">
        <f t="shared" si="233"/>
        <v>10.994191674733784</v>
      </c>
      <c r="CE533" s="3">
        <f t="shared" si="234"/>
        <v>12114.133333333333</v>
      </c>
      <c r="CF533" s="55">
        <f t="shared" si="235"/>
        <v>13.514875049583498</v>
      </c>
      <c r="CG533" s="55">
        <f t="shared" si="236"/>
        <v>0.96015217697618715</v>
      </c>
      <c r="CH533" s="55">
        <f t="shared" si="237"/>
        <v>0.93098684417093158</v>
      </c>
      <c r="CI533" s="30">
        <v>33</v>
      </c>
      <c r="CJ533" s="30">
        <v>4</v>
      </c>
      <c r="CK533" s="30">
        <v>11</v>
      </c>
      <c r="CL533" s="30">
        <v>48</v>
      </c>
      <c r="CM533" s="30">
        <v>1514</v>
      </c>
      <c r="CN533" s="30">
        <v>21</v>
      </c>
      <c r="CO533" s="30">
        <v>89</v>
      </c>
      <c r="CP533" s="30">
        <v>1624</v>
      </c>
      <c r="CQ533" s="1">
        <f t="shared" si="245"/>
        <v>0.52404001290738944</v>
      </c>
      <c r="CR533" s="47">
        <v>35485</v>
      </c>
      <c r="CS533" s="55">
        <f t="shared" si="238"/>
        <v>11.450467892868668</v>
      </c>
      <c r="CT533" s="59">
        <v>1745</v>
      </c>
      <c r="CU533" s="29" t="s">
        <v>25</v>
      </c>
      <c r="CV533" s="29" t="s">
        <v>25</v>
      </c>
      <c r="CW533" s="29" t="s">
        <v>25</v>
      </c>
      <c r="CX533" s="35">
        <v>0</v>
      </c>
      <c r="CY533" s="49">
        <v>0</v>
      </c>
      <c r="CZ533" s="35">
        <v>0.9375</v>
      </c>
      <c r="DA533" s="35">
        <v>1.875</v>
      </c>
      <c r="DB533" s="35">
        <v>2.8125</v>
      </c>
      <c r="DC533" s="49">
        <f t="shared" si="239"/>
        <v>1101.8666666666666</v>
      </c>
      <c r="DD533" s="30">
        <v>66</v>
      </c>
      <c r="DE533" s="31">
        <v>56942</v>
      </c>
      <c r="DF533" s="35">
        <v>37.5</v>
      </c>
      <c r="DG533" s="29" t="s">
        <v>25</v>
      </c>
      <c r="DH533" s="29" t="s">
        <v>25</v>
      </c>
      <c r="DI533" s="29" t="s">
        <v>25</v>
      </c>
      <c r="DJ533" s="47">
        <v>75</v>
      </c>
      <c r="DK533" s="47">
        <v>56</v>
      </c>
      <c r="DL533" s="47">
        <v>11</v>
      </c>
      <c r="DM533" s="47">
        <v>4363</v>
      </c>
      <c r="DN533" s="47">
        <v>102</v>
      </c>
      <c r="DO533" s="47">
        <v>-1</v>
      </c>
      <c r="DP533" s="29" t="s">
        <v>25</v>
      </c>
      <c r="DQ533" s="47">
        <v>31962</v>
      </c>
      <c r="DR533" s="47">
        <v>2521</v>
      </c>
      <c r="DS533" s="30">
        <v>51</v>
      </c>
      <c r="DT533" s="30">
        <v>53</v>
      </c>
      <c r="DU533" s="30">
        <v>53</v>
      </c>
      <c r="DV533" s="30">
        <v>37</v>
      </c>
      <c r="DX533" s="2">
        <f t="shared" si="240"/>
        <v>2521</v>
      </c>
      <c r="DY533" s="33" t="s">
        <v>2184</v>
      </c>
      <c r="DZ533" s="33" t="s">
        <v>1333</v>
      </c>
      <c r="EA533" s="33" t="s">
        <v>2031</v>
      </c>
      <c r="EB533" s="33" t="s">
        <v>2027</v>
      </c>
      <c r="EC533" s="36">
        <v>405</v>
      </c>
      <c r="ED533" s="29" t="s">
        <v>1331</v>
      </c>
      <c r="EE533" s="29" t="s">
        <v>1332</v>
      </c>
      <c r="EF533" s="37">
        <v>41518</v>
      </c>
      <c r="EG533" s="37">
        <v>41882</v>
      </c>
      <c r="EH533" s="29" t="s">
        <v>1331</v>
      </c>
      <c r="EI533" s="55">
        <f t="shared" si="241"/>
        <v>1.7479832203936754</v>
      </c>
      <c r="EJ533" s="54">
        <f t="shared" si="242"/>
        <v>1.1987737979993547</v>
      </c>
      <c r="EK533" s="55">
        <f t="shared" si="243"/>
        <v>7.8199419167473376</v>
      </c>
      <c r="EL533" s="54">
        <f t="shared" si="244"/>
        <v>0.22749273959341723</v>
      </c>
    </row>
    <row r="534" spans="1:142" ht="28.8" x14ac:dyDescent="0.3">
      <c r="A534" s="29" t="s">
        <v>1535</v>
      </c>
      <c r="B534" s="29"/>
      <c r="C534" s="30">
        <v>790</v>
      </c>
      <c r="D534" s="30">
        <v>0</v>
      </c>
      <c r="E534" s="30">
        <v>0</v>
      </c>
      <c r="F534" s="30">
        <v>4000</v>
      </c>
      <c r="H534" s="2">
        <f t="shared" si="219"/>
        <v>4000</v>
      </c>
      <c r="I534" s="1">
        <f t="shared" si="220"/>
        <v>5.0632911392405067</v>
      </c>
      <c r="J534" s="31">
        <v>23723</v>
      </c>
      <c r="K534" s="31">
        <v>6952</v>
      </c>
      <c r="L534" s="31">
        <v>30675</v>
      </c>
      <c r="M534" s="45">
        <f t="shared" si="221"/>
        <v>38.829113924050631</v>
      </c>
      <c r="N534" s="31">
        <v>2845</v>
      </c>
      <c r="O534" s="31">
        <v>0</v>
      </c>
      <c r="P534" s="31">
        <v>73</v>
      </c>
      <c r="Q534" s="31">
        <v>2918</v>
      </c>
      <c r="R534" s="45">
        <f t="shared" si="222"/>
        <v>3.6936708860759495</v>
      </c>
      <c r="S534" s="31">
        <v>24816</v>
      </c>
      <c r="T534" s="31">
        <v>58409</v>
      </c>
      <c r="U534" s="31">
        <v>0</v>
      </c>
      <c r="V534" s="31">
        <v>58409</v>
      </c>
      <c r="W534" s="45">
        <f t="shared" si="223"/>
        <v>73.935443037974679</v>
      </c>
      <c r="X534" s="4">
        <f t="shared" si="224"/>
        <v>0.52517591467068436</v>
      </c>
      <c r="Y534" s="4">
        <f t="shared" si="225"/>
        <v>4.9958054409423205E-2</v>
      </c>
      <c r="Z534" s="4">
        <f t="shared" si="226"/>
        <v>0.4248660309198925</v>
      </c>
      <c r="AA534" s="4">
        <f t="shared" si="227"/>
        <v>0</v>
      </c>
      <c r="AB534" s="31">
        <v>0</v>
      </c>
      <c r="AC534" s="31">
        <v>2918</v>
      </c>
      <c r="AD534" s="31">
        <v>58409</v>
      </c>
      <c r="AE534" s="31">
        <v>9805</v>
      </c>
      <c r="AF534" s="31">
        <v>9805</v>
      </c>
      <c r="AG534" s="31">
        <v>0</v>
      </c>
      <c r="AH534" s="31">
        <v>0</v>
      </c>
      <c r="AI534" s="31">
        <v>9805</v>
      </c>
      <c r="AJ534" s="45">
        <f t="shared" si="228"/>
        <v>12.411392405063291</v>
      </c>
      <c r="AK534" s="31">
        <v>0</v>
      </c>
      <c r="AL534" s="31">
        <v>0</v>
      </c>
      <c r="AM534" s="31">
        <v>0</v>
      </c>
      <c r="AN534" s="31">
        <v>0</v>
      </c>
      <c r="AO534" s="31">
        <v>18581</v>
      </c>
      <c r="AP534" s="31">
        <v>36750</v>
      </c>
      <c r="AQ534" s="31">
        <v>55331</v>
      </c>
      <c r="AR534" s="31">
        <v>65136</v>
      </c>
      <c r="AS534" s="46">
        <f t="shared" si="229"/>
        <v>82.450632911392404</v>
      </c>
      <c r="AT534" s="31">
        <v>0</v>
      </c>
      <c r="AU534" s="31">
        <v>0</v>
      </c>
      <c r="AV534" s="31">
        <v>0</v>
      </c>
      <c r="AW534" s="31">
        <v>0</v>
      </c>
      <c r="AX534" s="31">
        <v>0</v>
      </c>
      <c r="AY534" s="31">
        <v>0</v>
      </c>
      <c r="AZ534" s="31">
        <v>0</v>
      </c>
      <c r="BA534" s="31">
        <v>1843</v>
      </c>
      <c r="BB534" s="31">
        <v>1843</v>
      </c>
      <c r="BC534" s="33" t="s">
        <v>25</v>
      </c>
      <c r="BD534" s="47">
        <v>11535</v>
      </c>
      <c r="BE534" s="47">
        <v>11544</v>
      </c>
      <c r="BF534" s="45">
        <f t="shared" si="230"/>
        <v>14.612658227848101</v>
      </c>
      <c r="BG534" s="30">
        <v>44</v>
      </c>
      <c r="BH534" s="30">
        <v>46</v>
      </c>
      <c r="BI534" s="30">
        <v>0</v>
      </c>
      <c r="BJ534" s="30">
        <v>705</v>
      </c>
      <c r="BK534" s="30">
        <v>705</v>
      </c>
      <c r="BL534" s="30">
        <v>0</v>
      </c>
      <c r="BM534" s="30">
        <v>0</v>
      </c>
      <c r="BN534" s="30">
        <v>0</v>
      </c>
      <c r="BO534" s="30">
        <v>51</v>
      </c>
      <c r="BP534" s="30">
        <v>0</v>
      </c>
      <c r="BQ534" s="30">
        <v>51</v>
      </c>
      <c r="BR534" s="47">
        <v>12284</v>
      </c>
      <c r="BS534" s="47">
        <v>12295</v>
      </c>
      <c r="BT534" s="1">
        <f t="shared" si="231"/>
        <v>15.563291139240507</v>
      </c>
      <c r="BU534" s="30">
        <v>0</v>
      </c>
      <c r="BV534" s="30">
        <v>0</v>
      </c>
      <c r="BW534" s="47">
        <v>4663</v>
      </c>
      <c r="BX534" s="52">
        <f t="shared" si="232"/>
        <v>5.9025316455696206</v>
      </c>
      <c r="BY534" s="47">
        <v>761</v>
      </c>
      <c r="BZ534" s="47">
        <v>0</v>
      </c>
      <c r="CA534" s="47">
        <v>2921</v>
      </c>
      <c r="CB534" s="47">
        <v>0</v>
      </c>
      <c r="CC534" s="47">
        <v>3682</v>
      </c>
      <c r="CD534" s="55">
        <f t="shared" si="233"/>
        <v>4.660759493670886</v>
      </c>
      <c r="CE534" s="3">
        <f t="shared" si="234"/>
        <v>3980.5405405405404</v>
      </c>
      <c r="CF534" s="55">
        <f t="shared" si="235"/>
        <v>1.9742627345844503</v>
      </c>
      <c r="CG534" s="55">
        <f t="shared" si="236"/>
        <v>0.65202762528776337</v>
      </c>
      <c r="CH534" s="55">
        <f t="shared" si="237"/>
        <v>0.29947132980886537</v>
      </c>
      <c r="CI534" s="30">
        <v>4</v>
      </c>
      <c r="CJ534" s="30">
        <v>2</v>
      </c>
      <c r="CK534" s="30">
        <v>2</v>
      </c>
      <c r="CL534" s="30">
        <v>8</v>
      </c>
      <c r="CM534" s="30">
        <v>290</v>
      </c>
      <c r="CN534" s="30">
        <v>16</v>
      </c>
      <c r="CO534" s="30">
        <v>11</v>
      </c>
      <c r="CP534" s="30">
        <v>317</v>
      </c>
      <c r="CQ534" s="1">
        <f t="shared" si="245"/>
        <v>0.4012658227848101</v>
      </c>
      <c r="CR534" s="47">
        <v>5647</v>
      </c>
      <c r="CS534" s="55">
        <f t="shared" si="238"/>
        <v>7.1481012658227847</v>
      </c>
      <c r="CT534" s="59">
        <v>1448</v>
      </c>
      <c r="CU534" s="29" t="s">
        <v>25</v>
      </c>
      <c r="CV534" s="29" t="s">
        <v>25</v>
      </c>
      <c r="CW534" s="29" t="s">
        <v>25</v>
      </c>
      <c r="CX534" s="35">
        <v>0</v>
      </c>
      <c r="CY534" s="49">
        <v>0</v>
      </c>
      <c r="CZ534" s="35">
        <v>0.92500000000000004</v>
      </c>
      <c r="DA534" s="35">
        <v>0</v>
      </c>
      <c r="DB534" s="35">
        <v>0.92500000000000004</v>
      </c>
      <c r="DC534" s="49">
        <f t="shared" si="239"/>
        <v>854.05405405405406</v>
      </c>
      <c r="DD534" s="30">
        <v>313</v>
      </c>
      <c r="DE534" s="31">
        <v>27000</v>
      </c>
      <c r="DF534" s="35">
        <v>37</v>
      </c>
      <c r="DG534" s="29" t="s">
        <v>25</v>
      </c>
      <c r="DH534" s="29" t="s">
        <v>25</v>
      </c>
      <c r="DI534" s="29" t="s">
        <v>25</v>
      </c>
      <c r="DJ534" s="47">
        <v>0</v>
      </c>
      <c r="DK534" s="47">
        <v>2</v>
      </c>
      <c r="DL534" s="47">
        <v>12</v>
      </c>
      <c r="DM534" s="47">
        <v>2706</v>
      </c>
      <c r="DN534" s="47">
        <v>506</v>
      </c>
      <c r="DO534" s="47">
        <v>0</v>
      </c>
      <c r="DP534" s="29" t="s">
        <v>2028</v>
      </c>
      <c r="DQ534" s="47">
        <v>0</v>
      </c>
      <c r="DR534" s="47">
        <v>1865</v>
      </c>
      <c r="DS534" s="30">
        <v>52</v>
      </c>
      <c r="DT534" s="30">
        <v>37</v>
      </c>
      <c r="DU534" s="30">
        <v>37</v>
      </c>
      <c r="DV534" s="30">
        <v>37</v>
      </c>
      <c r="DX534" s="2">
        <f t="shared" si="240"/>
        <v>1865</v>
      </c>
      <c r="DY534" s="33" t="s">
        <v>2182</v>
      </c>
      <c r="DZ534" s="33" t="s">
        <v>1797</v>
      </c>
      <c r="EA534" s="33" t="s">
        <v>2030</v>
      </c>
      <c r="EB534" s="33" t="s">
        <v>2027</v>
      </c>
      <c r="EC534" s="36">
        <v>636</v>
      </c>
      <c r="ED534" s="29" t="s">
        <v>1796</v>
      </c>
      <c r="EE534" s="29" t="s">
        <v>58</v>
      </c>
      <c r="EF534" s="37">
        <v>41640</v>
      </c>
      <c r="EG534" s="37">
        <v>42004</v>
      </c>
      <c r="EH534" s="29" t="s">
        <v>1796</v>
      </c>
      <c r="EI534" s="55">
        <f t="shared" si="241"/>
        <v>0.96329113924050636</v>
      </c>
      <c r="EJ534" s="54">
        <f t="shared" si="242"/>
        <v>0</v>
      </c>
      <c r="EK534" s="55">
        <f t="shared" si="243"/>
        <v>3.6974683544303799</v>
      </c>
      <c r="EL534" s="54">
        <f t="shared" si="244"/>
        <v>0</v>
      </c>
    </row>
    <row r="535" spans="1:142" ht="43.2" x14ac:dyDescent="0.3">
      <c r="A535" s="29" t="s">
        <v>1334</v>
      </c>
      <c r="B535" s="29"/>
      <c r="C535" s="30">
        <v>57636</v>
      </c>
      <c r="D535" s="30">
        <v>0</v>
      </c>
      <c r="E535" s="30">
        <v>0</v>
      </c>
      <c r="F535" s="30">
        <v>29271</v>
      </c>
      <c r="H535" s="2">
        <f t="shared" si="219"/>
        <v>29271</v>
      </c>
      <c r="I535" s="1">
        <f t="shared" si="220"/>
        <v>0.50785967103893404</v>
      </c>
      <c r="J535" s="31">
        <v>333382</v>
      </c>
      <c r="K535" s="31">
        <v>91323</v>
      </c>
      <c r="L535" s="31">
        <v>424705</v>
      </c>
      <c r="M535" s="45">
        <f t="shared" si="221"/>
        <v>7.3687452286765218</v>
      </c>
      <c r="N535" s="31">
        <v>47572</v>
      </c>
      <c r="O535" s="31">
        <v>11574</v>
      </c>
      <c r="P535" s="31">
        <v>681</v>
      </c>
      <c r="Q535" s="31">
        <v>59827</v>
      </c>
      <c r="R535" s="45">
        <f t="shared" si="222"/>
        <v>1.0380144354223055</v>
      </c>
      <c r="S535" s="31">
        <v>215239</v>
      </c>
      <c r="T535" s="31">
        <v>699771</v>
      </c>
      <c r="U535" s="31">
        <v>111877</v>
      </c>
      <c r="V535" s="31">
        <v>811648</v>
      </c>
      <c r="W535" s="45">
        <f t="shared" si="223"/>
        <v>14.082309667568881</v>
      </c>
      <c r="X535" s="4">
        <f t="shared" si="224"/>
        <v>0.52326254731114963</v>
      </c>
      <c r="Y535" s="4">
        <f t="shared" si="225"/>
        <v>7.3710524759501656E-2</v>
      </c>
      <c r="Z535" s="4">
        <f t="shared" si="226"/>
        <v>0.26518761827787413</v>
      </c>
      <c r="AA535" s="4">
        <f t="shared" si="227"/>
        <v>0.13783930965147453</v>
      </c>
      <c r="AB535" s="31">
        <v>75950</v>
      </c>
      <c r="AC535" s="31">
        <v>59827</v>
      </c>
      <c r="AD535" s="31">
        <v>811648</v>
      </c>
      <c r="AE535" s="31">
        <v>811648</v>
      </c>
      <c r="AF535" s="31">
        <v>730551</v>
      </c>
      <c r="AG535" s="31">
        <v>21113</v>
      </c>
      <c r="AH535" s="31">
        <v>0</v>
      </c>
      <c r="AI535" s="31">
        <v>751664</v>
      </c>
      <c r="AJ535" s="45">
        <f t="shared" si="228"/>
        <v>13.041571240197099</v>
      </c>
      <c r="AK535" s="31">
        <v>0</v>
      </c>
      <c r="AL535" s="31">
        <v>0</v>
      </c>
      <c r="AM535" s="31">
        <v>0</v>
      </c>
      <c r="AN535" s="31">
        <v>0</v>
      </c>
      <c r="AO535" s="31">
        <v>4432</v>
      </c>
      <c r="AP535" s="31">
        <v>0</v>
      </c>
      <c r="AQ535" s="31">
        <v>4432</v>
      </c>
      <c r="AR535" s="31">
        <v>756096</v>
      </c>
      <c r="AS535" s="46">
        <f t="shared" si="229"/>
        <v>13.118467624401415</v>
      </c>
      <c r="AT535" s="31">
        <v>0</v>
      </c>
      <c r="AU535" s="31">
        <v>75950</v>
      </c>
      <c r="AV535" s="31">
        <v>0</v>
      </c>
      <c r="AW535" s="31">
        <v>0</v>
      </c>
      <c r="AX535" s="31">
        <v>0</v>
      </c>
      <c r="AY535" s="31">
        <v>0</v>
      </c>
      <c r="AZ535" s="31">
        <v>0</v>
      </c>
      <c r="BA535" s="31">
        <v>0</v>
      </c>
      <c r="BB535" s="31">
        <v>75950</v>
      </c>
      <c r="BC535" s="33" t="s">
        <v>25</v>
      </c>
      <c r="BD535" s="47">
        <v>60158</v>
      </c>
      <c r="BE535" s="47">
        <v>67009</v>
      </c>
      <c r="BF535" s="45">
        <f t="shared" si="230"/>
        <v>1.1626240544104378</v>
      </c>
      <c r="BG535" s="30">
        <v>1681</v>
      </c>
      <c r="BH535" s="30">
        <v>1793</v>
      </c>
      <c r="BI535" s="30">
        <v>1123</v>
      </c>
      <c r="BJ535" s="30">
        <v>857</v>
      </c>
      <c r="BK535" s="30">
        <v>914</v>
      </c>
      <c r="BL535" s="30">
        <v>0</v>
      </c>
      <c r="BM535" s="30">
        <v>9861</v>
      </c>
      <c r="BN535" s="30">
        <v>3</v>
      </c>
      <c r="BO535" s="30">
        <v>51</v>
      </c>
      <c r="BP535" s="30">
        <v>0</v>
      </c>
      <c r="BQ535" s="30">
        <v>54</v>
      </c>
      <c r="BR535" s="47">
        <v>62696</v>
      </c>
      <c r="BS535" s="47">
        <v>80703</v>
      </c>
      <c r="BT535" s="1">
        <f t="shared" si="231"/>
        <v>1.4002186133666459</v>
      </c>
      <c r="BU535" s="30">
        <v>107</v>
      </c>
      <c r="BV535" s="30">
        <v>59</v>
      </c>
      <c r="BW535" s="47">
        <v>262187</v>
      </c>
      <c r="BX535" s="52">
        <f t="shared" si="232"/>
        <v>4.5490145048233739</v>
      </c>
      <c r="BY535" s="47">
        <v>28798</v>
      </c>
      <c r="BZ535" s="47">
        <v>0</v>
      </c>
      <c r="CA535" s="47">
        <v>51662</v>
      </c>
      <c r="CB535" s="47">
        <v>4953</v>
      </c>
      <c r="CC535" s="47">
        <v>85413</v>
      </c>
      <c r="CD535" s="55">
        <f t="shared" si="233"/>
        <v>1.4819383718509265</v>
      </c>
      <c r="CE535" s="3">
        <f t="shared" si="234"/>
        <v>7117.75</v>
      </c>
      <c r="CF535" s="55">
        <f t="shared" si="235"/>
        <v>27.166984732824428</v>
      </c>
      <c r="CG535" s="55">
        <f t="shared" si="236"/>
        <v>0.25457661470597004</v>
      </c>
      <c r="CH535" s="55">
        <f t="shared" si="237"/>
        <v>0.99698895951823352</v>
      </c>
      <c r="CI535" s="30">
        <v>272</v>
      </c>
      <c r="CJ535" s="30">
        <v>0</v>
      </c>
      <c r="CK535" s="30">
        <v>232</v>
      </c>
      <c r="CL535" s="30">
        <v>504</v>
      </c>
      <c r="CM535" s="30">
        <v>24534</v>
      </c>
      <c r="CN535" s="30">
        <v>0</v>
      </c>
      <c r="CO535" s="30">
        <v>7966</v>
      </c>
      <c r="CP535" s="30">
        <v>32500</v>
      </c>
      <c r="CQ535" s="1">
        <f t="shared" si="245"/>
        <v>0.56388368380873066</v>
      </c>
      <c r="CR535" s="47">
        <v>335510</v>
      </c>
      <c r="CS535" s="55">
        <f t="shared" si="238"/>
        <v>5.8211881462974526</v>
      </c>
      <c r="CT535" s="59">
        <v>31658</v>
      </c>
      <c r="CU535" s="29" t="s">
        <v>25</v>
      </c>
      <c r="CV535" s="29" t="s">
        <v>25</v>
      </c>
      <c r="CW535" s="29" t="s">
        <v>25</v>
      </c>
      <c r="CX535" s="35">
        <v>1</v>
      </c>
      <c r="CY535" s="49">
        <f>C535/CX535</f>
        <v>57636</v>
      </c>
      <c r="CZ535" s="35">
        <v>2</v>
      </c>
      <c r="DA535" s="35">
        <v>9</v>
      </c>
      <c r="DB535" s="35">
        <v>12</v>
      </c>
      <c r="DC535" s="49">
        <f t="shared" si="239"/>
        <v>4803</v>
      </c>
      <c r="DD535" s="30">
        <v>11149</v>
      </c>
      <c r="DE535" s="31">
        <v>60444</v>
      </c>
      <c r="DF535" s="35">
        <v>40</v>
      </c>
      <c r="DG535" s="29" t="s">
        <v>25</v>
      </c>
      <c r="DH535" s="29" t="s">
        <v>25</v>
      </c>
      <c r="DI535" s="29" t="s">
        <v>25</v>
      </c>
      <c r="DJ535" s="47">
        <v>334</v>
      </c>
      <c r="DK535" s="47">
        <v>180</v>
      </c>
      <c r="DL535" s="47">
        <v>75</v>
      </c>
      <c r="DM535" s="47">
        <v>104123</v>
      </c>
      <c r="DN535" s="47">
        <v>38001</v>
      </c>
      <c r="DO535" s="47">
        <v>91000</v>
      </c>
      <c r="DP535" s="29" t="s">
        <v>25</v>
      </c>
      <c r="DQ535" s="47">
        <v>221728</v>
      </c>
      <c r="DR535" s="47">
        <v>3144</v>
      </c>
      <c r="DS535" s="30">
        <v>52</v>
      </c>
      <c r="DT535" s="30">
        <v>63</v>
      </c>
      <c r="DU535" s="30">
        <v>63</v>
      </c>
      <c r="DV535" s="30">
        <v>63</v>
      </c>
      <c r="DX535" s="2">
        <f t="shared" si="240"/>
        <v>3144</v>
      </c>
      <c r="DY535" s="33" t="s">
        <v>2180</v>
      </c>
      <c r="DZ535" s="33" t="s">
        <v>1336</v>
      </c>
      <c r="EA535" s="33" t="s">
        <v>2030</v>
      </c>
      <c r="EB535" s="33" t="s">
        <v>2027</v>
      </c>
      <c r="EC535" s="36">
        <v>407</v>
      </c>
      <c r="ED535" s="29" t="s">
        <v>1335</v>
      </c>
      <c r="EE535" s="29" t="s">
        <v>35</v>
      </c>
      <c r="EF535" s="37">
        <v>41548</v>
      </c>
      <c r="EG535" s="37">
        <v>41912</v>
      </c>
      <c r="EH535" s="29" t="s">
        <v>1335</v>
      </c>
      <c r="EI535" s="55">
        <f t="shared" si="241"/>
        <v>0.49965299465611768</v>
      </c>
      <c r="EJ535" s="54">
        <f t="shared" si="242"/>
        <v>0</v>
      </c>
      <c r="EK535" s="55">
        <f t="shared" si="243"/>
        <v>0.89634950378235823</v>
      </c>
      <c r="EL535" s="54">
        <f t="shared" si="244"/>
        <v>8.5935873412450556E-2</v>
      </c>
    </row>
    <row r="536" spans="1:142" ht="28.8" x14ac:dyDescent="0.3">
      <c r="A536" s="29" t="s">
        <v>131</v>
      </c>
      <c r="B536" s="29"/>
      <c r="C536" s="30">
        <v>4436</v>
      </c>
      <c r="D536" s="30">
        <v>0</v>
      </c>
      <c r="E536" s="30">
        <v>0</v>
      </c>
      <c r="F536" s="30">
        <v>5040</v>
      </c>
      <c r="H536" s="2">
        <f t="shared" si="219"/>
        <v>5040</v>
      </c>
      <c r="I536" s="1">
        <f t="shared" si="220"/>
        <v>1.1361587015329124</v>
      </c>
      <c r="J536" s="31">
        <v>13161</v>
      </c>
      <c r="K536" s="31">
        <v>1091</v>
      </c>
      <c r="L536" s="31">
        <v>14252</v>
      </c>
      <c r="M536" s="45">
        <f t="shared" si="221"/>
        <v>3.2128043282236249</v>
      </c>
      <c r="N536" s="31">
        <v>6044</v>
      </c>
      <c r="O536" s="31">
        <v>0</v>
      </c>
      <c r="P536" s="31">
        <v>0</v>
      </c>
      <c r="Q536" s="31">
        <v>6044</v>
      </c>
      <c r="R536" s="45">
        <f t="shared" si="222"/>
        <v>1.3624887285843101</v>
      </c>
      <c r="S536" s="31">
        <v>9147</v>
      </c>
      <c r="T536" s="31">
        <v>29443</v>
      </c>
      <c r="U536" s="31">
        <v>4914</v>
      </c>
      <c r="V536" s="31">
        <v>34357</v>
      </c>
      <c r="W536" s="45">
        <f t="shared" si="223"/>
        <v>7.745040577096483</v>
      </c>
      <c r="X536" s="4">
        <f t="shared" si="224"/>
        <v>0.41482085164595278</v>
      </c>
      <c r="Y536" s="4">
        <f t="shared" si="225"/>
        <v>0.1759175713828332</v>
      </c>
      <c r="Z536" s="4">
        <f t="shared" si="226"/>
        <v>0.26623395523474108</v>
      </c>
      <c r="AA536" s="4">
        <f t="shared" si="227"/>
        <v>0.1430276217364729</v>
      </c>
      <c r="AB536" s="31">
        <v>0</v>
      </c>
      <c r="AC536" s="31">
        <v>6044</v>
      </c>
      <c r="AD536" s="31">
        <v>34357</v>
      </c>
      <c r="AE536" s="31">
        <v>13914</v>
      </c>
      <c r="AF536" s="31">
        <v>4000</v>
      </c>
      <c r="AG536" s="31">
        <v>5000</v>
      </c>
      <c r="AH536" s="31">
        <v>0</v>
      </c>
      <c r="AI536" s="31">
        <v>9000</v>
      </c>
      <c r="AJ536" s="45">
        <f t="shared" si="228"/>
        <v>2.0288548241659154</v>
      </c>
      <c r="AK536" s="31">
        <v>0</v>
      </c>
      <c r="AL536" s="31">
        <v>0</v>
      </c>
      <c r="AM536" s="31">
        <v>0</v>
      </c>
      <c r="AN536" s="31">
        <v>0</v>
      </c>
      <c r="AO536" s="31">
        <v>0</v>
      </c>
      <c r="AP536" s="31">
        <v>16755</v>
      </c>
      <c r="AQ536" s="31">
        <v>16755</v>
      </c>
      <c r="AR536" s="31">
        <v>25755</v>
      </c>
      <c r="AS536" s="46">
        <f t="shared" si="229"/>
        <v>5.805906221821461</v>
      </c>
      <c r="AT536" s="31">
        <v>0</v>
      </c>
      <c r="AU536" s="31">
        <v>0</v>
      </c>
      <c r="AV536" s="31">
        <v>0</v>
      </c>
      <c r="AW536" s="31">
        <v>0</v>
      </c>
      <c r="AX536" s="31">
        <v>0</v>
      </c>
      <c r="AY536" s="31">
        <v>0</v>
      </c>
      <c r="AZ536" s="31">
        <v>0</v>
      </c>
      <c r="BA536" s="31">
        <v>0</v>
      </c>
      <c r="BB536" s="31">
        <v>0</v>
      </c>
      <c r="BC536" s="33" t="s">
        <v>25</v>
      </c>
      <c r="BD536" s="47">
        <v>35691</v>
      </c>
      <c r="BE536" s="47">
        <v>36594</v>
      </c>
      <c r="BF536" s="45">
        <f t="shared" si="230"/>
        <v>8.2493237150586118</v>
      </c>
      <c r="BG536" s="30">
        <v>627</v>
      </c>
      <c r="BH536" s="30">
        <v>628</v>
      </c>
      <c r="BI536" s="30">
        <v>0</v>
      </c>
      <c r="BJ536" s="30">
        <v>1017</v>
      </c>
      <c r="BK536" s="30">
        <v>1017</v>
      </c>
      <c r="BL536" s="30">
        <v>0</v>
      </c>
      <c r="BM536" s="30">
        <v>0</v>
      </c>
      <c r="BN536" s="30">
        <v>0</v>
      </c>
      <c r="BO536" s="30">
        <v>51</v>
      </c>
      <c r="BP536" s="30">
        <v>0</v>
      </c>
      <c r="BQ536" s="30">
        <v>51</v>
      </c>
      <c r="BR536" s="47">
        <v>37335</v>
      </c>
      <c r="BS536" s="47">
        <v>38239</v>
      </c>
      <c r="BT536" s="1">
        <f t="shared" si="231"/>
        <v>8.6201532912533807</v>
      </c>
      <c r="BU536" s="30">
        <v>0</v>
      </c>
      <c r="BV536" s="30">
        <v>0</v>
      </c>
      <c r="BW536" s="47">
        <v>676</v>
      </c>
      <c r="BX536" s="52">
        <f t="shared" si="232"/>
        <v>0.15238954012623984</v>
      </c>
      <c r="BY536" s="47">
        <v>6311</v>
      </c>
      <c r="BZ536" s="47">
        <v>0</v>
      </c>
      <c r="CA536" s="47">
        <v>12271</v>
      </c>
      <c r="CB536" s="47">
        <v>0</v>
      </c>
      <c r="CC536" s="47">
        <v>18582</v>
      </c>
      <c r="CD536" s="55">
        <f t="shared" si="233"/>
        <v>4.1889089269612265</v>
      </c>
      <c r="CE536" s="3">
        <f t="shared" si="234"/>
        <v>37164</v>
      </c>
      <c r="CF536" s="55">
        <f t="shared" si="235"/>
        <v>18.582000000000001</v>
      </c>
      <c r="CG536" s="55">
        <f t="shared" si="236"/>
        <v>1.2005427057759401</v>
      </c>
      <c r="CH536" s="55">
        <f t="shared" si="237"/>
        <v>0.48594367007505429</v>
      </c>
      <c r="CI536" s="30">
        <v>9</v>
      </c>
      <c r="CJ536" s="30">
        <v>27</v>
      </c>
      <c r="CK536" s="30">
        <v>44</v>
      </c>
      <c r="CL536" s="30">
        <v>80</v>
      </c>
      <c r="CM536" s="30">
        <v>543</v>
      </c>
      <c r="CN536" s="30">
        <v>135</v>
      </c>
      <c r="CO536" s="30">
        <v>264</v>
      </c>
      <c r="CP536" s="30">
        <v>942</v>
      </c>
      <c r="CQ536" s="1">
        <f t="shared" si="245"/>
        <v>0.21235347159603246</v>
      </c>
      <c r="CR536" s="47">
        <v>15478</v>
      </c>
      <c r="CS536" s="55">
        <f t="shared" si="238"/>
        <v>3.4891794409377819</v>
      </c>
      <c r="CT536" s="59">
        <v>3276</v>
      </c>
      <c r="CU536" s="29" t="s">
        <v>25</v>
      </c>
      <c r="CV536" s="29" t="s">
        <v>25</v>
      </c>
      <c r="CW536" s="29" t="s">
        <v>25</v>
      </c>
      <c r="CX536" s="35">
        <v>0</v>
      </c>
      <c r="CY536" s="49">
        <v>0</v>
      </c>
      <c r="CZ536" s="35">
        <v>0.5</v>
      </c>
      <c r="DA536" s="35">
        <v>0</v>
      </c>
      <c r="DB536" s="35">
        <v>0.5</v>
      </c>
      <c r="DC536" s="49">
        <f t="shared" si="239"/>
        <v>8872</v>
      </c>
      <c r="DD536" s="30">
        <v>384</v>
      </c>
      <c r="DE536" s="31">
        <v>13161</v>
      </c>
      <c r="DF536" s="35">
        <v>20</v>
      </c>
      <c r="DG536" s="29" t="s">
        <v>25</v>
      </c>
      <c r="DH536" s="29" t="s">
        <v>26</v>
      </c>
      <c r="DI536" s="29" t="s">
        <v>26</v>
      </c>
      <c r="DJ536" s="47">
        <v>288</v>
      </c>
      <c r="DK536" s="47">
        <v>0</v>
      </c>
      <c r="DL536" s="47">
        <v>8</v>
      </c>
      <c r="DM536" s="47">
        <v>2740</v>
      </c>
      <c r="DN536" s="47">
        <v>156</v>
      </c>
      <c r="DO536" s="47">
        <v>430</v>
      </c>
      <c r="DP536" s="29" t="s">
        <v>2028</v>
      </c>
      <c r="DQ536" s="47">
        <v>0</v>
      </c>
      <c r="DR536" s="47">
        <v>1000</v>
      </c>
      <c r="DS536" s="30">
        <v>52</v>
      </c>
      <c r="DT536" s="30">
        <v>20</v>
      </c>
      <c r="DU536" s="30">
        <v>20</v>
      </c>
      <c r="DV536" s="30">
        <v>20</v>
      </c>
      <c r="DX536" s="2">
        <f t="shared" si="240"/>
        <v>1000</v>
      </c>
      <c r="DY536" s="33" t="s">
        <v>2186</v>
      </c>
      <c r="DZ536" s="33" t="s">
        <v>1489</v>
      </c>
      <c r="EA536" s="33" t="s">
        <v>2030</v>
      </c>
      <c r="EB536" s="33" t="s">
        <v>2027</v>
      </c>
      <c r="EC536" s="36">
        <v>475</v>
      </c>
      <c r="ED536" s="29" t="s">
        <v>1488</v>
      </c>
      <c r="EE536" s="29" t="s">
        <v>1315</v>
      </c>
      <c r="EF536" s="37">
        <v>41640</v>
      </c>
      <c r="EG536" s="37">
        <v>42004</v>
      </c>
      <c r="EH536" s="29" t="s">
        <v>1488</v>
      </c>
      <c r="EI536" s="55">
        <f t="shared" si="241"/>
        <v>1.4226780883678991</v>
      </c>
      <c r="EJ536" s="54">
        <f t="shared" si="242"/>
        <v>0</v>
      </c>
      <c r="EK536" s="55">
        <f t="shared" si="243"/>
        <v>2.7662308385933274</v>
      </c>
      <c r="EL536" s="54">
        <f t="shared" si="244"/>
        <v>0</v>
      </c>
    </row>
    <row r="537" spans="1:142" ht="28.8" x14ac:dyDescent="0.3">
      <c r="A537" s="29" t="s">
        <v>1433</v>
      </c>
      <c r="B537" s="29"/>
      <c r="C537" s="30">
        <v>3667</v>
      </c>
      <c r="D537" s="30">
        <v>0</v>
      </c>
      <c r="E537" s="30">
        <v>0</v>
      </c>
      <c r="F537" s="30">
        <v>3600</v>
      </c>
      <c r="H537" s="2">
        <f t="shared" si="219"/>
        <v>3600</v>
      </c>
      <c r="I537" s="1">
        <f t="shared" si="220"/>
        <v>0.98172893373329695</v>
      </c>
      <c r="J537" s="31">
        <v>16313</v>
      </c>
      <c r="K537" s="31">
        <v>759</v>
      </c>
      <c r="L537" s="31">
        <v>17072</v>
      </c>
      <c r="M537" s="45">
        <f t="shared" si="221"/>
        <v>4.6555767657485685</v>
      </c>
      <c r="N537" s="31">
        <v>349</v>
      </c>
      <c r="O537" s="31">
        <v>112</v>
      </c>
      <c r="P537" s="31">
        <v>0</v>
      </c>
      <c r="Q537" s="31">
        <v>461</v>
      </c>
      <c r="R537" s="45">
        <f t="shared" si="222"/>
        <v>0.12571584401418054</v>
      </c>
      <c r="S537" s="31">
        <v>10936</v>
      </c>
      <c r="T537" s="31">
        <v>28469</v>
      </c>
      <c r="U537" s="31">
        <v>0</v>
      </c>
      <c r="V537" s="31">
        <v>28469</v>
      </c>
      <c r="W537" s="45">
        <f t="shared" si="223"/>
        <v>7.7635669484592311</v>
      </c>
      <c r="X537" s="4">
        <f t="shared" si="224"/>
        <v>0.5996698162914047</v>
      </c>
      <c r="Y537" s="4">
        <f t="shared" si="225"/>
        <v>1.619305209174892E-2</v>
      </c>
      <c r="Z537" s="4">
        <f t="shared" si="226"/>
        <v>0.38413713161684637</v>
      </c>
      <c r="AA537" s="4">
        <f t="shared" si="227"/>
        <v>0</v>
      </c>
      <c r="AB537" s="31">
        <v>0</v>
      </c>
      <c r="AC537" s="31">
        <v>461</v>
      </c>
      <c r="AD537" s="31">
        <v>28468</v>
      </c>
      <c r="AE537" s="31">
        <v>9000</v>
      </c>
      <c r="AF537" s="31">
        <v>5000</v>
      </c>
      <c r="AG537" s="31">
        <v>4000</v>
      </c>
      <c r="AH537" s="31">
        <v>0</v>
      </c>
      <c r="AI537" s="31">
        <v>9000</v>
      </c>
      <c r="AJ537" s="45">
        <f t="shared" si="228"/>
        <v>2.4543223343332423</v>
      </c>
      <c r="AK537" s="31">
        <v>0</v>
      </c>
      <c r="AL537" s="31">
        <v>0</v>
      </c>
      <c r="AM537" s="31">
        <v>0</v>
      </c>
      <c r="AN537" s="31">
        <v>0</v>
      </c>
      <c r="AO537" s="31">
        <v>1611</v>
      </c>
      <c r="AP537" s="31">
        <v>15852</v>
      </c>
      <c r="AQ537" s="31">
        <v>17463</v>
      </c>
      <c r="AR537" s="31">
        <v>26463</v>
      </c>
      <c r="AS537" s="46">
        <f t="shared" si="229"/>
        <v>7.2165257703845107</v>
      </c>
      <c r="AT537" s="31">
        <v>0</v>
      </c>
      <c r="AU537" s="31">
        <v>0</v>
      </c>
      <c r="AV537" s="31">
        <v>0</v>
      </c>
      <c r="AW537" s="31">
        <v>0</v>
      </c>
      <c r="AX537" s="31">
        <v>0</v>
      </c>
      <c r="AY537" s="31">
        <v>0</v>
      </c>
      <c r="AZ537" s="31">
        <v>0</v>
      </c>
      <c r="BA537" s="31">
        <v>0</v>
      </c>
      <c r="BB537" s="31">
        <v>0</v>
      </c>
      <c r="BC537" s="33" t="s">
        <v>25</v>
      </c>
      <c r="BD537" s="47">
        <v>30888</v>
      </c>
      <c r="BE537" s="47">
        <v>30951</v>
      </c>
      <c r="BF537" s="45">
        <f t="shared" si="230"/>
        <v>8.4404145077720205</v>
      </c>
      <c r="BG537" s="30">
        <v>252</v>
      </c>
      <c r="BH537" s="30">
        <v>252</v>
      </c>
      <c r="BI537" s="30">
        <v>0</v>
      </c>
      <c r="BJ537" s="30">
        <v>1110</v>
      </c>
      <c r="BK537" s="30">
        <v>1112</v>
      </c>
      <c r="BL537" s="30">
        <v>0</v>
      </c>
      <c r="BM537" s="30">
        <v>0</v>
      </c>
      <c r="BN537" s="30">
        <v>0</v>
      </c>
      <c r="BO537" s="30">
        <v>51</v>
      </c>
      <c r="BP537" s="30">
        <v>0</v>
      </c>
      <c r="BQ537" s="30">
        <v>51</v>
      </c>
      <c r="BR537" s="47">
        <v>32250</v>
      </c>
      <c r="BS537" s="47">
        <v>32315</v>
      </c>
      <c r="BT537" s="1">
        <f t="shared" si="231"/>
        <v>8.8123806926643038</v>
      </c>
      <c r="BU537" s="30">
        <v>7</v>
      </c>
      <c r="BV537" s="30">
        <v>0</v>
      </c>
      <c r="BW537" s="47">
        <v>2178</v>
      </c>
      <c r="BX537" s="52">
        <f t="shared" si="232"/>
        <v>0.59394600490864469</v>
      </c>
      <c r="BY537" s="47">
        <v>2980</v>
      </c>
      <c r="BZ537" s="47">
        <v>0</v>
      </c>
      <c r="CA537" s="47">
        <v>19468</v>
      </c>
      <c r="CB537" s="47">
        <v>0</v>
      </c>
      <c r="CC537" s="47">
        <v>22448</v>
      </c>
      <c r="CD537" s="55">
        <f t="shared" si="233"/>
        <v>6.1216253067902917</v>
      </c>
      <c r="CE537" s="3">
        <f t="shared" si="234"/>
        <v>40814.545454545449</v>
      </c>
      <c r="CF537" s="55">
        <f t="shared" si="235"/>
        <v>19.039864291772687</v>
      </c>
      <c r="CG537" s="55">
        <f t="shared" si="236"/>
        <v>2.6650836993945148</v>
      </c>
      <c r="CH537" s="55">
        <f t="shared" si="237"/>
        <v>0.69466192170818508</v>
      </c>
      <c r="CI537" s="30">
        <v>9</v>
      </c>
      <c r="CJ537" s="30">
        <v>1</v>
      </c>
      <c r="CK537" s="30">
        <v>1</v>
      </c>
      <c r="CL537" s="30">
        <v>11</v>
      </c>
      <c r="CM537" s="30">
        <v>261</v>
      </c>
      <c r="CN537" s="30">
        <v>4</v>
      </c>
      <c r="CO537" s="30">
        <v>150</v>
      </c>
      <c r="CP537" s="30">
        <v>415</v>
      </c>
      <c r="CQ537" s="1">
        <f t="shared" si="245"/>
        <v>0.11317152986092173</v>
      </c>
      <c r="CR537" s="47">
        <v>8423</v>
      </c>
      <c r="CS537" s="55">
        <f t="shared" si="238"/>
        <v>2.2969730024543225</v>
      </c>
      <c r="CT537" s="59">
        <v>2078</v>
      </c>
      <c r="CU537" s="29" t="s">
        <v>25</v>
      </c>
      <c r="CV537" s="29" t="s">
        <v>25</v>
      </c>
      <c r="CW537" s="29" t="s">
        <v>25</v>
      </c>
      <c r="CX537" s="35">
        <v>0</v>
      </c>
      <c r="CY537" s="49">
        <v>0</v>
      </c>
      <c r="CZ537" s="35">
        <v>0</v>
      </c>
      <c r="DA537" s="35">
        <v>0.55000000000000004</v>
      </c>
      <c r="DB537" s="35">
        <v>0.55000000000000004</v>
      </c>
      <c r="DC537" s="49">
        <f t="shared" si="239"/>
        <v>6667.272727272727</v>
      </c>
      <c r="DD537" s="30">
        <v>1591</v>
      </c>
      <c r="DE537" s="31">
        <v>9920</v>
      </c>
      <c r="DF537" s="35">
        <v>29</v>
      </c>
      <c r="DG537" s="29" t="s">
        <v>25</v>
      </c>
      <c r="DH537" s="29" t="s">
        <v>26</v>
      </c>
      <c r="DI537" s="29" t="s">
        <v>26</v>
      </c>
      <c r="DJ537" s="47">
        <v>0</v>
      </c>
      <c r="DK537" s="47">
        <v>0</v>
      </c>
      <c r="DL537" s="47">
        <v>8</v>
      </c>
      <c r="DM537" s="47">
        <v>1968</v>
      </c>
      <c r="DN537" s="47">
        <v>0</v>
      </c>
      <c r="DO537" s="47">
        <v>395</v>
      </c>
      <c r="DP537" s="29" t="s">
        <v>2028</v>
      </c>
      <c r="DQ537" s="47">
        <v>0</v>
      </c>
      <c r="DR537" s="47">
        <v>1179</v>
      </c>
      <c r="DS537" s="30">
        <v>52</v>
      </c>
      <c r="DT537" s="30">
        <v>22</v>
      </c>
      <c r="DU537" s="30">
        <v>22</v>
      </c>
      <c r="DV537" s="30">
        <v>29</v>
      </c>
      <c r="DX537" s="2">
        <f t="shared" si="240"/>
        <v>1179</v>
      </c>
      <c r="DY537" s="33" t="s">
        <v>2182</v>
      </c>
      <c r="DZ537" s="33" t="s">
        <v>1434</v>
      </c>
      <c r="EA537" s="33" t="s">
        <v>2032</v>
      </c>
      <c r="EB537" s="33" t="s">
        <v>2027</v>
      </c>
      <c r="EC537" s="36">
        <v>450</v>
      </c>
      <c r="ED537" s="29" t="s">
        <v>1432</v>
      </c>
      <c r="EE537" s="29" t="s">
        <v>341</v>
      </c>
      <c r="EF537" s="37">
        <v>41640</v>
      </c>
      <c r="EG537" s="37">
        <v>42004</v>
      </c>
      <c r="EH537" s="29" t="s">
        <v>1432</v>
      </c>
      <c r="EI537" s="55">
        <f t="shared" si="241"/>
        <v>0.81265339514589585</v>
      </c>
      <c r="EJ537" s="54">
        <f t="shared" si="242"/>
        <v>0</v>
      </c>
      <c r="EK537" s="55">
        <f t="shared" si="243"/>
        <v>5.3089719116443961</v>
      </c>
      <c r="EL537" s="54">
        <f t="shared" si="244"/>
        <v>0</v>
      </c>
    </row>
    <row r="538" spans="1:142" ht="43.2" x14ac:dyDescent="0.3">
      <c r="A538" s="29" t="s">
        <v>1817</v>
      </c>
      <c r="B538" s="29"/>
      <c r="C538" s="30">
        <v>2587</v>
      </c>
      <c r="D538" s="30">
        <v>0</v>
      </c>
      <c r="E538" s="30">
        <v>0</v>
      </c>
      <c r="F538" s="30">
        <v>1450</v>
      </c>
      <c r="H538" s="2">
        <f t="shared" si="219"/>
        <v>1450</v>
      </c>
      <c r="I538" s="1">
        <f t="shared" si="220"/>
        <v>0.56049478160030919</v>
      </c>
      <c r="J538" s="31">
        <v>19734</v>
      </c>
      <c r="K538" s="31">
        <v>1760</v>
      </c>
      <c r="L538" s="31">
        <v>21494</v>
      </c>
      <c r="M538" s="45">
        <f t="shared" si="221"/>
        <v>8.3084654039427903</v>
      </c>
      <c r="N538" s="31">
        <v>2000</v>
      </c>
      <c r="O538" s="31">
        <v>0</v>
      </c>
      <c r="P538" s="31">
        <v>0</v>
      </c>
      <c r="Q538" s="31">
        <v>2000</v>
      </c>
      <c r="R538" s="45">
        <f t="shared" si="222"/>
        <v>0.7730962504831852</v>
      </c>
      <c r="S538" s="31">
        <v>25850</v>
      </c>
      <c r="T538" s="31">
        <v>49344</v>
      </c>
      <c r="U538" s="31">
        <v>0</v>
      </c>
      <c r="V538" s="31">
        <v>49344</v>
      </c>
      <c r="W538" s="45">
        <f t="shared" si="223"/>
        <v>19.073830691921145</v>
      </c>
      <c r="X538" s="4">
        <f t="shared" si="224"/>
        <v>0.43559500648508431</v>
      </c>
      <c r="Y538" s="4">
        <f t="shared" si="225"/>
        <v>4.0531776913099872E-2</v>
      </c>
      <c r="Z538" s="4">
        <f t="shared" si="226"/>
        <v>0.52387321660181585</v>
      </c>
      <c r="AA538" s="4">
        <f t="shared" si="227"/>
        <v>0</v>
      </c>
      <c r="AB538" s="31">
        <v>0</v>
      </c>
      <c r="AC538" s="31">
        <v>2000</v>
      </c>
      <c r="AD538" s="31">
        <v>49344</v>
      </c>
      <c r="AE538" s="31">
        <v>49344</v>
      </c>
      <c r="AF538" s="31">
        <v>49344</v>
      </c>
      <c r="AG538" s="31">
        <v>0</v>
      </c>
      <c r="AH538" s="31">
        <v>0</v>
      </c>
      <c r="AI538" s="31">
        <v>49344</v>
      </c>
      <c r="AJ538" s="45">
        <f t="shared" si="228"/>
        <v>19.073830691921145</v>
      </c>
      <c r="AK538" s="31">
        <v>0</v>
      </c>
      <c r="AL538" s="31">
        <v>0</v>
      </c>
      <c r="AM538" s="31">
        <v>0</v>
      </c>
      <c r="AN538" s="31">
        <v>0</v>
      </c>
      <c r="AO538" s="31">
        <v>0</v>
      </c>
      <c r="AP538" s="31">
        <v>0</v>
      </c>
      <c r="AQ538" s="31">
        <v>0</v>
      </c>
      <c r="AR538" s="31">
        <v>49344</v>
      </c>
      <c r="AS538" s="46">
        <f t="shared" si="229"/>
        <v>19.073830691921145</v>
      </c>
      <c r="AT538" s="31">
        <v>0</v>
      </c>
      <c r="AU538" s="31">
        <v>0</v>
      </c>
      <c r="AV538" s="31">
        <v>0</v>
      </c>
      <c r="AW538" s="31">
        <v>0</v>
      </c>
      <c r="AX538" s="31">
        <v>0</v>
      </c>
      <c r="AY538" s="31">
        <v>0</v>
      </c>
      <c r="AZ538" s="31">
        <v>0</v>
      </c>
      <c r="BA538" s="31">
        <v>0</v>
      </c>
      <c r="BB538" s="31">
        <v>0</v>
      </c>
      <c r="BC538" s="33" t="s">
        <v>25</v>
      </c>
      <c r="BD538" s="47">
        <v>14069</v>
      </c>
      <c r="BE538" s="47">
        <v>14166</v>
      </c>
      <c r="BF538" s="45">
        <f t="shared" si="230"/>
        <v>5.4758407421724007</v>
      </c>
      <c r="BG538" s="30">
        <v>14</v>
      </c>
      <c r="BH538" s="30">
        <v>14</v>
      </c>
      <c r="BI538" s="30">
        <v>0</v>
      </c>
      <c r="BJ538" s="30">
        <v>437</v>
      </c>
      <c r="BK538" s="30">
        <v>437</v>
      </c>
      <c r="BL538" s="30">
        <v>0</v>
      </c>
      <c r="BM538" s="30">
        <v>0</v>
      </c>
      <c r="BN538" s="30">
        <v>0</v>
      </c>
      <c r="BO538" s="30">
        <v>0</v>
      </c>
      <c r="BP538" s="30">
        <v>0</v>
      </c>
      <c r="BQ538" s="30">
        <v>0</v>
      </c>
      <c r="BR538" s="47">
        <v>14520</v>
      </c>
      <c r="BS538" s="47">
        <v>14617</v>
      </c>
      <c r="BT538" s="1">
        <f t="shared" si="231"/>
        <v>5.6501739466563583</v>
      </c>
      <c r="BU538" s="30">
        <v>0</v>
      </c>
      <c r="BV538" s="30">
        <v>0</v>
      </c>
      <c r="BW538" s="47">
        <v>40</v>
      </c>
      <c r="BX538" s="52">
        <f t="shared" si="232"/>
        <v>1.5461925009663703E-2</v>
      </c>
      <c r="BY538" s="47">
        <v>2092</v>
      </c>
      <c r="BZ538" s="47">
        <v>0</v>
      </c>
      <c r="CA538" s="47">
        <v>1665</v>
      </c>
      <c r="CB538" s="47">
        <v>0</v>
      </c>
      <c r="CC538" s="47">
        <v>3757</v>
      </c>
      <c r="CD538" s="55">
        <f t="shared" si="233"/>
        <v>1.4522613065326633</v>
      </c>
      <c r="CE538" s="3">
        <f t="shared" si="234"/>
        <v>4420</v>
      </c>
      <c r="CF538" s="55">
        <f t="shared" si="235"/>
        <v>2.493032514930325</v>
      </c>
      <c r="CG538" s="55">
        <f t="shared" si="236"/>
        <v>1.1671326498912706</v>
      </c>
      <c r="CH538" s="55">
        <f t="shared" si="237"/>
        <v>0.25702948621468152</v>
      </c>
      <c r="CI538" s="30">
        <v>57</v>
      </c>
      <c r="CJ538" s="30">
        <v>1</v>
      </c>
      <c r="CK538" s="30">
        <v>0</v>
      </c>
      <c r="CL538" s="30">
        <v>58</v>
      </c>
      <c r="CM538" s="30">
        <v>513</v>
      </c>
      <c r="CN538" s="30">
        <v>21</v>
      </c>
      <c r="CO538" s="30">
        <v>0</v>
      </c>
      <c r="CP538" s="30">
        <v>534</v>
      </c>
      <c r="CQ538" s="1">
        <f t="shared" si="245"/>
        <v>0.20641669887901043</v>
      </c>
      <c r="CR538" s="47">
        <v>3219</v>
      </c>
      <c r="CS538" s="55">
        <f t="shared" si="238"/>
        <v>1.2442984151526866</v>
      </c>
      <c r="CT538" s="59">
        <v>238</v>
      </c>
      <c r="CU538" s="29" t="s">
        <v>25</v>
      </c>
      <c r="CV538" s="29" t="s">
        <v>25</v>
      </c>
      <c r="CW538" s="29" t="s">
        <v>25</v>
      </c>
      <c r="CX538" s="35">
        <v>0</v>
      </c>
      <c r="CY538" s="49">
        <v>0</v>
      </c>
      <c r="CZ538" s="35">
        <v>0.7</v>
      </c>
      <c r="DA538" s="35">
        <v>0.15</v>
      </c>
      <c r="DB538" s="35">
        <v>0.85</v>
      </c>
      <c r="DC538" s="49">
        <f t="shared" si="239"/>
        <v>3043.5294117647059</v>
      </c>
      <c r="DD538" s="30">
        <v>189</v>
      </c>
      <c r="DE538" s="31">
        <v>14426</v>
      </c>
      <c r="DF538" s="35">
        <v>28</v>
      </c>
      <c r="DG538" s="29" t="s">
        <v>25</v>
      </c>
      <c r="DH538" s="29" t="s">
        <v>26</v>
      </c>
      <c r="DI538" s="29" t="s">
        <v>26</v>
      </c>
      <c r="DJ538" s="47">
        <v>171</v>
      </c>
      <c r="DK538" s="47">
        <v>494</v>
      </c>
      <c r="DL538" s="47">
        <v>7</v>
      </c>
      <c r="DM538" s="47">
        <v>783</v>
      </c>
      <c r="DN538" s="47">
        <v>30</v>
      </c>
      <c r="DO538" s="47">
        <v>0</v>
      </c>
      <c r="DP538" s="29" t="s">
        <v>2028</v>
      </c>
      <c r="DQ538" s="47">
        <v>0</v>
      </c>
      <c r="DR538" s="47">
        <v>1507</v>
      </c>
      <c r="DS538" s="30">
        <v>52</v>
      </c>
      <c r="DT538" s="30">
        <v>32</v>
      </c>
      <c r="DU538" s="30">
        <v>32</v>
      </c>
      <c r="DV538" s="30">
        <v>32</v>
      </c>
      <c r="DX538" s="2">
        <f t="shared" si="240"/>
        <v>1507</v>
      </c>
      <c r="DY538" s="33" t="s">
        <v>2181</v>
      </c>
      <c r="DZ538" s="33" t="s">
        <v>1818</v>
      </c>
      <c r="EA538" s="33" t="s">
        <v>2030</v>
      </c>
      <c r="EB538" s="33" t="s">
        <v>2027</v>
      </c>
      <c r="EC538" s="36">
        <v>650</v>
      </c>
      <c r="ED538" s="29" t="s">
        <v>1816</v>
      </c>
      <c r="EE538" s="29" t="s">
        <v>91</v>
      </c>
      <c r="EF538" s="37">
        <v>41548</v>
      </c>
      <c r="EG538" s="37">
        <v>41912</v>
      </c>
      <c r="EH538" s="29" t="s">
        <v>1816</v>
      </c>
      <c r="EI538" s="55">
        <f t="shared" si="241"/>
        <v>0.80865867800541169</v>
      </c>
      <c r="EJ538" s="54">
        <f t="shared" si="242"/>
        <v>0</v>
      </c>
      <c r="EK538" s="55">
        <f t="shared" si="243"/>
        <v>0.6436026285272517</v>
      </c>
      <c r="EL538" s="54">
        <f t="shared" si="244"/>
        <v>0</v>
      </c>
    </row>
    <row r="539" spans="1:142" ht="28.8" x14ac:dyDescent="0.3">
      <c r="A539" s="29" t="s">
        <v>1337</v>
      </c>
      <c r="B539" s="29"/>
      <c r="C539" s="30">
        <v>41216</v>
      </c>
      <c r="D539" s="30">
        <v>3</v>
      </c>
      <c r="E539" s="30">
        <v>0</v>
      </c>
      <c r="F539" s="30">
        <v>15000</v>
      </c>
      <c r="G539">
        <v>20976</v>
      </c>
      <c r="H539" s="2">
        <f t="shared" si="219"/>
        <v>35976</v>
      </c>
      <c r="I539" s="1">
        <f t="shared" si="220"/>
        <v>0.87286490683229812</v>
      </c>
      <c r="J539" s="31">
        <v>435367</v>
      </c>
      <c r="K539" s="31">
        <v>226913</v>
      </c>
      <c r="L539" s="31">
        <v>662280</v>
      </c>
      <c r="M539" s="45">
        <f t="shared" si="221"/>
        <v>16.068517080745341</v>
      </c>
      <c r="N539" s="31">
        <v>59740</v>
      </c>
      <c r="O539" s="31">
        <v>4774</v>
      </c>
      <c r="P539" s="31">
        <v>9405</v>
      </c>
      <c r="Q539" s="31">
        <v>73919</v>
      </c>
      <c r="R539" s="45">
        <f t="shared" si="222"/>
        <v>1.7934539984472049</v>
      </c>
      <c r="S539" s="31">
        <v>238718</v>
      </c>
      <c r="T539" s="31">
        <v>974917</v>
      </c>
      <c r="U539" s="31">
        <v>0</v>
      </c>
      <c r="V539" s="31">
        <v>974917</v>
      </c>
      <c r="W539" s="45">
        <f t="shared" si="223"/>
        <v>23.653848020186334</v>
      </c>
      <c r="X539" s="4">
        <f t="shared" si="224"/>
        <v>0.67931936770001955</v>
      </c>
      <c r="Y539" s="4">
        <f t="shared" si="225"/>
        <v>7.5820813464120534E-2</v>
      </c>
      <c r="Z539" s="4">
        <f t="shared" si="226"/>
        <v>0.24485981883585986</v>
      </c>
      <c r="AA539" s="4">
        <f t="shared" si="227"/>
        <v>0</v>
      </c>
      <c r="AB539" s="31">
        <v>0</v>
      </c>
      <c r="AC539" s="31">
        <v>73919</v>
      </c>
      <c r="AD539" s="31">
        <v>974917</v>
      </c>
      <c r="AE539" s="31">
        <v>892784</v>
      </c>
      <c r="AF539" s="31">
        <v>0</v>
      </c>
      <c r="AG539" s="31">
        <v>894966</v>
      </c>
      <c r="AH539" s="31">
        <v>0</v>
      </c>
      <c r="AI539" s="31">
        <v>894966</v>
      </c>
      <c r="AJ539" s="45">
        <f t="shared" si="228"/>
        <v>21.714043090062113</v>
      </c>
      <c r="AK539" s="31">
        <v>0</v>
      </c>
      <c r="AL539" s="31">
        <v>0</v>
      </c>
      <c r="AM539" s="31">
        <v>0</v>
      </c>
      <c r="AN539" s="31">
        <v>0</v>
      </c>
      <c r="AO539" s="31">
        <v>49750</v>
      </c>
      <c r="AP539" s="31">
        <v>45545</v>
      </c>
      <c r="AQ539" s="31">
        <v>95295</v>
      </c>
      <c r="AR539" s="31">
        <v>990261</v>
      </c>
      <c r="AS539" s="46">
        <f t="shared" si="229"/>
        <v>24.026130628881987</v>
      </c>
      <c r="AT539" s="31">
        <v>0</v>
      </c>
      <c r="AU539" s="31">
        <v>0</v>
      </c>
      <c r="AV539" s="31">
        <v>0</v>
      </c>
      <c r="AW539" s="31">
        <v>0</v>
      </c>
      <c r="AX539" s="31">
        <v>0</v>
      </c>
      <c r="AY539" s="31">
        <v>0</v>
      </c>
      <c r="AZ539" s="31">
        <v>0</v>
      </c>
      <c r="BA539" s="31">
        <v>0</v>
      </c>
      <c r="BB539" s="31">
        <v>0</v>
      </c>
      <c r="BC539" s="33" t="s">
        <v>25</v>
      </c>
      <c r="BD539" s="47">
        <v>90614</v>
      </c>
      <c r="BE539" s="47">
        <v>97218</v>
      </c>
      <c r="BF539" s="45">
        <f t="shared" si="230"/>
        <v>2.3587441770186337</v>
      </c>
      <c r="BG539" s="30">
        <v>2497</v>
      </c>
      <c r="BH539" s="30">
        <v>2818</v>
      </c>
      <c r="BI539" s="30">
        <v>12509</v>
      </c>
      <c r="BJ539" s="30">
        <v>2943</v>
      </c>
      <c r="BK539" s="30">
        <v>3450</v>
      </c>
      <c r="BL539" s="30">
        <v>322</v>
      </c>
      <c r="BM539" s="30">
        <v>27266</v>
      </c>
      <c r="BN539" s="30">
        <v>1</v>
      </c>
      <c r="BO539" s="30">
        <v>51</v>
      </c>
      <c r="BP539" s="30">
        <v>1</v>
      </c>
      <c r="BQ539" s="30">
        <v>53</v>
      </c>
      <c r="BR539" s="47">
        <v>96054</v>
      </c>
      <c r="BS539" s="47">
        <v>143584</v>
      </c>
      <c r="BT539" s="1">
        <f t="shared" si="231"/>
        <v>3.4836956521739131</v>
      </c>
      <c r="BU539" s="30">
        <v>165</v>
      </c>
      <c r="BV539" s="30">
        <v>0</v>
      </c>
      <c r="BW539" s="47">
        <v>9412</v>
      </c>
      <c r="BX539" s="52">
        <f t="shared" si="232"/>
        <v>0.2283579192546584</v>
      </c>
      <c r="BY539" s="47">
        <v>63209</v>
      </c>
      <c r="BZ539" s="47">
        <v>274</v>
      </c>
      <c r="CA539" s="47">
        <v>63236</v>
      </c>
      <c r="CB539" s="47">
        <v>6392</v>
      </c>
      <c r="CC539" s="47">
        <v>133111</v>
      </c>
      <c r="CD539" s="55">
        <f t="shared" si="233"/>
        <v>3.229595302795031</v>
      </c>
      <c r="CE539" s="3">
        <f t="shared" si="234"/>
        <v>9086.0750853242316</v>
      </c>
      <c r="CF539" s="55">
        <f t="shared" si="235"/>
        <v>19.793457249070631</v>
      </c>
      <c r="CG539" s="55">
        <f t="shared" si="236"/>
        <v>0.647915500498917</v>
      </c>
      <c r="CH539" s="55">
        <f t="shared" si="237"/>
        <v>0.88063433251615775</v>
      </c>
      <c r="CI539" s="30">
        <v>611</v>
      </c>
      <c r="CJ539" s="30">
        <v>27</v>
      </c>
      <c r="CK539" s="30">
        <v>65</v>
      </c>
      <c r="CL539" s="30">
        <v>703</v>
      </c>
      <c r="CM539" s="30">
        <v>18468</v>
      </c>
      <c r="CN539" s="30">
        <v>519</v>
      </c>
      <c r="CO539" s="30">
        <v>1242</v>
      </c>
      <c r="CP539" s="30">
        <v>20229</v>
      </c>
      <c r="CQ539" s="1">
        <f t="shared" si="245"/>
        <v>0.49080454192546585</v>
      </c>
      <c r="CR539" s="47">
        <v>205445</v>
      </c>
      <c r="CS539" s="55">
        <f t="shared" si="238"/>
        <v>4.9845933618012426</v>
      </c>
      <c r="CT539" s="59">
        <v>19946</v>
      </c>
      <c r="CU539" s="29" t="s">
        <v>25</v>
      </c>
      <c r="CV539" s="29" t="s">
        <v>25</v>
      </c>
      <c r="CW539" s="29" t="s">
        <v>25</v>
      </c>
      <c r="CX539" s="35">
        <v>2</v>
      </c>
      <c r="CY539" s="49">
        <f>C539/CX539</f>
        <v>20608</v>
      </c>
      <c r="CZ539" s="35">
        <v>12.225</v>
      </c>
      <c r="DA539" s="35">
        <v>0.42499999999999999</v>
      </c>
      <c r="DB539" s="35">
        <v>14.65</v>
      </c>
      <c r="DC539" s="49">
        <f t="shared" si="239"/>
        <v>2813.3788395904435</v>
      </c>
      <c r="DD539" s="30">
        <v>1307</v>
      </c>
      <c r="DE539" s="31">
        <v>52270</v>
      </c>
      <c r="DF539" s="35">
        <v>40</v>
      </c>
      <c r="DG539" s="29" t="s">
        <v>25</v>
      </c>
      <c r="DH539" s="29" t="s">
        <v>25</v>
      </c>
      <c r="DI539" s="29" t="s">
        <v>25</v>
      </c>
      <c r="DJ539" s="47">
        <v>308</v>
      </c>
      <c r="DK539" s="47">
        <v>159</v>
      </c>
      <c r="DL539" s="47">
        <v>42</v>
      </c>
      <c r="DM539" s="47">
        <v>29901</v>
      </c>
      <c r="DN539" s="47">
        <v>2241</v>
      </c>
      <c r="DO539" s="47">
        <v>0</v>
      </c>
      <c r="DP539" s="29" t="s">
        <v>25</v>
      </c>
      <c r="DQ539" s="47">
        <v>37724</v>
      </c>
      <c r="DR539" s="47">
        <v>2573</v>
      </c>
      <c r="DS539" s="30">
        <v>52</v>
      </c>
      <c r="DT539" s="30">
        <v>52</v>
      </c>
      <c r="DU539" s="30">
        <v>52</v>
      </c>
      <c r="DV539" s="30">
        <v>52</v>
      </c>
      <c r="DW539">
        <f>VLOOKUP(EC539,branch!$I$4:$K$77,3,0)</f>
        <v>4152</v>
      </c>
      <c r="DX539" s="2">
        <f t="shared" si="240"/>
        <v>6725</v>
      </c>
      <c r="DY539" s="33" t="s">
        <v>2185</v>
      </c>
      <c r="DZ539" s="33" t="s">
        <v>1339</v>
      </c>
      <c r="EA539" s="33" t="s">
        <v>2031</v>
      </c>
      <c r="EB539" s="33" t="s">
        <v>2027</v>
      </c>
      <c r="EC539" s="36">
        <v>408</v>
      </c>
      <c r="ED539" s="29" t="s">
        <v>1338</v>
      </c>
      <c r="EE539" s="29" t="s">
        <v>1337</v>
      </c>
      <c r="EF539" s="37">
        <v>41640</v>
      </c>
      <c r="EG539" s="37">
        <v>42004</v>
      </c>
      <c r="EH539" s="29" t="s">
        <v>1338</v>
      </c>
      <c r="EI539" s="55">
        <f t="shared" si="241"/>
        <v>1.5336034549689441</v>
      </c>
      <c r="EJ539" s="54">
        <f t="shared" si="242"/>
        <v>6.6479037267080749E-3</v>
      </c>
      <c r="EK539" s="55">
        <f t="shared" si="243"/>
        <v>1.5342585403726707</v>
      </c>
      <c r="EL539" s="54">
        <f t="shared" si="244"/>
        <v>0.15508540372670807</v>
      </c>
    </row>
    <row r="540" spans="1:142" ht="28.8" x14ac:dyDescent="0.3">
      <c r="A540" s="29" t="s">
        <v>1209</v>
      </c>
      <c r="B540" s="29"/>
      <c r="C540" s="30">
        <v>2606</v>
      </c>
      <c r="D540" s="30">
        <v>0</v>
      </c>
      <c r="E540" s="30">
        <v>0</v>
      </c>
      <c r="F540" s="30">
        <v>3400</v>
      </c>
      <c r="H540" s="2">
        <f t="shared" si="219"/>
        <v>3400</v>
      </c>
      <c r="I540" s="1">
        <f t="shared" si="220"/>
        <v>1.3046815042210285</v>
      </c>
      <c r="J540" s="31">
        <v>24298</v>
      </c>
      <c r="K540" s="31">
        <v>3952</v>
      </c>
      <c r="L540" s="31">
        <v>28250</v>
      </c>
      <c r="M540" s="45">
        <f t="shared" si="221"/>
        <v>10.840368380660015</v>
      </c>
      <c r="N540" s="31">
        <v>4583</v>
      </c>
      <c r="O540" s="31">
        <v>1594</v>
      </c>
      <c r="P540" s="31">
        <v>0</v>
      </c>
      <c r="Q540" s="31">
        <v>6177</v>
      </c>
      <c r="R540" s="45">
        <f t="shared" si="222"/>
        <v>2.3702993092862625</v>
      </c>
      <c r="S540" s="31">
        <v>8123</v>
      </c>
      <c r="T540" s="31">
        <v>42550</v>
      </c>
      <c r="U540" s="31">
        <v>0</v>
      </c>
      <c r="V540" s="31">
        <v>42550</v>
      </c>
      <c r="W540" s="45">
        <f t="shared" si="223"/>
        <v>16.327705295471986</v>
      </c>
      <c r="X540" s="4">
        <f t="shared" si="224"/>
        <v>0.66392479435957696</v>
      </c>
      <c r="Y540" s="4">
        <f t="shared" si="225"/>
        <v>0.14517038777908342</v>
      </c>
      <c r="Z540" s="4">
        <f t="shared" si="226"/>
        <v>0.19090481786133959</v>
      </c>
      <c r="AA540" s="4">
        <f t="shared" si="227"/>
        <v>0</v>
      </c>
      <c r="AB540" s="31">
        <v>0</v>
      </c>
      <c r="AC540" s="31">
        <v>6177</v>
      </c>
      <c r="AD540" s="31">
        <v>42550</v>
      </c>
      <c r="AE540" s="31">
        <v>42550</v>
      </c>
      <c r="AF540" s="31">
        <v>53731</v>
      </c>
      <c r="AG540" s="31">
        <v>3400</v>
      </c>
      <c r="AH540" s="31">
        <v>0</v>
      </c>
      <c r="AI540" s="31">
        <v>57131</v>
      </c>
      <c r="AJ540" s="45">
        <f t="shared" si="228"/>
        <v>21.922870299309285</v>
      </c>
      <c r="AK540" s="31">
        <v>0</v>
      </c>
      <c r="AL540" s="31">
        <v>0</v>
      </c>
      <c r="AM540" s="31">
        <v>0</v>
      </c>
      <c r="AN540" s="31">
        <v>0</v>
      </c>
      <c r="AO540" s="31">
        <v>0</v>
      </c>
      <c r="AP540" s="31">
        <v>1719</v>
      </c>
      <c r="AQ540" s="31">
        <v>1719</v>
      </c>
      <c r="AR540" s="31">
        <v>58850</v>
      </c>
      <c r="AS540" s="46">
        <f t="shared" si="229"/>
        <v>22.582501918649271</v>
      </c>
      <c r="AT540" s="31">
        <v>0</v>
      </c>
      <c r="AU540" s="31">
        <v>0</v>
      </c>
      <c r="AV540" s="31">
        <v>0</v>
      </c>
      <c r="AW540" s="31">
        <v>0</v>
      </c>
      <c r="AX540" s="31">
        <v>0</v>
      </c>
      <c r="AY540" s="31">
        <v>0</v>
      </c>
      <c r="AZ540" s="31">
        <v>0</v>
      </c>
      <c r="BA540" s="31">
        <v>0</v>
      </c>
      <c r="BB540" s="31">
        <v>0</v>
      </c>
      <c r="BC540" s="33" t="s">
        <v>25</v>
      </c>
      <c r="BD540" s="47">
        <v>25114</v>
      </c>
      <c r="BE540" s="47">
        <v>25114</v>
      </c>
      <c r="BF540" s="45">
        <f t="shared" si="230"/>
        <v>9.6369915579432082</v>
      </c>
      <c r="BG540" s="30">
        <v>649</v>
      </c>
      <c r="BH540" s="30">
        <v>649</v>
      </c>
      <c r="BI540" s="30">
        <v>0</v>
      </c>
      <c r="BJ540" s="30">
        <v>0</v>
      </c>
      <c r="BK540" s="30">
        <v>0</v>
      </c>
      <c r="BL540" s="30">
        <v>0</v>
      </c>
      <c r="BM540" s="30">
        <v>0</v>
      </c>
      <c r="BN540" s="30">
        <v>0</v>
      </c>
      <c r="BO540" s="30">
        <v>51</v>
      </c>
      <c r="BP540" s="30">
        <v>8</v>
      </c>
      <c r="BQ540" s="30">
        <v>59</v>
      </c>
      <c r="BR540" s="47">
        <v>25763</v>
      </c>
      <c r="BS540" s="47">
        <v>25763</v>
      </c>
      <c r="BT540" s="1">
        <f t="shared" si="231"/>
        <v>9.8860322333077519</v>
      </c>
      <c r="BU540" s="30">
        <v>8</v>
      </c>
      <c r="BV540" s="30">
        <v>0</v>
      </c>
      <c r="BW540" s="47">
        <v>900</v>
      </c>
      <c r="BX540" s="52">
        <f t="shared" si="232"/>
        <v>0.34535686876438987</v>
      </c>
      <c r="BY540" s="47">
        <v>19500</v>
      </c>
      <c r="BZ540" s="47">
        <v>0</v>
      </c>
      <c r="CA540" s="47">
        <v>1</v>
      </c>
      <c r="CB540" s="47">
        <v>0</v>
      </c>
      <c r="CC540" s="47">
        <v>19501</v>
      </c>
      <c r="CD540" s="55">
        <f t="shared" si="233"/>
        <v>7.4831158864159635</v>
      </c>
      <c r="CE540" s="3">
        <f t="shared" si="234"/>
        <v>13929.285714285716</v>
      </c>
      <c r="CF540" s="55">
        <f t="shared" si="235"/>
        <v>13.000666666666667</v>
      </c>
      <c r="CG540" s="55">
        <f t="shared" si="236"/>
        <v>1.8572380952380951</v>
      </c>
      <c r="CH540" s="55">
        <f t="shared" si="237"/>
        <v>0.7569382447696309</v>
      </c>
      <c r="CI540" s="30">
        <v>4</v>
      </c>
      <c r="CJ540" s="30">
        <v>2</v>
      </c>
      <c r="CK540" s="30">
        <v>1</v>
      </c>
      <c r="CL540" s="30">
        <v>7</v>
      </c>
      <c r="CM540" s="30">
        <v>200</v>
      </c>
      <c r="CN540" s="30">
        <v>80</v>
      </c>
      <c r="CO540" s="30">
        <v>25</v>
      </c>
      <c r="CP540" s="30">
        <v>305</v>
      </c>
      <c r="CQ540" s="1">
        <f t="shared" si="245"/>
        <v>0.1170376055257099</v>
      </c>
      <c r="CR540" s="47">
        <v>10500</v>
      </c>
      <c r="CS540" s="55">
        <f t="shared" si="238"/>
        <v>4.0291634689178819</v>
      </c>
      <c r="CT540" s="59">
        <v>1251</v>
      </c>
      <c r="CU540" s="29" t="s">
        <v>25</v>
      </c>
      <c r="CV540" s="29" t="s">
        <v>25</v>
      </c>
      <c r="CW540" s="29" t="s">
        <v>25</v>
      </c>
      <c r="CX540" s="35">
        <v>0</v>
      </c>
      <c r="CY540" s="49">
        <v>0</v>
      </c>
      <c r="CZ540" s="35">
        <v>0.75</v>
      </c>
      <c r="DA540" s="35">
        <v>0.65</v>
      </c>
      <c r="DB540" s="35">
        <v>1.4</v>
      </c>
      <c r="DC540" s="49">
        <f t="shared" si="239"/>
        <v>1861.4285714285716</v>
      </c>
      <c r="DD540" s="30">
        <v>20</v>
      </c>
      <c r="DE540" s="31">
        <v>15912</v>
      </c>
      <c r="DF540" s="35">
        <v>30</v>
      </c>
      <c r="DG540" s="29" t="s">
        <v>26</v>
      </c>
      <c r="DH540" s="29" t="s">
        <v>26</v>
      </c>
      <c r="DI540" s="29" t="s">
        <v>26</v>
      </c>
      <c r="DJ540" s="47">
        <v>0</v>
      </c>
      <c r="DK540" s="47">
        <v>0</v>
      </c>
      <c r="DL540" s="47">
        <v>3</v>
      </c>
      <c r="DM540" s="47">
        <v>3019</v>
      </c>
      <c r="DN540" s="47">
        <v>2</v>
      </c>
      <c r="DO540" s="47">
        <v>-1</v>
      </c>
      <c r="DP540" s="29" t="s">
        <v>2028</v>
      </c>
      <c r="DQ540" s="47">
        <v>0</v>
      </c>
      <c r="DR540" s="47">
        <v>1500</v>
      </c>
      <c r="DS540" s="30">
        <v>52</v>
      </c>
      <c r="DT540" s="30">
        <v>27</v>
      </c>
      <c r="DU540" s="30">
        <v>27</v>
      </c>
      <c r="DV540" s="30">
        <v>27</v>
      </c>
      <c r="DX540" s="2">
        <f t="shared" si="240"/>
        <v>1500</v>
      </c>
      <c r="DY540" s="33" t="s">
        <v>2184</v>
      </c>
      <c r="DZ540" s="33" t="s">
        <v>1341</v>
      </c>
      <c r="EA540" s="33" t="s">
        <v>2030</v>
      </c>
      <c r="EB540" s="33" t="s">
        <v>2026</v>
      </c>
      <c r="EC540" s="36">
        <v>409</v>
      </c>
      <c r="ED540" s="29" t="s">
        <v>1340</v>
      </c>
      <c r="EE540" s="29" t="s">
        <v>1209</v>
      </c>
      <c r="EF540" s="37">
        <v>41640</v>
      </c>
      <c r="EG540" s="37">
        <v>42004</v>
      </c>
      <c r="EH540" s="29" t="s">
        <v>1340</v>
      </c>
      <c r="EI540" s="55">
        <f t="shared" si="241"/>
        <v>7.4827321565617808</v>
      </c>
      <c r="EJ540" s="54">
        <f t="shared" si="242"/>
        <v>0</v>
      </c>
      <c r="EK540" s="55">
        <f t="shared" si="243"/>
        <v>3.8372985418265541E-4</v>
      </c>
      <c r="EL540" s="54">
        <f t="shared" si="244"/>
        <v>0</v>
      </c>
    </row>
    <row r="541" spans="1:142" ht="43.2" x14ac:dyDescent="0.3">
      <c r="A541" s="29" t="s">
        <v>1499</v>
      </c>
      <c r="B541" s="29"/>
      <c r="C541" s="30">
        <v>7947</v>
      </c>
      <c r="D541" s="30">
        <v>0</v>
      </c>
      <c r="E541" s="30">
        <v>0</v>
      </c>
      <c r="F541" s="30">
        <v>5138</v>
      </c>
      <c r="H541" s="2">
        <f t="shared" si="219"/>
        <v>5138</v>
      </c>
      <c r="I541" s="1">
        <f t="shared" si="220"/>
        <v>0.64653328299987411</v>
      </c>
      <c r="J541" s="31">
        <v>23755</v>
      </c>
      <c r="K541" s="31">
        <v>2259</v>
      </c>
      <c r="L541" s="31">
        <v>26014</v>
      </c>
      <c r="M541" s="45">
        <f t="shared" si="221"/>
        <v>3.2734365169246256</v>
      </c>
      <c r="N541" s="31">
        <v>1184</v>
      </c>
      <c r="O541" s="31">
        <v>1024</v>
      </c>
      <c r="P541" s="31">
        <v>31</v>
      </c>
      <c r="Q541" s="31">
        <v>2239</v>
      </c>
      <c r="R541" s="45">
        <f t="shared" si="222"/>
        <v>0.28174153768717758</v>
      </c>
      <c r="S541" s="31">
        <v>30210</v>
      </c>
      <c r="T541" s="31">
        <v>58463</v>
      </c>
      <c r="U541" s="31">
        <v>0</v>
      </c>
      <c r="V541" s="31">
        <v>58463</v>
      </c>
      <c r="W541" s="45">
        <f t="shared" si="223"/>
        <v>7.3566125581980621</v>
      </c>
      <c r="X541" s="4">
        <f t="shared" si="224"/>
        <v>0.44496519165968218</v>
      </c>
      <c r="Y541" s="4">
        <f t="shared" si="225"/>
        <v>3.8297726767357133E-2</v>
      </c>
      <c r="Z541" s="4">
        <f t="shared" si="226"/>
        <v>0.51673708157296072</v>
      </c>
      <c r="AA541" s="4">
        <f t="shared" si="227"/>
        <v>0</v>
      </c>
      <c r="AB541" s="31">
        <v>0</v>
      </c>
      <c r="AC541" s="31">
        <v>2239</v>
      </c>
      <c r="AD541" s="31">
        <v>56899</v>
      </c>
      <c r="AE541" s="31">
        <v>45000</v>
      </c>
      <c r="AF541" s="31">
        <v>45000</v>
      </c>
      <c r="AG541" s="31">
        <v>0</v>
      </c>
      <c r="AH541" s="31">
        <v>0</v>
      </c>
      <c r="AI541" s="31">
        <v>45000</v>
      </c>
      <c r="AJ541" s="45">
        <f t="shared" si="228"/>
        <v>5.6625141562853907</v>
      </c>
      <c r="AK541" s="31">
        <v>0</v>
      </c>
      <c r="AL541" s="31">
        <v>0</v>
      </c>
      <c r="AM541" s="31">
        <v>0</v>
      </c>
      <c r="AN541" s="31">
        <v>0</v>
      </c>
      <c r="AO541" s="31">
        <v>2000</v>
      </c>
      <c r="AP541" s="31">
        <v>11620</v>
      </c>
      <c r="AQ541" s="31">
        <v>13620</v>
      </c>
      <c r="AR541" s="31">
        <v>58620</v>
      </c>
      <c r="AS541" s="46">
        <f t="shared" si="229"/>
        <v>7.3763684409211026</v>
      </c>
      <c r="AT541" s="31">
        <v>0</v>
      </c>
      <c r="AU541" s="31">
        <v>0</v>
      </c>
      <c r="AV541" s="31">
        <v>0</v>
      </c>
      <c r="AW541" s="31">
        <v>0</v>
      </c>
      <c r="AX541" s="31">
        <v>0</v>
      </c>
      <c r="AY541" s="31">
        <v>0</v>
      </c>
      <c r="AZ541" s="31">
        <v>0</v>
      </c>
      <c r="BA541" s="31">
        <v>0</v>
      </c>
      <c r="BB541" s="31">
        <v>0</v>
      </c>
      <c r="BC541" s="33" t="s">
        <v>25</v>
      </c>
      <c r="BD541" s="47">
        <v>25699</v>
      </c>
      <c r="BE541" s="47">
        <v>26254</v>
      </c>
      <c r="BF541" s="45">
        <f t="shared" si="230"/>
        <v>3.3036365924248146</v>
      </c>
      <c r="BG541" s="30">
        <v>817</v>
      </c>
      <c r="BH541" s="30">
        <v>828</v>
      </c>
      <c r="BI541" s="30">
        <v>1324</v>
      </c>
      <c r="BJ541" s="30">
        <v>2024</v>
      </c>
      <c r="BK541" s="30">
        <v>2062</v>
      </c>
      <c r="BL541" s="30">
        <v>24</v>
      </c>
      <c r="BM541" s="30">
        <v>8086</v>
      </c>
      <c r="BN541" s="30">
        <v>1</v>
      </c>
      <c r="BO541" s="30">
        <v>51</v>
      </c>
      <c r="BP541" s="30">
        <v>0</v>
      </c>
      <c r="BQ541" s="30">
        <v>52</v>
      </c>
      <c r="BR541" s="47">
        <v>28540</v>
      </c>
      <c r="BS541" s="47">
        <v>38579</v>
      </c>
      <c r="BT541" s="1">
        <f t="shared" si="231"/>
        <v>4.854536303007424</v>
      </c>
      <c r="BU541" s="30">
        <v>6</v>
      </c>
      <c r="BV541" s="30">
        <v>0</v>
      </c>
      <c r="BW541" s="47">
        <v>704</v>
      </c>
      <c r="BX541" s="52">
        <f t="shared" si="232"/>
        <v>8.8586888133887001E-2</v>
      </c>
      <c r="BY541" s="47">
        <v>6623</v>
      </c>
      <c r="BZ541" s="47">
        <v>217</v>
      </c>
      <c r="CA541" s="47">
        <v>12720</v>
      </c>
      <c r="CB541" s="47">
        <v>573</v>
      </c>
      <c r="CC541" s="47">
        <v>20133</v>
      </c>
      <c r="CD541" s="55">
        <f t="shared" si="233"/>
        <v>2.5334088335220839</v>
      </c>
      <c r="CE541" s="3">
        <f t="shared" si="234"/>
        <v>14642.181818181818</v>
      </c>
      <c r="CF541" s="55">
        <f t="shared" si="235"/>
        <v>13.210629921259843</v>
      </c>
      <c r="CG541" s="55">
        <f t="shared" si="236"/>
        <v>1.9152397260273972</v>
      </c>
      <c r="CH541" s="55">
        <f t="shared" si="237"/>
        <v>0.50138676482023903</v>
      </c>
      <c r="CI541" s="30">
        <v>68</v>
      </c>
      <c r="CJ541" s="30">
        <v>0</v>
      </c>
      <c r="CK541" s="30">
        <v>0</v>
      </c>
      <c r="CL541" s="30">
        <v>68</v>
      </c>
      <c r="CM541" s="30">
        <v>1255</v>
      </c>
      <c r="CN541" s="30">
        <v>0</v>
      </c>
      <c r="CO541" s="30">
        <v>0</v>
      </c>
      <c r="CP541" s="30">
        <v>1255</v>
      </c>
      <c r="CQ541" s="1">
        <f t="shared" si="245"/>
        <v>0.15792122813640366</v>
      </c>
      <c r="CR541" s="47">
        <v>10512</v>
      </c>
      <c r="CS541" s="55">
        <f t="shared" si="238"/>
        <v>1.3227633069082674</v>
      </c>
      <c r="CT541" s="59">
        <v>6775</v>
      </c>
      <c r="CU541" s="29" t="s">
        <v>25</v>
      </c>
      <c r="CV541" s="29" t="s">
        <v>25</v>
      </c>
      <c r="CW541" s="29" t="s">
        <v>25</v>
      </c>
      <c r="CX541" s="35">
        <v>0</v>
      </c>
      <c r="CY541" s="49">
        <v>0</v>
      </c>
      <c r="CZ541" s="35">
        <v>1.25</v>
      </c>
      <c r="DA541" s="35">
        <v>0.125</v>
      </c>
      <c r="DB541" s="35">
        <v>1.375</v>
      </c>
      <c r="DC541" s="49">
        <f t="shared" si="239"/>
        <v>5779.636363636364</v>
      </c>
      <c r="DD541" s="30">
        <v>353</v>
      </c>
      <c r="DE541" s="31">
        <v>15732</v>
      </c>
      <c r="DF541" s="35">
        <v>30</v>
      </c>
      <c r="DG541" s="29" t="s">
        <v>25</v>
      </c>
      <c r="DH541" s="29" t="s">
        <v>26</v>
      </c>
      <c r="DI541" s="29" t="s">
        <v>26</v>
      </c>
      <c r="DJ541" s="47">
        <v>246</v>
      </c>
      <c r="DK541" s="47">
        <v>2</v>
      </c>
      <c r="DL541" s="47">
        <v>6</v>
      </c>
      <c r="DM541" s="47">
        <v>2189</v>
      </c>
      <c r="DN541" s="47">
        <v>156</v>
      </c>
      <c r="DO541" s="47">
        <v>81</v>
      </c>
      <c r="DP541" s="29" t="s">
        <v>25</v>
      </c>
      <c r="DQ541" s="47">
        <v>5761</v>
      </c>
      <c r="DR541" s="47">
        <v>1524</v>
      </c>
      <c r="DS541" s="30">
        <v>50</v>
      </c>
      <c r="DT541" s="30">
        <v>31</v>
      </c>
      <c r="DU541" s="30">
        <v>31</v>
      </c>
      <c r="DV541" s="30">
        <v>31</v>
      </c>
      <c r="DX541" s="2">
        <f t="shared" si="240"/>
        <v>1524</v>
      </c>
      <c r="DY541" s="33" t="s">
        <v>2182</v>
      </c>
      <c r="DZ541" s="33" t="s">
        <v>1501</v>
      </c>
      <c r="EA541" s="33" t="s">
        <v>2032</v>
      </c>
      <c r="EB541" s="33" t="s">
        <v>2027</v>
      </c>
      <c r="EC541" s="36">
        <v>480</v>
      </c>
      <c r="ED541" s="29" t="s">
        <v>1500</v>
      </c>
      <c r="EE541" s="29" t="s">
        <v>123</v>
      </c>
      <c r="EF541" s="37">
        <v>41548</v>
      </c>
      <c r="EG541" s="37">
        <v>41912</v>
      </c>
      <c r="EH541" s="29" t="s">
        <v>1500</v>
      </c>
      <c r="EI541" s="55">
        <f t="shared" si="241"/>
        <v>0.83339625015729202</v>
      </c>
      <c r="EJ541" s="54">
        <f t="shared" si="242"/>
        <v>2.730590159808733E-2</v>
      </c>
      <c r="EK541" s="55">
        <f t="shared" si="243"/>
        <v>1.6006040015100038</v>
      </c>
      <c r="EL541" s="54">
        <f t="shared" si="244"/>
        <v>7.2102680256700635E-2</v>
      </c>
    </row>
    <row r="542" spans="1:142" ht="43.2" x14ac:dyDescent="0.3">
      <c r="A542" s="29" t="s">
        <v>1751</v>
      </c>
      <c r="B542" s="29"/>
      <c r="C542" s="30">
        <v>8105</v>
      </c>
      <c r="D542" s="30">
        <v>0</v>
      </c>
      <c r="E542" s="30">
        <v>0</v>
      </c>
      <c r="F542" s="30">
        <v>6233</v>
      </c>
      <c r="H542" s="2">
        <f t="shared" si="219"/>
        <v>6233</v>
      </c>
      <c r="I542" s="1">
        <f t="shared" si="220"/>
        <v>0.76903146206045647</v>
      </c>
      <c r="J542" s="31">
        <v>69647</v>
      </c>
      <c r="K542" s="31">
        <v>4792</v>
      </c>
      <c r="L542" s="31">
        <v>74439</v>
      </c>
      <c r="M542" s="45">
        <f t="shared" si="221"/>
        <v>9.184330660086367</v>
      </c>
      <c r="N542" s="31">
        <v>20119</v>
      </c>
      <c r="O542" s="31">
        <v>3960</v>
      </c>
      <c r="P542" s="31">
        <v>11873</v>
      </c>
      <c r="Q542" s="31">
        <v>35952</v>
      </c>
      <c r="R542" s="45">
        <f t="shared" si="222"/>
        <v>4.4357803824799502</v>
      </c>
      <c r="S542" s="31">
        <v>576</v>
      </c>
      <c r="T542" s="31">
        <v>110967</v>
      </c>
      <c r="U542" s="31">
        <v>0</v>
      </c>
      <c r="V542" s="31">
        <v>110967</v>
      </c>
      <c r="W542" s="45">
        <f t="shared" si="223"/>
        <v>13.691178285009254</v>
      </c>
      <c r="X542" s="4">
        <f t="shared" si="224"/>
        <v>0.67082105490821597</v>
      </c>
      <c r="Y542" s="4">
        <f t="shared" si="225"/>
        <v>0.32398821271188732</v>
      </c>
      <c r="Z542" s="4">
        <f t="shared" si="226"/>
        <v>5.190732379896726E-3</v>
      </c>
      <c r="AA542" s="4">
        <f t="shared" si="227"/>
        <v>0</v>
      </c>
      <c r="AB542" s="31">
        <v>0</v>
      </c>
      <c r="AC542" s="31">
        <v>35952</v>
      </c>
      <c r="AD542" s="31">
        <v>108967</v>
      </c>
      <c r="AE542" s="31">
        <v>94113</v>
      </c>
      <c r="AF542" s="31">
        <v>30000</v>
      </c>
      <c r="AG542" s="31">
        <v>15000</v>
      </c>
      <c r="AH542" s="31">
        <v>78242</v>
      </c>
      <c r="AI542" s="31">
        <v>123242</v>
      </c>
      <c r="AJ542" s="45">
        <f t="shared" si="228"/>
        <v>15.205675508945095</v>
      </c>
      <c r="AK542" s="31">
        <v>0</v>
      </c>
      <c r="AL542" s="31">
        <v>0</v>
      </c>
      <c r="AM542" s="31">
        <v>0</v>
      </c>
      <c r="AN542" s="31">
        <v>0</v>
      </c>
      <c r="AO542" s="31">
        <v>1000</v>
      </c>
      <c r="AP542" s="31">
        <v>200</v>
      </c>
      <c r="AQ542" s="31">
        <v>1200</v>
      </c>
      <c r="AR542" s="31">
        <v>124442</v>
      </c>
      <c r="AS542" s="46">
        <f t="shared" si="229"/>
        <v>15.353732264034546</v>
      </c>
      <c r="AT542" s="31">
        <v>0</v>
      </c>
      <c r="AU542" s="31">
        <v>0</v>
      </c>
      <c r="AV542" s="31">
        <v>0</v>
      </c>
      <c r="AW542" s="31">
        <v>0</v>
      </c>
      <c r="AX542" s="31">
        <v>0</v>
      </c>
      <c r="AY542" s="31">
        <v>0</v>
      </c>
      <c r="AZ542" s="31">
        <v>0</v>
      </c>
      <c r="BA542" s="31">
        <v>0</v>
      </c>
      <c r="BB542" s="31">
        <v>0</v>
      </c>
      <c r="BC542" s="33" t="s">
        <v>25</v>
      </c>
      <c r="BD542" s="47">
        <v>24700</v>
      </c>
      <c r="BE542" s="47">
        <v>30100</v>
      </c>
      <c r="BF542" s="45">
        <f t="shared" si="230"/>
        <v>3.7137569401603949</v>
      </c>
      <c r="BG542" s="30">
        <v>463</v>
      </c>
      <c r="BH542" s="30">
        <v>492</v>
      </c>
      <c r="BI542" s="30">
        <v>5</v>
      </c>
      <c r="BJ542" s="30">
        <v>500</v>
      </c>
      <c r="BK542" s="30">
        <v>600</v>
      </c>
      <c r="BL542" s="30">
        <v>0</v>
      </c>
      <c r="BM542" s="30">
        <v>255</v>
      </c>
      <c r="BN542" s="30">
        <v>2</v>
      </c>
      <c r="BO542" s="30">
        <v>51</v>
      </c>
      <c r="BP542" s="30">
        <v>0</v>
      </c>
      <c r="BQ542" s="30">
        <v>53</v>
      </c>
      <c r="BR542" s="47">
        <v>25663</v>
      </c>
      <c r="BS542" s="47">
        <v>31454</v>
      </c>
      <c r="BT542" s="1">
        <f t="shared" si="231"/>
        <v>3.8808143121529919</v>
      </c>
      <c r="BU542" s="30">
        <v>25</v>
      </c>
      <c r="BV542" s="30">
        <v>4</v>
      </c>
      <c r="BW542" s="47">
        <v>603</v>
      </c>
      <c r="BX542" s="52">
        <f t="shared" si="232"/>
        <v>7.4398519432449101E-2</v>
      </c>
      <c r="BY542" s="47">
        <v>3502</v>
      </c>
      <c r="BZ542" s="47">
        <v>565</v>
      </c>
      <c r="CA542" s="47">
        <v>2685</v>
      </c>
      <c r="CB542" s="47">
        <v>705</v>
      </c>
      <c r="CC542" s="47">
        <v>7457</v>
      </c>
      <c r="CD542" s="55">
        <f t="shared" si="233"/>
        <v>0.92004935225169648</v>
      </c>
      <c r="CE542" s="3">
        <f t="shared" si="234"/>
        <v>3728.5</v>
      </c>
      <c r="CF542" s="55">
        <f t="shared" si="235"/>
        <v>6.6699463327370303</v>
      </c>
      <c r="CG542" s="55">
        <f t="shared" si="236"/>
        <v>1.0998525073746312</v>
      </c>
      <c r="CH542" s="55">
        <f t="shared" si="237"/>
        <v>0.19669994277357411</v>
      </c>
      <c r="CI542" s="30">
        <v>6</v>
      </c>
      <c r="CJ542" s="30">
        <v>0</v>
      </c>
      <c r="CK542" s="30">
        <v>0</v>
      </c>
      <c r="CL542" s="30">
        <v>6</v>
      </c>
      <c r="CM542" s="30">
        <v>915</v>
      </c>
      <c r="CN542" s="30">
        <v>0</v>
      </c>
      <c r="CO542" s="30">
        <v>0</v>
      </c>
      <c r="CP542" s="30">
        <v>915</v>
      </c>
      <c r="CQ542" s="1">
        <f t="shared" si="245"/>
        <v>0.11289327575570636</v>
      </c>
      <c r="CR542" s="47">
        <v>6780</v>
      </c>
      <c r="CS542" s="55">
        <f t="shared" si="238"/>
        <v>0.83652066625539789</v>
      </c>
      <c r="CT542" s="59">
        <v>2458</v>
      </c>
      <c r="CU542" s="29" t="s">
        <v>25</v>
      </c>
      <c r="CV542" s="29" t="s">
        <v>25</v>
      </c>
      <c r="CW542" s="29" t="s">
        <v>25</v>
      </c>
      <c r="CX542" s="35">
        <v>0</v>
      </c>
      <c r="CY542" s="49">
        <v>0</v>
      </c>
      <c r="CZ542" s="35">
        <v>1</v>
      </c>
      <c r="DA542" s="35">
        <v>1</v>
      </c>
      <c r="DB542" s="35">
        <v>2</v>
      </c>
      <c r="DC542" s="49">
        <f t="shared" si="239"/>
        <v>4052.5</v>
      </c>
      <c r="DD542" s="30">
        <v>26</v>
      </c>
      <c r="DE542" s="31">
        <v>51680</v>
      </c>
      <c r="DF542" s="35">
        <v>40</v>
      </c>
      <c r="DG542" s="29" t="s">
        <v>25</v>
      </c>
      <c r="DH542" s="29" t="s">
        <v>26</v>
      </c>
      <c r="DI542" s="29" t="s">
        <v>26</v>
      </c>
      <c r="DJ542" s="47">
        <v>0</v>
      </c>
      <c r="DK542" s="47">
        <v>0</v>
      </c>
      <c r="DL542" s="47">
        <v>14</v>
      </c>
      <c r="DM542" s="47">
        <v>629</v>
      </c>
      <c r="DN542" s="47">
        <v>54</v>
      </c>
      <c r="DO542" s="47">
        <v>689</v>
      </c>
      <c r="DP542" s="29" t="s">
        <v>2028</v>
      </c>
      <c r="DQ542" s="47">
        <v>0</v>
      </c>
      <c r="DR542" s="47">
        <v>1118</v>
      </c>
      <c r="DS542" s="30">
        <v>49</v>
      </c>
      <c r="DT542" s="30">
        <v>20</v>
      </c>
      <c r="DU542" s="30">
        <v>20</v>
      </c>
      <c r="DV542" s="30">
        <v>20</v>
      </c>
      <c r="DX542" s="2">
        <f t="shared" si="240"/>
        <v>1118</v>
      </c>
      <c r="DY542" s="33" t="s">
        <v>2182</v>
      </c>
      <c r="DZ542" s="33" t="s">
        <v>1752</v>
      </c>
      <c r="EA542" s="33" t="s">
        <v>2035</v>
      </c>
      <c r="EB542" s="33" t="s">
        <v>2027</v>
      </c>
      <c r="EC542" s="36">
        <v>607</v>
      </c>
      <c r="ED542" s="29" t="s">
        <v>1750</v>
      </c>
      <c r="EE542" s="29" t="s">
        <v>581</v>
      </c>
      <c r="EF542" s="37">
        <v>41518</v>
      </c>
      <c r="EG542" s="37">
        <v>41882</v>
      </c>
      <c r="EH542" s="29" t="s">
        <v>1750</v>
      </c>
      <c r="EI542" s="55">
        <f t="shared" si="241"/>
        <v>0.43207896360271436</v>
      </c>
      <c r="EJ542" s="54">
        <f t="shared" si="242"/>
        <v>6.9710055521283162E-2</v>
      </c>
      <c r="EK542" s="55">
        <f t="shared" si="243"/>
        <v>0.3312769895126465</v>
      </c>
      <c r="EL542" s="54">
        <f t="shared" si="244"/>
        <v>8.698334361505243E-2</v>
      </c>
    </row>
    <row r="543" spans="1:142" ht="28.8" x14ac:dyDescent="0.3">
      <c r="A543" s="29" t="s">
        <v>1345</v>
      </c>
      <c r="B543" s="29"/>
      <c r="C543" s="30">
        <v>5836</v>
      </c>
      <c r="D543" s="30">
        <v>0</v>
      </c>
      <c r="E543" s="30">
        <v>0</v>
      </c>
      <c r="F543" s="30">
        <v>6100</v>
      </c>
      <c r="H543" s="2">
        <f t="shared" si="219"/>
        <v>6100</v>
      </c>
      <c r="I543" s="1">
        <f t="shared" si="220"/>
        <v>1.0452364633310487</v>
      </c>
      <c r="J543" s="31">
        <v>123068</v>
      </c>
      <c r="K543" s="31">
        <v>43757</v>
      </c>
      <c r="L543" s="31">
        <v>166825</v>
      </c>
      <c r="M543" s="45">
        <f t="shared" si="221"/>
        <v>28.585503769705277</v>
      </c>
      <c r="N543" s="31">
        <v>17500</v>
      </c>
      <c r="O543" s="31">
        <v>4180</v>
      </c>
      <c r="P543" s="31">
        <v>5100</v>
      </c>
      <c r="Q543" s="31">
        <v>26780</v>
      </c>
      <c r="R543" s="45">
        <f t="shared" si="222"/>
        <v>4.5887594242631939</v>
      </c>
      <c r="S543" s="31">
        <v>38178</v>
      </c>
      <c r="T543" s="31">
        <v>231783</v>
      </c>
      <c r="U543" s="31">
        <v>0</v>
      </c>
      <c r="V543" s="31">
        <v>231783</v>
      </c>
      <c r="W543" s="45">
        <f t="shared" si="223"/>
        <v>39.716072652501715</v>
      </c>
      <c r="X543" s="4">
        <f t="shared" si="224"/>
        <v>0.71974648701587263</v>
      </c>
      <c r="Y543" s="4">
        <f t="shared" si="225"/>
        <v>0.1155391033854942</v>
      </c>
      <c r="Z543" s="4">
        <f t="shared" si="226"/>
        <v>0.1647144095986332</v>
      </c>
      <c r="AA543" s="4">
        <f t="shared" si="227"/>
        <v>0</v>
      </c>
      <c r="AB543" s="31">
        <v>0</v>
      </c>
      <c r="AC543" s="31">
        <v>26780</v>
      </c>
      <c r="AD543" s="31">
        <v>231502</v>
      </c>
      <c r="AE543" s="31">
        <v>221434</v>
      </c>
      <c r="AF543" s="31">
        <v>218534</v>
      </c>
      <c r="AG543" s="31">
        <v>2900</v>
      </c>
      <c r="AH543" s="31">
        <v>0</v>
      </c>
      <c r="AI543" s="31">
        <v>221434</v>
      </c>
      <c r="AJ543" s="45">
        <f t="shared" si="228"/>
        <v>37.942769019876629</v>
      </c>
      <c r="AK543" s="31">
        <v>0</v>
      </c>
      <c r="AL543" s="31">
        <v>0</v>
      </c>
      <c r="AM543" s="31">
        <v>0</v>
      </c>
      <c r="AN543" s="31">
        <v>0</v>
      </c>
      <c r="AO543" s="31">
        <v>0</v>
      </c>
      <c r="AP543" s="31">
        <v>3678</v>
      </c>
      <c r="AQ543" s="31">
        <v>3678</v>
      </c>
      <c r="AR543" s="31">
        <v>225112</v>
      </c>
      <c r="AS543" s="46">
        <f t="shared" si="229"/>
        <v>38.572995202193283</v>
      </c>
      <c r="AT543" s="31">
        <v>0</v>
      </c>
      <c r="AU543" s="31">
        <v>0</v>
      </c>
      <c r="AV543" s="31">
        <v>0</v>
      </c>
      <c r="AW543" s="31">
        <v>0</v>
      </c>
      <c r="AX543" s="31">
        <v>0</v>
      </c>
      <c r="AY543" s="31">
        <v>0</v>
      </c>
      <c r="AZ543" s="31">
        <v>0</v>
      </c>
      <c r="BA543" s="31">
        <v>0</v>
      </c>
      <c r="BB543" s="31">
        <v>0</v>
      </c>
      <c r="BC543" s="33" t="s">
        <v>25</v>
      </c>
      <c r="BD543" s="47">
        <v>36283</v>
      </c>
      <c r="BE543" s="47">
        <v>36298</v>
      </c>
      <c r="BF543" s="45">
        <f t="shared" si="230"/>
        <v>6.2196710075394108</v>
      </c>
      <c r="BG543" s="30">
        <v>1725</v>
      </c>
      <c r="BH543" s="30">
        <v>1734</v>
      </c>
      <c r="BI543" s="30">
        <v>0</v>
      </c>
      <c r="BJ543" s="30">
        <v>1391</v>
      </c>
      <c r="BK543" s="30">
        <v>1394</v>
      </c>
      <c r="BL543" s="30">
        <v>0</v>
      </c>
      <c r="BM543" s="30">
        <v>0</v>
      </c>
      <c r="BN543" s="30">
        <v>2</v>
      </c>
      <c r="BO543" s="30">
        <v>51</v>
      </c>
      <c r="BP543" s="30">
        <v>0</v>
      </c>
      <c r="BQ543" s="30">
        <v>53</v>
      </c>
      <c r="BR543" s="47">
        <v>39399</v>
      </c>
      <c r="BS543" s="47">
        <v>39428</v>
      </c>
      <c r="BT543" s="1">
        <f t="shared" si="231"/>
        <v>6.7559972583961621</v>
      </c>
      <c r="BU543" s="30">
        <v>10</v>
      </c>
      <c r="BV543" s="30">
        <v>0</v>
      </c>
      <c r="BW543" s="47">
        <v>13993</v>
      </c>
      <c r="BX543" s="52">
        <f t="shared" si="232"/>
        <v>2.3977039067854693</v>
      </c>
      <c r="BY543" s="47">
        <v>9694</v>
      </c>
      <c r="BZ543" s="47">
        <v>0</v>
      </c>
      <c r="CA543" s="47">
        <v>116691</v>
      </c>
      <c r="CB543" s="47">
        <v>0</v>
      </c>
      <c r="CC543" s="47">
        <v>126385</v>
      </c>
      <c r="CD543" s="55">
        <f t="shared" si="233"/>
        <v>21.656100068540095</v>
      </c>
      <c r="CE543" s="3">
        <f t="shared" si="234"/>
        <v>18450.364963503649</v>
      </c>
      <c r="CF543" s="55">
        <f t="shared" si="235"/>
        <v>50.614737685222266</v>
      </c>
      <c r="CG543" s="55">
        <f t="shared" si="236"/>
        <v>1.7969771938804526</v>
      </c>
      <c r="CH543" s="55">
        <f t="shared" si="237"/>
        <v>3.2054631226539514</v>
      </c>
      <c r="CI543" s="30">
        <v>288</v>
      </c>
      <c r="CJ543" s="30">
        <v>48</v>
      </c>
      <c r="CK543" s="30">
        <v>21</v>
      </c>
      <c r="CL543" s="30">
        <v>357</v>
      </c>
      <c r="CM543" s="30">
        <v>5643</v>
      </c>
      <c r="CN543" s="30">
        <v>1853</v>
      </c>
      <c r="CO543" s="30">
        <v>97</v>
      </c>
      <c r="CP543" s="30">
        <v>7593</v>
      </c>
      <c r="CQ543" s="1">
        <f t="shared" si="245"/>
        <v>1.3010623714873202</v>
      </c>
      <c r="CR543" s="47">
        <v>70332</v>
      </c>
      <c r="CS543" s="55">
        <f t="shared" si="238"/>
        <v>12.051405071967102</v>
      </c>
      <c r="CT543" s="59">
        <v>13345</v>
      </c>
      <c r="CU543" s="29" t="s">
        <v>25</v>
      </c>
      <c r="CV543" s="29" t="s">
        <v>25</v>
      </c>
      <c r="CW543" s="29" t="s">
        <v>25</v>
      </c>
      <c r="CX543" s="35">
        <v>0</v>
      </c>
      <c r="CY543" s="49">
        <v>0</v>
      </c>
      <c r="CZ543" s="35">
        <v>3.8</v>
      </c>
      <c r="DA543" s="35">
        <v>3.05</v>
      </c>
      <c r="DB543" s="35">
        <v>6.85</v>
      </c>
      <c r="DC543" s="49">
        <f t="shared" si="239"/>
        <v>851.97080291970804</v>
      </c>
      <c r="DD543" s="30">
        <v>843</v>
      </c>
      <c r="DE543" s="31">
        <v>48855</v>
      </c>
      <c r="DF543" s="35">
        <v>40</v>
      </c>
      <c r="DG543" s="29" t="s">
        <v>25</v>
      </c>
      <c r="DH543" s="29" t="s">
        <v>25</v>
      </c>
      <c r="DI543" s="29" t="s">
        <v>25</v>
      </c>
      <c r="DJ543" s="47">
        <v>133</v>
      </c>
      <c r="DK543" s="47">
        <v>74</v>
      </c>
      <c r="DL543" s="47">
        <v>16</v>
      </c>
      <c r="DM543" s="47">
        <v>9452</v>
      </c>
      <c r="DN543" s="47">
        <v>41</v>
      </c>
      <c r="DO543" s="47">
        <v>1185</v>
      </c>
      <c r="DP543" s="29" t="s">
        <v>25</v>
      </c>
      <c r="DQ543" s="47">
        <v>988</v>
      </c>
      <c r="DR543" s="47">
        <v>2497</v>
      </c>
      <c r="DS543" s="30">
        <v>52</v>
      </c>
      <c r="DT543" s="30">
        <v>53</v>
      </c>
      <c r="DU543" s="30">
        <v>53</v>
      </c>
      <c r="DV543" s="30">
        <v>53</v>
      </c>
      <c r="DX543" s="2">
        <f t="shared" si="240"/>
        <v>2497</v>
      </c>
      <c r="DY543" s="33" t="s">
        <v>2182</v>
      </c>
      <c r="DZ543" s="33" t="s">
        <v>1347</v>
      </c>
      <c r="EA543" s="33" t="s">
        <v>2030</v>
      </c>
      <c r="EB543" s="33" t="s">
        <v>2027</v>
      </c>
      <c r="EC543" s="36">
        <v>411</v>
      </c>
      <c r="ED543" s="29" t="s">
        <v>1346</v>
      </c>
      <c r="EE543" s="29" t="s">
        <v>421</v>
      </c>
      <c r="EF543" s="37">
        <v>41548</v>
      </c>
      <c r="EG543" s="37">
        <v>41912</v>
      </c>
      <c r="EH543" s="29" t="s">
        <v>1346</v>
      </c>
      <c r="EI543" s="55">
        <f t="shared" si="241"/>
        <v>1.6610692254969157</v>
      </c>
      <c r="EJ543" s="54">
        <f t="shared" si="242"/>
        <v>0</v>
      </c>
      <c r="EK543" s="55">
        <f t="shared" si="243"/>
        <v>19.995030843043182</v>
      </c>
      <c r="EL543" s="54">
        <f t="shared" si="244"/>
        <v>0</v>
      </c>
    </row>
    <row r="544" spans="1:142" ht="28.8" x14ac:dyDescent="0.3">
      <c r="A544" s="29" t="s">
        <v>1343</v>
      </c>
      <c r="B544" s="29"/>
      <c r="C544" s="30">
        <v>16714</v>
      </c>
      <c r="D544" s="30">
        <v>0</v>
      </c>
      <c r="E544" s="30">
        <v>0</v>
      </c>
      <c r="F544" s="30">
        <v>13500</v>
      </c>
      <c r="H544" s="2">
        <f t="shared" si="219"/>
        <v>13500</v>
      </c>
      <c r="I544" s="1">
        <f t="shared" si="220"/>
        <v>0.8077061146344382</v>
      </c>
      <c r="J544" s="31">
        <v>245965</v>
      </c>
      <c r="K544" s="31">
        <v>64462</v>
      </c>
      <c r="L544" s="31">
        <v>310427</v>
      </c>
      <c r="M544" s="45">
        <f t="shared" si="221"/>
        <v>18.572873040564797</v>
      </c>
      <c r="N544" s="31">
        <v>29175</v>
      </c>
      <c r="O544" s="31">
        <v>3000</v>
      </c>
      <c r="P544" s="31">
        <v>8761</v>
      </c>
      <c r="Q544" s="31">
        <v>40936</v>
      </c>
      <c r="R544" s="45">
        <f t="shared" si="222"/>
        <v>2.4492042599018786</v>
      </c>
      <c r="S544" s="31">
        <v>61300</v>
      </c>
      <c r="T544" s="31">
        <v>412663</v>
      </c>
      <c r="U544" s="31">
        <v>0</v>
      </c>
      <c r="V544" s="31">
        <v>412663</v>
      </c>
      <c r="W544" s="45">
        <f t="shared" si="223"/>
        <v>24.689661361732679</v>
      </c>
      <c r="X544" s="4">
        <f t="shared" si="224"/>
        <v>0.75225304909817459</v>
      </c>
      <c r="Y544" s="4">
        <f t="shared" si="225"/>
        <v>9.9199589010887823E-2</v>
      </c>
      <c r="Z544" s="4">
        <f t="shared" si="226"/>
        <v>0.14854736189093765</v>
      </c>
      <c r="AA544" s="4">
        <f t="shared" si="227"/>
        <v>0</v>
      </c>
      <c r="AB544" s="31">
        <v>0</v>
      </c>
      <c r="AC544" s="31">
        <v>40936</v>
      </c>
      <c r="AD544" s="31">
        <v>412663</v>
      </c>
      <c r="AE544" s="31">
        <v>411159</v>
      </c>
      <c r="AF544" s="31">
        <v>411159</v>
      </c>
      <c r="AG544" s="31">
        <v>0</v>
      </c>
      <c r="AH544" s="31">
        <v>0</v>
      </c>
      <c r="AI544" s="31">
        <v>411159</v>
      </c>
      <c r="AJ544" s="45">
        <f t="shared" si="228"/>
        <v>24.599676917554145</v>
      </c>
      <c r="AK544" s="31">
        <v>0</v>
      </c>
      <c r="AL544" s="31">
        <v>0</v>
      </c>
      <c r="AM544" s="31">
        <v>0</v>
      </c>
      <c r="AN544" s="31">
        <v>0</v>
      </c>
      <c r="AO544" s="31">
        <v>0</v>
      </c>
      <c r="AP544" s="31">
        <v>1504</v>
      </c>
      <c r="AQ544" s="31">
        <v>1504</v>
      </c>
      <c r="AR544" s="31">
        <v>412663</v>
      </c>
      <c r="AS544" s="46">
        <f t="shared" si="229"/>
        <v>24.689661361732679</v>
      </c>
      <c r="AT544" s="31">
        <v>0</v>
      </c>
      <c r="AU544" s="31">
        <v>0</v>
      </c>
      <c r="AV544" s="31">
        <v>0</v>
      </c>
      <c r="AW544" s="31">
        <v>0</v>
      </c>
      <c r="AX544" s="31">
        <v>0</v>
      </c>
      <c r="AY544" s="31">
        <v>0</v>
      </c>
      <c r="AZ544" s="31">
        <v>0</v>
      </c>
      <c r="BA544" s="31">
        <v>0</v>
      </c>
      <c r="BB544" s="31">
        <v>0</v>
      </c>
      <c r="BC544" s="33" t="s">
        <v>25</v>
      </c>
      <c r="BD544" s="47">
        <v>58565</v>
      </c>
      <c r="BE544" s="47">
        <v>59181</v>
      </c>
      <c r="BF544" s="45">
        <f t="shared" si="230"/>
        <v>3.5408041163096806</v>
      </c>
      <c r="BG544" s="30">
        <v>768</v>
      </c>
      <c r="BH544" s="30">
        <v>2489</v>
      </c>
      <c r="BI544" s="30">
        <v>0</v>
      </c>
      <c r="BJ544" s="30">
        <v>2915</v>
      </c>
      <c r="BK544" s="30">
        <v>3917</v>
      </c>
      <c r="BL544" s="30">
        <v>0</v>
      </c>
      <c r="BM544" s="30">
        <v>10241</v>
      </c>
      <c r="BN544" s="30">
        <v>0</v>
      </c>
      <c r="BO544" s="30">
        <v>51</v>
      </c>
      <c r="BP544" s="30">
        <v>0</v>
      </c>
      <c r="BQ544" s="30">
        <v>51</v>
      </c>
      <c r="BR544" s="47">
        <v>62248</v>
      </c>
      <c r="BS544" s="47">
        <v>75828</v>
      </c>
      <c r="BT544" s="1">
        <f t="shared" si="231"/>
        <v>4.5367955007777914</v>
      </c>
      <c r="BU544" s="30">
        <v>67</v>
      </c>
      <c r="BV544" s="30">
        <v>0</v>
      </c>
      <c r="BW544" s="47">
        <v>8998</v>
      </c>
      <c r="BX544" s="52">
        <f t="shared" si="232"/>
        <v>0.53835108292449441</v>
      </c>
      <c r="BY544" s="47">
        <v>21892</v>
      </c>
      <c r="BZ544" s="47">
        <v>299</v>
      </c>
      <c r="CA544" s="47">
        <v>65998</v>
      </c>
      <c r="CB544" s="47">
        <v>1800</v>
      </c>
      <c r="CC544" s="47">
        <v>89989</v>
      </c>
      <c r="CD544" s="55">
        <f t="shared" si="233"/>
        <v>5.3840492999880336</v>
      </c>
      <c r="CE544" s="3">
        <f t="shared" si="234"/>
        <v>13137.080291970804</v>
      </c>
      <c r="CF544" s="55">
        <f t="shared" si="235"/>
        <v>46.844872462259239</v>
      </c>
      <c r="CG544" s="55">
        <f t="shared" si="236"/>
        <v>1.4498219723211265</v>
      </c>
      <c r="CH544" s="55">
        <f t="shared" si="237"/>
        <v>1.1590705280371367</v>
      </c>
      <c r="CI544" s="30">
        <v>102</v>
      </c>
      <c r="CJ544" s="30">
        <v>14</v>
      </c>
      <c r="CK544" s="30">
        <v>71</v>
      </c>
      <c r="CL544" s="30">
        <v>187</v>
      </c>
      <c r="CM544" s="30">
        <v>1751</v>
      </c>
      <c r="CN544" s="30">
        <v>126</v>
      </c>
      <c r="CO544" s="30">
        <v>353</v>
      </c>
      <c r="CP544" s="30">
        <v>2230</v>
      </c>
      <c r="CQ544" s="1">
        <f t="shared" si="245"/>
        <v>0.1334210841210961</v>
      </c>
      <c r="CR544" s="47">
        <v>62069</v>
      </c>
      <c r="CS544" s="55">
        <f t="shared" si="238"/>
        <v>3.7135933947588846</v>
      </c>
      <c r="CT544" s="59">
        <v>7954</v>
      </c>
      <c r="CU544" s="29" t="s">
        <v>25</v>
      </c>
      <c r="CV544" s="29" t="s">
        <v>25</v>
      </c>
      <c r="CW544" s="29" t="s">
        <v>25</v>
      </c>
      <c r="CX544" s="35">
        <v>2</v>
      </c>
      <c r="CY544" s="49">
        <f>C544/CX544</f>
        <v>8357</v>
      </c>
      <c r="CZ544" s="35">
        <v>2</v>
      </c>
      <c r="DA544" s="35">
        <v>2.85</v>
      </c>
      <c r="DB544" s="35">
        <v>6.85</v>
      </c>
      <c r="DC544" s="49">
        <f t="shared" si="239"/>
        <v>2440</v>
      </c>
      <c r="DD544" s="30">
        <v>684</v>
      </c>
      <c r="DE544" s="31">
        <v>79739</v>
      </c>
      <c r="DF544" s="35">
        <v>40</v>
      </c>
      <c r="DG544" s="29" t="s">
        <v>25</v>
      </c>
      <c r="DH544" s="29" t="s">
        <v>25</v>
      </c>
      <c r="DI544" s="29" t="s">
        <v>25</v>
      </c>
      <c r="DJ544" s="47">
        <v>20</v>
      </c>
      <c r="DK544" s="47">
        <v>45</v>
      </c>
      <c r="DL544" s="47">
        <v>29</v>
      </c>
      <c r="DM544" s="47">
        <v>11431</v>
      </c>
      <c r="DN544" s="47">
        <v>2241</v>
      </c>
      <c r="DO544" s="47">
        <v>636</v>
      </c>
      <c r="DP544" s="29" t="s">
        <v>25</v>
      </c>
      <c r="DQ544" s="47">
        <v>30205</v>
      </c>
      <c r="DR544" s="47">
        <v>1921</v>
      </c>
      <c r="DS544" s="30">
        <v>51</v>
      </c>
      <c r="DT544" s="30">
        <v>40</v>
      </c>
      <c r="DU544" s="30">
        <v>40</v>
      </c>
      <c r="DV544" s="30">
        <v>38</v>
      </c>
      <c r="DX544" s="2">
        <f t="shared" si="240"/>
        <v>1921</v>
      </c>
      <c r="DY544" s="33" t="s">
        <v>2181</v>
      </c>
      <c r="DZ544" s="33" t="s">
        <v>1344</v>
      </c>
      <c r="EA544" s="33" t="s">
        <v>2030</v>
      </c>
      <c r="EB544" s="33" t="s">
        <v>2027</v>
      </c>
      <c r="EC544" s="36">
        <v>410</v>
      </c>
      <c r="ED544" s="29" t="s">
        <v>1342</v>
      </c>
      <c r="EE544" s="29" t="s">
        <v>91</v>
      </c>
      <c r="EF544" s="37">
        <v>41548</v>
      </c>
      <c r="EG544" s="37">
        <v>41912</v>
      </c>
      <c r="EH544" s="29" t="s">
        <v>1342</v>
      </c>
      <c r="EI544" s="55">
        <f t="shared" si="241"/>
        <v>1.3098001675242312</v>
      </c>
      <c r="EJ544" s="54">
        <f t="shared" si="242"/>
        <v>1.7889194687088668E-2</v>
      </c>
      <c r="EK544" s="55">
        <f t="shared" si="243"/>
        <v>3.9486657891587891</v>
      </c>
      <c r="EL544" s="54">
        <f t="shared" si="244"/>
        <v>0.10769414861792509</v>
      </c>
    </row>
    <row r="545" spans="1:142" ht="28.8" x14ac:dyDescent="0.3">
      <c r="A545" s="29" t="s">
        <v>1348</v>
      </c>
      <c r="B545" s="29"/>
      <c r="C545" s="30">
        <v>2438</v>
      </c>
      <c r="D545" s="30">
        <v>0</v>
      </c>
      <c r="E545" s="30">
        <v>0</v>
      </c>
      <c r="F545" s="30">
        <v>1820</v>
      </c>
      <c r="H545" s="2">
        <f t="shared" si="219"/>
        <v>1820</v>
      </c>
      <c r="I545" s="1">
        <f t="shared" si="220"/>
        <v>0.74651353568498768</v>
      </c>
      <c r="J545" s="31">
        <v>31064</v>
      </c>
      <c r="K545" s="31">
        <v>8237</v>
      </c>
      <c r="L545" s="31">
        <v>39301</v>
      </c>
      <c r="M545" s="45">
        <f t="shared" si="221"/>
        <v>16.120180475799835</v>
      </c>
      <c r="N545" s="31">
        <v>4625</v>
      </c>
      <c r="O545" s="31">
        <v>87</v>
      </c>
      <c r="P545" s="31">
        <v>1789</v>
      </c>
      <c r="Q545" s="31">
        <v>6501</v>
      </c>
      <c r="R545" s="45">
        <f t="shared" si="222"/>
        <v>2.6665299425758819</v>
      </c>
      <c r="S545" s="31">
        <v>14854</v>
      </c>
      <c r="T545" s="31">
        <v>60656</v>
      </c>
      <c r="U545" s="31">
        <v>0</v>
      </c>
      <c r="V545" s="31">
        <v>60656</v>
      </c>
      <c r="W545" s="45">
        <f t="shared" si="223"/>
        <v>24.879409351927809</v>
      </c>
      <c r="X545" s="4">
        <f t="shared" si="224"/>
        <v>0.6479326035346874</v>
      </c>
      <c r="Y545" s="4">
        <f t="shared" si="225"/>
        <v>0.10717818517541546</v>
      </c>
      <c r="Z545" s="4">
        <f t="shared" si="226"/>
        <v>0.24488921128989713</v>
      </c>
      <c r="AA545" s="4">
        <f t="shared" si="227"/>
        <v>0</v>
      </c>
      <c r="AB545" s="31">
        <v>0</v>
      </c>
      <c r="AC545" s="31">
        <v>6501</v>
      </c>
      <c r="AD545" s="31">
        <v>60656</v>
      </c>
      <c r="AE545" s="31">
        <v>50367</v>
      </c>
      <c r="AF545" s="31">
        <v>48087</v>
      </c>
      <c r="AG545" s="31">
        <v>2280</v>
      </c>
      <c r="AH545" s="31">
        <v>0</v>
      </c>
      <c r="AI545" s="31">
        <v>50367</v>
      </c>
      <c r="AJ545" s="45">
        <f t="shared" si="228"/>
        <v>20.659146841673504</v>
      </c>
      <c r="AK545" s="31">
        <v>0</v>
      </c>
      <c r="AL545" s="31">
        <v>0</v>
      </c>
      <c r="AM545" s="31">
        <v>0</v>
      </c>
      <c r="AN545" s="31">
        <v>0</v>
      </c>
      <c r="AO545" s="31">
        <v>0</v>
      </c>
      <c r="AP545" s="31">
        <v>7563</v>
      </c>
      <c r="AQ545" s="31">
        <v>7563</v>
      </c>
      <c r="AR545" s="31">
        <v>57930</v>
      </c>
      <c r="AS545" s="46">
        <f t="shared" si="229"/>
        <v>23.761279737489744</v>
      </c>
      <c r="AT545" s="31">
        <v>0</v>
      </c>
      <c r="AU545" s="31">
        <v>0</v>
      </c>
      <c r="AV545" s="31">
        <v>0</v>
      </c>
      <c r="AW545" s="31">
        <v>0</v>
      </c>
      <c r="AX545" s="31">
        <v>0</v>
      </c>
      <c r="AY545" s="31">
        <v>0</v>
      </c>
      <c r="AZ545" s="31">
        <v>0</v>
      </c>
      <c r="BA545" s="31">
        <v>0</v>
      </c>
      <c r="BB545" s="31">
        <v>0</v>
      </c>
      <c r="BC545" s="33" t="s">
        <v>25</v>
      </c>
      <c r="BD545" s="47">
        <v>13004</v>
      </c>
      <c r="BE545" s="47">
        <v>13096</v>
      </c>
      <c r="BF545" s="45">
        <f t="shared" si="230"/>
        <v>5.3716160787530765</v>
      </c>
      <c r="BG545" s="30">
        <v>798</v>
      </c>
      <c r="BH545" s="30">
        <v>798</v>
      </c>
      <c r="BI545" s="30">
        <v>1647</v>
      </c>
      <c r="BJ545" s="30">
        <v>2077</v>
      </c>
      <c r="BK545" s="30">
        <v>2093</v>
      </c>
      <c r="BL545" s="30">
        <v>43</v>
      </c>
      <c r="BM545" s="30">
        <v>10161</v>
      </c>
      <c r="BN545" s="30">
        <v>0</v>
      </c>
      <c r="BO545" s="30">
        <v>51</v>
      </c>
      <c r="BP545" s="30">
        <v>0</v>
      </c>
      <c r="BQ545" s="30">
        <v>51</v>
      </c>
      <c r="BR545" s="47">
        <v>15879</v>
      </c>
      <c r="BS545" s="47">
        <v>27838</v>
      </c>
      <c r="BT545" s="1">
        <f t="shared" si="231"/>
        <v>11.418375717801476</v>
      </c>
      <c r="BU545" s="30">
        <v>0</v>
      </c>
      <c r="BV545" s="30">
        <v>0</v>
      </c>
      <c r="BW545" s="47">
        <v>3500</v>
      </c>
      <c r="BX545" s="52">
        <f t="shared" si="232"/>
        <v>1.4356029532403609</v>
      </c>
      <c r="BY545" s="47">
        <v>5950</v>
      </c>
      <c r="BZ545" s="47">
        <v>63</v>
      </c>
      <c r="CA545" s="47">
        <v>16002</v>
      </c>
      <c r="CB545" s="47">
        <v>1657</v>
      </c>
      <c r="CC545" s="47">
        <v>23672</v>
      </c>
      <c r="CD545" s="55">
        <f t="shared" si="233"/>
        <v>9.7095980311730923</v>
      </c>
      <c r="CE545" s="3">
        <f t="shared" si="234"/>
        <v>15781.333333333334</v>
      </c>
      <c r="CF545" s="55">
        <f t="shared" si="235"/>
        <v>14.149432157800359</v>
      </c>
      <c r="CG545" s="55">
        <f t="shared" si="236"/>
        <v>2.1118743866535818</v>
      </c>
      <c r="CH545" s="55">
        <f t="shared" si="237"/>
        <v>0.7885623967239026</v>
      </c>
      <c r="CI545" s="30">
        <v>32</v>
      </c>
      <c r="CJ545" s="30">
        <v>6</v>
      </c>
      <c r="CK545" s="30">
        <v>0</v>
      </c>
      <c r="CL545" s="30">
        <v>38</v>
      </c>
      <c r="CM545" s="30">
        <v>257</v>
      </c>
      <c r="CN545" s="30">
        <v>35</v>
      </c>
      <c r="CO545" s="30">
        <v>0</v>
      </c>
      <c r="CP545" s="30">
        <v>292</v>
      </c>
      <c r="CQ545" s="1">
        <f t="shared" si="245"/>
        <v>0.11977030352748154</v>
      </c>
      <c r="CR545" s="47">
        <v>11209</v>
      </c>
      <c r="CS545" s="55">
        <f t="shared" si="238"/>
        <v>4.5976210008203449</v>
      </c>
      <c r="CT545" s="59">
        <v>1980</v>
      </c>
      <c r="CU545" s="29" t="s">
        <v>25</v>
      </c>
      <c r="CV545" s="29" t="s">
        <v>25</v>
      </c>
      <c r="CW545" s="29" t="s">
        <v>25</v>
      </c>
      <c r="CX545" s="35">
        <v>0</v>
      </c>
      <c r="CY545" s="49">
        <v>0</v>
      </c>
      <c r="CZ545" s="35">
        <v>1.5</v>
      </c>
      <c r="DA545" s="35">
        <v>0</v>
      </c>
      <c r="DB545" s="35">
        <v>1.5</v>
      </c>
      <c r="DC545" s="49">
        <f t="shared" si="239"/>
        <v>1625.3333333333333</v>
      </c>
      <c r="DD545" s="30">
        <v>385</v>
      </c>
      <c r="DE545" s="31">
        <v>22495</v>
      </c>
      <c r="DF545" s="35">
        <v>40</v>
      </c>
      <c r="DG545" s="29" t="s">
        <v>25</v>
      </c>
      <c r="DH545" s="29" t="s">
        <v>25</v>
      </c>
      <c r="DI545" s="29" t="s">
        <v>25</v>
      </c>
      <c r="DJ545" s="47">
        <v>75</v>
      </c>
      <c r="DK545" s="47">
        <v>70</v>
      </c>
      <c r="DL545" s="47">
        <v>5</v>
      </c>
      <c r="DM545" s="47">
        <v>3030</v>
      </c>
      <c r="DN545" s="47">
        <v>2500</v>
      </c>
      <c r="DO545" s="47">
        <v>400</v>
      </c>
      <c r="DP545" s="29" t="s">
        <v>25</v>
      </c>
      <c r="DQ545" s="47">
        <v>2232</v>
      </c>
      <c r="DR545" s="47">
        <v>1673</v>
      </c>
      <c r="DS545" s="30">
        <v>52</v>
      </c>
      <c r="DT545" s="30">
        <v>34</v>
      </c>
      <c r="DU545" s="30">
        <v>34</v>
      </c>
      <c r="DV545" s="30">
        <v>34</v>
      </c>
      <c r="DX545" s="2">
        <f t="shared" si="240"/>
        <v>1673</v>
      </c>
      <c r="DY545" s="33" t="s">
        <v>2182</v>
      </c>
      <c r="DZ545" s="33" t="s">
        <v>1350</v>
      </c>
      <c r="EA545" s="33" t="s">
        <v>2030</v>
      </c>
      <c r="EB545" s="33" t="s">
        <v>2027</v>
      </c>
      <c r="EC545" s="36">
        <v>412</v>
      </c>
      <c r="ED545" s="29" t="s">
        <v>1349</v>
      </c>
      <c r="EE545" s="29" t="s">
        <v>421</v>
      </c>
      <c r="EF545" s="37">
        <v>41548</v>
      </c>
      <c r="EG545" s="37">
        <v>41912</v>
      </c>
      <c r="EH545" s="29" t="s">
        <v>1349</v>
      </c>
      <c r="EI545" s="55">
        <f t="shared" si="241"/>
        <v>2.4405250205086135</v>
      </c>
      <c r="EJ545" s="54">
        <f t="shared" si="242"/>
        <v>2.5840853158326498E-2</v>
      </c>
      <c r="EK545" s="55">
        <f t="shared" si="243"/>
        <v>6.5635767022149301</v>
      </c>
      <c r="EL545" s="54">
        <f t="shared" si="244"/>
        <v>0.67965545529122229</v>
      </c>
    </row>
    <row r="546" spans="1:142" ht="28.8" x14ac:dyDescent="0.3">
      <c r="A546" s="29" t="s">
        <v>1520</v>
      </c>
      <c r="B546" s="29"/>
      <c r="C546" s="30">
        <v>2083</v>
      </c>
      <c r="D546" s="30">
        <v>0</v>
      </c>
      <c r="E546" s="30">
        <v>0</v>
      </c>
      <c r="F546" s="30">
        <v>6300</v>
      </c>
      <c r="H546" s="2">
        <f t="shared" si="219"/>
        <v>6300</v>
      </c>
      <c r="I546" s="1">
        <f t="shared" si="220"/>
        <v>3.0244839174267883</v>
      </c>
      <c r="J546" s="31">
        <v>34958</v>
      </c>
      <c r="K546" s="31">
        <v>2895</v>
      </c>
      <c r="L546" s="31">
        <v>37853</v>
      </c>
      <c r="M546" s="45">
        <f t="shared" si="221"/>
        <v>18.172347575612097</v>
      </c>
      <c r="N546" s="31">
        <v>8011</v>
      </c>
      <c r="O546" s="31">
        <v>385</v>
      </c>
      <c r="P546" s="31">
        <v>1118</v>
      </c>
      <c r="Q546" s="31">
        <v>9514</v>
      </c>
      <c r="R546" s="45">
        <f t="shared" si="222"/>
        <v>4.5674507921267402</v>
      </c>
      <c r="S546" s="31">
        <v>35525</v>
      </c>
      <c r="T546" s="31">
        <v>82892</v>
      </c>
      <c r="U546" s="31">
        <v>0</v>
      </c>
      <c r="V546" s="31">
        <v>82892</v>
      </c>
      <c r="W546" s="45">
        <f t="shared" si="223"/>
        <v>39.794527124339893</v>
      </c>
      <c r="X546" s="4">
        <f t="shared" si="224"/>
        <v>0.45665444192443178</v>
      </c>
      <c r="Y546" s="4">
        <f t="shared" si="225"/>
        <v>0.11477585291704868</v>
      </c>
      <c r="Z546" s="4">
        <f t="shared" si="226"/>
        <v>0.4285697051585195</v>
      </c>
      <c r="AA546" s="4">
        <f t="shared" si="227"/>
        <v>0</v>
      </c>
      <c r="AB546" s="31">
        <v>783791</v>
      </c>
      <c r="AC546" s="31">
        <v>9514</v>
      </c>
      <c r="AD546" s="31">
        <v>80892</v>
      </c>
      <c r="AE546" s="31">
        <v>80522</v>
      </c>
      <c r="AF546" s="31">
        <v>80892</v>
      </c>
      <c r="AG546" s="31">
        <v>0</v>
      </c>
      <c r="AH546" s="31">
        <v>0</v>
      </c>
      <c r="AI546" s="31">
        <v>80892</v>
      </c>
      <c r="AJ546" s="45">
        <f t="shared" si="228"/>
        <v>38.834373499759963</v>
      </c>
      <c r="AK546" s="31">
        <v>0</v>
      </c>
      <c r="AL546" s="31">
        <v>0</v>
      </c>
      <c r="AM546" s="31">
        <v>0</v>
      </c>
      <c r="AN546" s="31">
        <v>0</v>
      </c>
      <c r="AO546" s="31">
        <v>0</v>
      </c>
      <c r="AP546" s="31">
        <v>3693</v>
      </c>
      <c r="AQ546" s="31">
        <v>3693</v>
      </c>
      <c r="AR546" s="31">
        <v>84585</v>
      </c>
      <c r="AS546" s="46">
        <f t="shared" si="229"/>
        <v>40.607297167546804</v>
      </c>
      <c r="AT546" s="31">
        <v>0</v>
      </c>
      <c r="AU546" s="31">
        <v>0</v>
      </c>
      <c r="AV546" s="31">
        <v>0</v>
      </c>
      <c r="AW546" s="31">
        <v>0</v>
      </c>
      <c r="AX546" s="31">
        <v>0</v>
      </c>
      <c r="AY546" s="31">
        <v>0</v>
      </c>
      <c r="AZ546" s="31">
        <v>0</v>
      </c>
      <c r="BA546" s="31">
        <v>0</v>
      </c>
      <c r="BB546" s="31">
        <v>0</v>
      </c>
      <c r="BC546" s="33" t="s">
        <v>25</v>
      </c>
      <c r="BD546" s="47">
        <v>20546</v>
      </c>
      <c r="BE546" s="47">
        <v>20885</v>
      </c>
      <c r="BF546" s="45">
        <f t="shared" si="230"/>
        <v>10.026404224675948</v>
      </c>
      <c r="BG546" s="30">
        <v>641</v>
      </c>
      <c r="BH546" s="30">
        <v>650</v>
      </c>
      <c r="BI546" s="30">
        <v>0</v>
      </c>
      <c r="BJ546" s="30">
        <v>718</v>
      </c>
      <c r="BK546" s="30">
        <v>722</v>
      </c>
      <c r="BL546" s="30">
        <v>0</v>
      </c>
      <c r="BM546" s="30">
        <v>0</v>
      </c>
      <c r="BN546" s="30">
        <v>0</v>
      </c>
      <c r="BO546" s="30">
        <v>51</v>
      </c>
      <c r="BP546" s="30">
        <v>0</v>
      </c>
      <c r="BQ546" s="30">
        <v>51</v>
      </c>
      <c r="BR546" s="47">
        <v>21905</v>
      </c>
      <c r="BS546" s="47">
        <v>22257</v>
      </c>
      <c r="BT546" s="1">
        <f t="shared" si="231"/>
        <v>10.685069611137783</v>
      </c>
      <c r="BU546" s="30">
        <v>2</v>
      </c>
      <c r="BV546" s="30">
        <v>0</v>
      </c>
      <c r="BW546" s="47">
        <v>9011</v>
      </c>
      <c r="BX546" s="52">
        <f t="shared" si="232"/>
        <v>4.3259721555448873</v>
      </c>
      <c r="BY546" s="47">
        <v>5273</v>
      </c>
      <c r="BZ546" s="47">
        <v>0</v>
      </c>
      <c r="CA546" s="47">
        <v>21795</v>
      </c>
      <c r="CB546" s="47">
        <v>0</v>
      </c>
      <c r="CC546" s="47">
        <v>27068</v>
      </c>
      <c r="CD546" s="55">
        <f t="shared" si="233"/>
        <v>12.994719155064811</v>
      </c>
      <c r="CE546" s="3">
        <f t="shared" si="234"/>
        <v>15037.777777777777</v>
      </c>
      <c r="CF546" s="55">
        <f t="shared" si="235"/>
        <v>12.696060037523452</v>
      </c>
      <c r="CG546" s="55">
        <f t="shared" si="236"/>
        <v>1.0413572885007503</v>
      </c>
      <c r="CH546" s="55">
        <f t="shared" si="237"/>
        <v>1.2161567147414296</v>
      </c>
      <c r="CI546" s="30">
        <v>112</v>
      </c>
      <c r="CJ546" s="30">
        <v>5</v>
      </c>
      <c r="CK546" s="30">
        <v>35</v>
      </c>
      <c r="CL546" s="30">
        <v>152</v>
      </c>
      <c r="CM546" s="30">
        <v>1326</v>
      </c>
      <c r="CN546" s="30">
        <v>25</v>
      </c>
      <c r="CO546" s="30">
        <v>669</v>
      </c>
      <c r="CP546" s="30">
        <v>2020</v>
      </c>
      <c r="CQ546" s="1">
        <f t="shared" si="245"/>
        <v>0.9697551608257321</v>
      </c>
      <c r="CR546" s="47">
        <v>25993</v>
      </c>
      <c r="CS546" s="55">
        <f t="shared" si="238"/>
        <v>12.478636581853097</v>
      </c>
      <c r="CT546" s="59">
        <v>7324</v>
      </c>
      <c r="CU546" s="29" t="s">
        <v>25</v>
      </c>
      <c r="CV546" s="29" t="s">
        <v>25</v>
      </c>
      <c r="CW546" s="29" t="s">
        <v>25</v>
      </c>
      <c r="CX546" s="35">
        <v>0</v>
      </c>
      <c r="CY546" s="49">
        <v>0</v>
      </c>
      <c r="CZ546" s="35">
        <v>1</v>
      </c>
      <c r="DA546" s="35">
        <v>0.8</v>
      </c>
      <c r="DB546" s="35">
        <v>1.8</v>
      </c>
      <c r="DC546" s="49">
        <f t="shared" si="239"/>
        <v>1157.2222222222222</v>
      </c>
      <c r="DD546" s="30">
        <v>3961</v>
      </c>
      <c r="DE546" s="31">
        <v>26800</v>
      </c>
      <c r="DF546" s="35">
        <v>40</v>
      </c>
      <c r="DG546" s="29" t="s">
        <v>25</v>
      </c>
      <c r="DH546" s="29" t="s">
        <v>25</v>
      </c>
      <c r="DI546" s="29" t="s">
        <v>25</v>
      </c>
      <c r="DJ546" s="47">
        <v>15</v>
      </c>
      <c r="DK546" s="47">
        <v>6</v>
      </c>
      <c r="DL546" s="47">
        <v>15</v>
      </c>
      <c r="DM546" s="47">
        <v>8077</v>
      </c>
      <c r="DN546" s="47">
        <v>218</v>
      </c>
      <c r="DO546" s="47">
        <v>195</v>
      </c>
      <c r="DP546" s="29" t="s">
        <v>2028</v>
      </c>
      <c r="DQ546" s="47">
        <v>0</v>
      </c>
      <c r="DR546" s="47">
        <v>2132</v>
      </c>
      <c r="DS546" s="30">
        <v>52</v>
      </c>
      <c r="DT546" s="30">
        <v>40</v>
      </c>
      <c r="DU546" s="30">
        <v>40</v>
      </c>
      <c r="DV546" s="30">
        <v>40</v>
      </c>
      <c r="DX546" s="2">
        <f t="shared" si="240"/>
        <v>2132</v>
      </c>
      <c r="DY546" s="33" t="s">
        <v>2186</v>
      </c>
      <c r="DZ546" s="33" t="s">
        <v>1922</v>
      </c>
      <c r="EA546" s="33" t="s">
        <v>2030</v>
      </c>
      <c r="EB546" s="33" t="s">
        <v>2027</v>
      </c>
      <c r="EC546" s="36">
        <v>489</v>
      </c>
      <c r="ED546" s="29" t="s">
        <v>1521</v>
      </c>
      <c r="EE546" s="29" t="s">
        <v>458</v>
      </c>
      <c r="EF546" s="37">
        <v>41548</v>
      </c>
      <c r="EG546" s="37">
        <v>41912</v>
      </c>
      <c r="EH546" s="29" t="s">
        <v>1521</v>
      </c>
      <c r="EI546" s="55">
        <f t="shared" si="241"/>
        <v>2.531445031204993</v>
      </c>
      <c r="EJ546" s="54">
        <f t="shared" si="242"/>
        <v>0</v>
      </c>
      <c r="EK546" s="55">
        <f t="shared" si="243"/>
        <v>10.463274123859817</v>
      </c>
      <c r="EL546" s="54">
        <f t="shared" si="244"/>
        <v>0</v>
      </c>
    </row>
    <row r="547" spans="1:142" ht="28.8" x14ac:dyDescent="0.3">
      <c r="A547" s="29" t="s">
        <v>1352</v>
      </c>
      <c r="B547" s="29"/>
      <c r="C547" s="30">
        <v>104898</v>
      </c>
      <c r="D547" s="30">
        <v>0</v>
      </c>
      <c r="E547" s="30">
        <v>0</v>
      </c>
      <c r="F547" s="30">
        <v>61000</v>
      </c>
      <c r="H547" s="2">
        <f t="shared" si="219"/>
        <v>61000</v>
      </c>
      <c r="I547" s="1">
        <f t="shared" si="220"/>
        <v>0.58151728345630993</v>
      </c>
      <c r="J547" s="31">
        <v>664088</v>
      </c>
      <c r="K547" s="31">
        <v>243483</v>
      </c>
      <c r="L547" s="31">
        <v>907571</v>
      </c>
      <c r="M547" s="45">
        <f t="shared" si="221"/>
        <v>8.6519380731758471</v>
      </c>
      <c r="N547" s="31">
        <v>204164</v>
      </c>
      <c r="O547" s="31">
        <v>104364</v>
      </c>
      <c r="P547" s="31">
        <v>63873</v>
      </c>
      <c r="Q547" s="31">
        <v>372401</v>
      </c>
      <c r="R547" s="45">
        <f t="shared" si="222"/>
        <v>3.5501248832198899</v>
      </c>
      <c r="S547" s="31">
        <v>268463</v>
      </c>
      <c r="T547" s="31">
        <v>1548435</v>
      </c>
      <c r="U547" s="31">
        <v>37213</v>
      </c>
      <c r="V547" s="31">
        <v>1585648</v>
      </c>
      <c r="W547" s="45">
        <f t="shared" si="223"/>
        <v>15.116093729146408</v>
      </c>
      <c r="X547" s="4">
        <f t="shared" si="224"/>
        <v>0.57236599800207866</v>
      </c>
      <c r="Y547" s="4">
        <f t="shared" si="225"/>
        <v>0.23485729493557209</v>
      </c>
      <c r="Z547" s="4">
        <f t="shared" si="226"/>
        <v>0.16930806837330858</v>
      </c>
      <c r="AA547" s="4">
        <f t="shared" si="227"/>
        <v>2.3468638689040696E-2</v>
      </c>
      <c r="AB547" s="31">
        <v>47680</v>
      </c>
      <c r="AC547" s="31">
        <v>372401</v>
      </c>
      <c r="AD547" s="31">
        <v>1585648</v>
      </c>
      <c r="AE547" s="31">
        <v>1577438</v>
      </c>
      <c r="AF547" s="31">
        <v>1540225</v>
      </c>
      <c r="AG547" s="31">
        <v>0</v>
      </c>
      <c r="AH547" s="31">
        <v>0</v>
      </c>
      <c r="AI547" s="31">
        <v>1540225</v>
      </c>
      <c r="AJ547" s="45">
        <f t="shared" si="228"/>
        <v>14.68307308051631</v>
      </c>
      <c r="AK547" s="31">
        <v>0</v>
      </c>
      <c r="AL547" s="31">
        <v>0</v>
      </c>
      <c r="AM547" s="31">
        <v>0</v>
      </c>
      <c r="AN547" s="31">
        <v>0</v>
      </c>
      <c r="AO547" s="31">
        <v>0</v>
      </c>
      <c r="AP547" s="31">
        <v>47056</v>
      </c>
      <c r="AQ547" s="31">
        <v>47056</v>
      </c>
      <c r="AR547" s="31">
        <v>1587281</v>
      </c>
      <c r="AS547" s="46">
        <f t="shared" si="229"/>
        <v>15.131661232816642</v>
      </c>
      <c r="AT547" s="31">
        <v>109317</v>
      </c>
      <c r="AU547" s="31">
        <v>0</v>
      </c>
      <c r="AV547" s="31">
        <v>0</v>
      </c>
      <c r="AW547" s="31">
        <v>0</v>
      </c>
      <c r="AX547" s="31">
        <v>0</v>
      </c>
      <c r="AY547" s="31">
        <v>0</v>
      </c>
      <c r="AZ547" s="31">
        <v>0</v>
      </c>
      <c r="BA547" s="31">
        <v>0</v>
      </c>
      <c r="BB547" s="31">
        <v>109317</v>
      </c>
      <c r="BC547" s="33" t="s">
        <v>25</v>
      </c>
      <c r="BD547" s="47">
        <v>147038</v>
      </c>
      <c r="BE547" s="47">
        <v>160485</v>
      </c>
      <c r="BF547" s="45">
        <f t="shared" si="230"/>
        <v>1.5299147743522279</v>
      </c>
      <c r="BG547" s="30">
        <v>7071</v>
      </c>
      <c r="BH547" s="30">
        <v>7390</v>
      </c>
      <c r="BI547" s="30">
        <v>5779</v>
      </c>
      <c r="BJ547" s="30">
        <v>3403</v>
      </c>
      <c r="BK547" s="30">
        <v>3629</v>
      </c>
      <c r="BL547" s="30">
        <v>0</v>
      </c>
      <c r="BM547" s="30">
        <v>20193</v>
      </c>
      <c r="BN547" s="30">
        <v>21</v>
      </c>
      <c r="BO547" s="30">
        <v>51</v>
      </c>
      <c r="BP547" s="30">
        <v>1</v>
      </c>
      <c r="BQ547" s="30">
        <v>73</v>
      </c>
      <c r="BR547" s="47">
        <v>157512</v>
      </c>
      <c r="BS547" s="47">
        <v>197497</v>
      </c>
      <c r="BT547" s="1">
        <f t="shared" si="231"/>
        <v>1.8827527693568991</v>
      </c>
      <c r="BU547" s="30">
        <v>137</v>
      </c>
      <c r="BV547" s="30">
        <v>0</v>
      </c>
      <c r="BW547" s="47">
        <v>65668</v>
      </c>
      <c r="BX547" s="52">
        <f t="shared" si="232"/>
        <v>0.62601765524604858</v>
      </c>
      <c r="BY547" s="47">
        <v>75080</v>
      </c>
      <c r="BZ547" s="47">
        <v>495</v>
      </c>
      <c r="CA547" s="47">
        <v>183832</v>
      </c>
      <c r="CB547" s="47">
        <v>5281</v>
      </c>
      <c r="CC547" s="47">
        <v>264688</v>
      </c>
      <c r="CD547" s="55">
        <f t="shared" si="233"/>
        <v>2.5232892905489144</v>
      </c>
      <c r="CE547" s="3">
        <f t="shared" si="234"/>
        <v>14307.45945945946</v>
      </c>
      <c r="CF547" s="55">
        <f t="shared" si="235"/>
        <v>98.250927988121745</v>
      </c>
      <c r="CG547" s="55">
        <f t="shared" si="236"/>
        <v>1.6751344851591672</v>
      </c>
      <c r="CH547" s="55">
        <f t="shared" si="237"/>
        <v>1.310966748862008</v>
      </c>
      <c r="CI547" s="30">
        <v>156</v>
      </c>
      <c r="CJ547" s="30">
        <v>11</v>
      </c>
      <c r="CK547" s="30">
        <v>13</v>
      </c>
      <c r="CL547" s="30">
        <v>180</v>
      </c>
      <c r="CM547" s="30">
        <v>7376</v>
      </c>
      <c r="CN547" s="30">
        <v>336</v>
      </c>
      <c r="CO547" s="30">
        <v>143</v>
      </c>
      <c r="CP547" s="30">
        <v>7855</v>
      </c>
      <c r="CQ547" s="1">
        <f t="shared" si="245"/>
        <v>7.488226658277565E-2</v>
      </c>
      <c r="CR547" s="47">
        <v>158010</v>
      </c>
      <c r="CS547" s="55">
        <f t="shared" si="238"/>
        <v>1.5063204255562546</v>
      </c>
      <c r="CT547" s="59">
        <v>38252</v>
      </c>
      <c r="CU547" s="29" t="s">
        <v>25</v>
      </c>
      <c r="CV547" s="29" t="s">
        <v>25</v>
      </c>
      <c r="CW547" s="29" t="s">
        <v>25</v>
      </c>
      <c r="CX547" s="35">
        <v>10</v>
      </c>
      <c r="CY547" s="49">
        <f>C547/CX547</f>
        <v>10489.8</v>
      </c>
      <c r="CZ547" s="35">
        <v>0</v>
      </c>
      <c r="DA547" s="35">
        <v>8.5</v>
      </c>
      <c r="DB547" s="35">
        <v>18.5</v>
      </c>
      <c r="DC547" s="49">
        <f t="shared" si="239"/>
        <v>5670.1621621621625</v>
      </c>
      <c r="DD547" s="30">
        <v>3782</v>
      </c>
      <c r="DE547" s="31">
        <v>66631</v>
      </c>
      <c r="DF547" s="35">
        <v>40</v>
      </c>
      <c r="DG547" s="29" t="s">
        <v>25</v>
      </c>
      <c r="DH547" s="29" t="s">
        <v>25</v>
      </c>
      <c r="DI547" s="29" t="s">
        <v>25</v>
      </c>
      <c r="DJ547" s="47">
        <v>501</v>
      </c>
      <c r="DK547" s="47">
        <v>2271</v>
      </c>
      <c r="DL547" s="47">
        <v>31</v>
      </c>
      <c r="DM547" s="47">
        <v>39530</v>
      </c>
      <c r="DN547" s="47">
        <v>18896</v>
      </c>
      <c r="DO547" s="47">
        <v>0</v>
      </c>
      <c r="DP547" s="29" t="s">
        <v>25</v>
      </c>
      <c r="DQ547" s="47">
        <v>162155</v>
      </c>
      <c r="DR547" s="47">
        <v>2694</v>
      </c>
      <c r="DS547" s="30">
        <v>52</v>
      </c>
      <c r="DT547" s="30">
        <v>54</v>
      </c>
      <c r="DU547" s="30">
        <v>54</v>
      </c>
      <c r="DV547" s="30">
        <v>54</v>
      </c>
      <c r="DX547" s="2">
        <f t="shared" si="240"/>
        <v>2694</v>
      </c>
      <c r="DY547" s="33" t="s">
        <v>2181</v>
      </c>
      <c r="DZ547" s="33" t="s">
        <v>1353</v>
      </c>
      <c r="EA547" s="33" t="s">
        <v>2030</v>
      </c>
      <c r="EB547" s="33" t="s">
        <v>2027</v>
      </c>
      <c r="EC547" s="36">
        <v>413</v>
      </c>
      <c r="ED547" s="29" t="s">
        <v>1351</v>
      </c>
      <c r="EE547" s="29" t="s">
        <v>232</v>
      </c>
      <c r="EF547" s="37">
        <v>41548</v>
      </c>
      <c r="EG547" s="37">
        <v>41912</v>
      </c>
      <c r="EH547" s="29" t="s">
        <v>1351</v>
      </c>
      <c r="EI547" s="55">
        <f t="shared" si="241"/>
        <v>0.71574291216229102</v>
      </c>
      <c r="EJ547" s="54">
        <f t="shared" si="242"/>
        <v>4.7188697591946461E-3</v>
      </c>
      <c r="EK547" s="55">
        <f t="shared" si="243"/>
        <v>1.7524833647924651</v>
      </c>
      <c r="EL547" s="54">
        <f t="shared" si="244"/>
        <v>5.0344143834963488E-2</v>
      </c>
    </row>
    <row r="548" spans="1:142" ht="28.8" x14ac:dyDescent="0.3">
      <c r="A548" s="29" t="s">
        <v>1440</v>
      </c>
      <c r="B548" s="29"/>
      <c r="C548" s="30">
        <v>3800</v>
      </c>
      <c r="D548" s="30">
        <v>0</v>
      </c>
      <c r="E548" s="30">
        <v>0</v>
      </c>
      <c r="F548" s="30">
        <v>2400</v>
      </c>
      <c r="H548" s="2">
        <f t="shared" si="219"/>
        <v>2400</v>
      </c>
      <c r="I548" s="1">
        <f t="shared" si="220"/>
        <v>0.63157894736842102</v>
      </c>
      <c r="J548" s="31">
        <v>58944</v>
      </c>
      <c r="K548" s="31">
        <v>21763</v>
      </c>
      <c r="L548" s="31">
        <v>80707</v>
      </c>
      <c r="M548" s="45">
        <f t="shared" si="221"/>
        <v>21.238684210526316</v>
      </c>
      <c r="N548" s="31">
        <v>3174</v>
      </c>
      <c r="O548" s="31">
        <v>0</v>
      </c>
      <c r="P548" s="31">
        <v>5</v>
      </c>
      <c r="Q548" s="31">
        <v>3179</v>
      </c>
      <c r="R548" s="45">
        <f t="shared" si="222"/>
        <v>0.83657894736842109</v>
      </c>
      <c r="S548" s="31">
        <v>16023</v>
      </c>
      <c r="T548" s="31">
        <v>99909</v>
      </c>
      <c r="U548" s="31">
        <v>0</v>
      </c>
      <c r="V548" s="31">
        <v>99909</v>
      </c>
      <c r="W548" s="45">
        <f t="shared" si="223"/>
        <v>26.291842105263157</v>
      </c>
      <c r="X548" s="4">
        <f t="shared" si="224"/>
        <v>0.80780510264340555</v>
      </c>
      <c r="Y548" s="4">
        <f t="shared" si="225"/>
        <v>3.1818955249276845E-2</v>
      </c>
      <c r="Z548" s="4">
        <f t="shared" si="226"/>
        <v>0.16037594210731765</v>
      </c>
      <c r="AA548" s="4">
        <f t="shared" si="227"/>
        <v>0</v>
      </c>
      <c r="AB548" s="31">
        <v>0</v>
      </c>
      <c r="AC548" s="31">
        <v>3179</v>
      </c>
      <c r="AD548" s="31">
        <v>99909</v>
      </c>
      <c r="AE548" s="31">
        <v>99904</v>
      </c>
      <c r="AF548" s="31">
        <v>99904</v>
      </c>
      <c r="AG548" s="31">
        <v>0</v>
      </c>
      <c r="AH548" s="31">
        <v>0</v>
      </c>
      <c r="AI548" s="31">
        <v>99904</v>
      </c>
      <c r="AJ548" s="45">
        <f t="shared" si="228"/>
        <v>26.290526315789474</v>
      </c>
      <c r="AK548" s="31">
        <v>0</v>
      </c>
      <c r="AL548" s="31">
        <v>0</v>
      </c>
      <c r="AM548" s="31">
        <v>0</v>
      </c>
      <c r="AN548" s="31">
        <v>0</v>
      </c>
      <c r="AO548" s="31">
        <v>0</v>
      </c>
      <c r="AP548" s="31">
        <v>5</v>
      </c>
      <c r="AQ548" s="31">
        <v>5</v>
      </c>
      <c r="AR548" s="31">
        <v>99909</v>
      </c>
      <c r="AS548" s="46">
        <f t="shared" si="229"/>
        <v>26.291842105263157</v>
      </c>
      <c r="AT548" s="31">
        <v>0</v>
      </c>
      <c r="AU548" s="31">
        <v>0</v>
      </c>
      <c r="AV548" s="31">
        <v>0</v>
      </c>
      <c r="AW548" s="31">
        <v>0</v>
      </c>
      <c r="AX548" s="31">
        <v>0</v>
      </c>
      <c r="AY548" s="31">
        <v>0</v>
      </c>
      <c r="AZ548" s="31">
        <v>0</v>
      </c>
      <c r="BA548" s="31">
        <v>0</v>
      </c>
      <c r="BB548" s="31">
        <v>0</v>
      </c>
      <c r="BC548" s="33" t="s">
        <v>25</v>
      </c>
      <c r="BD548" s="47">
        <v>13969</v>
      </c>
      <c r="BE548" s="47">
        <v>14274</v>
      </c>
      <c r="BF548" s="45">
        <f t="shared" si="230"/>
        <v>3.7563157894736841</v>
      </c>
      <c r="BG548" s="30">
        <v>189</v>
      </c>
      <c r="BH548" s="30">
        <v>189</v>
      </c>
      <c r="BI548" s="30">
        <v>0</v>
      </c>
      <c r="BJ548" s="30">
        <v>608</v>
      </c>
      <c r="BK548" s="30">
        <v>610</v>
      </c>
      <c r="BL548" s="30">
        <v>0</v>
      </c>
      <c r="BM548" s="30">
        <v>0</v>
      </c>
      <c r="BN548" s="30">
        <v>0</v>
      </c>
      <c r="BO548" s="30">
        <v>51</v>
      </c>
      <c r="BP548" s="30">
        <v>0</v>
      </c>
      <c r="BQ548" s="30">
        <v>51</v>
      </c>
      <c r="BR548" s="47">
        <v>14766</v>
      </c>
      <c r="BS548" s="47">
        <v>15073</v>
      </c>
      <c r="BT548" s="1">
        <f t="shared" si="231"/>
        <v>3.9665789473684212</v>
      </c>
      <c r="BU548" s="30">
        <v>19</v>
      </c>
      <c r="BV548" s="30">
        <v>0</v>
      </c>
      <c r="BW548" s="47">
        <v>480</v>
      </c>
      <c r="BX548" s="52">
        <f t="shared" si="232"/>
        <v>0.12631578947368421</v>
      </c>
      <c r="BY548" s="47">
        <v>1931</v>
      </c>
      <c r="BZ548" s="47">
        <v>0</v>
      </c>
      <c r="CA548" s="47">
        <v>2138</v>
      </c>
      <c r="CB548" s="47">
        <v>0</v>
      </c>
      <c r="CC548" s="47">
        <v>4069</v>
      </c>
      <c r="CD548" s="55">
        <f t="shared" si="233"/>
        <v>1.0707894736842105</v>
      </c>
      <c r="CE548" s="3">
        <f t="shared" si="234"/>
        <v>2034.5</v>
      </c>
      <c r="CF548" s="55">
        <f t="shared" si="235"/>
        <v>1.5938112025068547</v>
      </c>
      <c r="CG548" s="55">
        <f t="shared" si="236"/>
        <v>0.47154942635299574</v>
      </c>
      <c r="CH548" s="55">
        <f t="shared" si="237"/>
        <v>0.26995289590658794</v>
      </c>
      <c r="CI548" s="30">
        <v>9</v>
      </c>
      <c r="CJ548" s="30">
        <v>7</v>
      </c>
      <c r="CK548" s="30">
        <v>13</v>
      </c>
      <c r="CL548" s="30">
        <v>29</v>
      </c>
      <c r="CM548" s="30">
        <v>139</v>
      </c>
      <c r="CN548" s="30">
        <v>42</v>
      </c>
      <c r="CO548" s="30">
        <v>30</v>
      </c>
      <c r="CP548" s="30">
        <v>211</v>
      </c>
      <c r="CQ548" s="1">
        <f t="shared" si="245"/>
        <v>5.5526315789473688E-2</v>
      </c>
      <c r="CR548" s="47">
        <v>8629</v>
      </c>
      <c r="CS548" s="55">
        <f t="shared" si="238"/>
        <v>2.2707894736842107</v>
      </c>
      <c r="CT548" s="59">
        <v>2319</v>
      </c>
      <c r="CU548" s="29" t="s">
        <v>25</v>
      </c>
      <c r="CV548" s="29" t="s">
        <v>25</v>
      </c>
      <c r="CW548" s="29" t="s">
        <v>25</v>
      </c>
      <c r="CX548" s="35">
        <v>1</v>
      </c>
      <c r="CY548" s="49">
        <f>C548/CX548</f>
        <v>3800</v>
      </c>
      <c r="CZ548" s="35">
        <v>0</v>
      </c>
      <c r="DA548" s="35">
        <v>1</v>
      </c>
      <c r="DB548" s="35">
        <v>2</v>
      </c>
      <c r="DC548" s="49">
        <f t="shared" si="239"/>
        <v>1900</v>
      </c>
      <c r="DD548" s="30">
        <v>513</v>
      </c>
      <c r="DE548" s="31">
        <v>35700</v>
      </c>
      <c r="DF548" s="35">
        <v>40</v>
      </c>
      <c r="DG548" s="29" t="s">
        <v>25</v>
      </c>
      <c r="DH548" s="29" t="s">
        <v>25</v>
      </c>
      <c r="DI548" s="29" t="s">
        <v>25</v>
      </c>
      <c r="DJ548" s="47">
        <v>21</v>
      </c>
      <c r="DK548" s="47">
        <v>2</v>
      </c>
      <c r="DL548" s="47">
        <v>5</v>
      </c>
      <c r="DM548" s="47">
        <v>6472</v>
      </c>
      <c r="DN548" s="47">
        <v>0</v>
      </c>
      <c r="DO548" s="47">
        <v>0</v>
      </c>
      <c r="DP548" s="29" t="s">
        <v>2028</v>
      </c>
      <c r="DQ548" s="47">
        <v>0</v>
      </c>
      <c r="DR548" s="47">
        <v>2553</v>
      </c>
      <c r="DS548" s="30">
        <v>52</v>
      </c>
      <c r="DT548" s="30">
        <v>51</v>
      </c>
      <c r="DU548" s="30">
        <v>51</v>
      </c>
      <c r="DV548" s="30">
        <v>51</v>
      </c>
      <c r="DX548" s="2">
        <f t="shared" si="240"/>
        <v>2553</v>
      </c>
      <c r="DY548" s="33" t="s">
        <v>2182</v>
      </c>
      <c r="DZ548" s="33" t="s">
        <v>1442</v>
      </c>
      <c r="EA548" s="33" t="s">
        <v>2030</v>
      </c>
      <c r="EB548" s="33" t="s">
        <v>2027</v>
      </c>
      <c r="EC548" s="36">
        <v>453</v>
      </c>
      <c r="ED548" s="29" t="s">
        <v>1441</v>
      </c>
      <c r="EE548" s="29" t="s">
        <v>269</v>
      </c>
      <c r="EF548" s="37">
        <v>41548</v>
      </c>
      <c r="EG548" s="37">
        <v>41912</v>
      </c>
      <c r="EH548" s="29" t="s">
        <v>1441</v>
      </c>
      <c r="EI548" s="55">
        <f t="shared" si="241"/>
        <v>0.50815789473684214</v>
      </c>
      <c r="EJ548" s="54">
        <f t="shared" si="242"/>
        <v>0</v>
      </c>
      <c r="EK548" s="55">
        <f t="shared" si="243"/>
        <v>0.56263157894736837</v>
      </c>
      <c r="EL548" s="54">
        <f t="shared" si="244"/>
        <v>0</v>
      </c>
    </row>
    <row r="549" spans="1:142" ht="28.8" x14ac:dyDescent="0.3">
      <c r="A549" s="29" t="s">
        <v>1354</v>
      </c>
      <c r="B549" s="29"/>
      <c r="C549" s="30">
        <v>18829</v>
      </c>
      <c r="D549" s="30">
        <v>0</v>
      </c>
      <c r="E549" s="30">
        <v>0</v>
      </c>
      <c r="F549" s="30">
        <v>8053</v>
      </c>
      <c r="H549" s="2">
        <f t="shared" si="219"/>
        <v>8053</v>
      </c>
      <c r="I549" s="1">
        <f t="shared" si="220"/>
        <v>0.42769132720803016</v>
      </c>
      <c r="J549" s="31">
        <v>204600</v>
      </c>
      <c r="K549" s="31">
        <v>17590</v>
      </c>
      <c r="L549" s="31">
        <v>222190</v>
      </c>
      <c r="M549" s="45">
        <f t="shared" si="221"/>
        <v>11.800414254607254</v>
      </c>
      <c r="N549" s="31">
        <v>41733</v>
      </c>
      <c r="O549" s="31">
        <v>19659</v>
      </c>
      <c r="P549" s="31">
        <v>10506</v>
      </c>
      <c r="Q549" s="31">
        <v>71898</v>
      </c>
      <c r="R549" s="45">
        <f t="shared" si="222"/>
        <v>3.8184715067183599</v>
      </c>
      <c r="S549" s="31">
        <v>102620</v>
      </c>
      <c r="T549" s="31">
        <v>396708</v>
      </c>
      <c r="U549" s="31">
        <v>0</v>
      </c>
      <c r="V549" s="31">
        <v>396708</v>
      </c>
      <c r="W549" s="45">
        <f t="shared" si="223"/>
        <v>21.06898932497743</v>
      </c>
      <c r="X549" s="4">
        <f t="shared" si="224"/>
        <v>0.56008449539711824</v>
      </c>
      <c r="Y549" s="4">
        <f t="shared" si="225"/>
        <v>0.18123657702894824</v>
      </c>
      <c r="Z549" s="4">
        <f t="shared" si="226"/>
        <v>0.25867892757393346</v>
      </c>
      <c r="AA549" s="4">
        <f t="shared" si="227"/>
        <v>0</v>
      </c>
      <c r="AB549" s="31">
        <v>0</v>
      </c>
      <c r="AC549" s="31">
        <v>71898</v>
      </c>
      <c r="AD549" s="31">
        <v>396708</v>
      </c>
      <c r="AE549" s="31">
        <v>396708</v>
      </c>
      <c r="AF549" s="31">
        <v>445570</v>
      </c>
      <c r="AG549" s="31">
        <v>30000</v>
      </c>
      <c r="AH549" s="31">
        <v>0</v>
      </c>
      <c r="AI549" s="31">
        <v>475570</v>
      </c>
      <c r="AJ549" s="45">
        <f t="shared" si="228"/>
        <v>25.25731584258325</v>
      </c>
      <c r="AK549" s="31">
        <v>0</v>
      </c>
      <c r="AL549" s="31">
        <v>0</v>
      </c>
      <c r="AM549" s="31">
        <v>0</v>
      </c>
      <c r="AN549" s="31">
        <v>0</v>
      </c>
      <c r="AO549" s="31">
        <v>0</v>
      </c>
      <c r="AP549" s="31">
        <v>38837</v>
      </c>
      <c r="AQ549" s="31">
        <v>38837</v>
      </c>
      <c r="AR549" s="31">
        <v>514407</v>
      </c>
      <c r="AS549" s="46">
        <f t="shared" si="229"/>
        <v>27.319932019756759</v>
      </c>
      <c r="AT549" s="31">
        <v>0</v>
      </c>
      <c r="AU549" s="31">
        <v>0</v>
      </c>
      <c r="AV549" s="31">
        <v>0</v>
      </c>
      <c r="AW549" s="31">
        <v>0</v>
      </c>
      <c r="AX549" s="31">
        <v>0</v>
      </c>
      <c r="AY549" s="31">
        <v>0</v>
      </c>
      <c r="AZ549" s="31">
        <v>0</v>
      </c>
      <c r="BA549" s="31">
        <v>0</v>
      </c>
      <c r="BB549" s="31">
        <v>0</v>
      </c>
      <c r="BC549" s="33" t="s">
        <v>25</v>
      </c>
      <c r="BD549" s="47">
        <v>25381</v>
      </c>
      <c r="BE549" s="47">
        <v>26752</v>
      </c>
      <c r="BF549" s="45">
        <f t="shared" si="230"/>
        <v>1.4207870837537842</v>
      </c>
      <c r="BG549" s="30">
        <v>1654</v>
      </c>
      <c r="BH549" s="30">
        <v>1682</v>
      </c>
      <c r="BI549" s="30">
        <v>1335</v>
      </c>
      <c r="BJ549" s="30">
        <v>2730</v>
      </c>
      <c r="BK549" s="30">
        <v>2965</v>
      </c>
      <c r="BL549" s="30">
        <v>86</v>
      </c>
      <c r="BM549" s="30">
        <v>7229</v>
      </c>
      <c r="BN549" s="30">
        <v>11</v>
      </c>
      <c r="BO549" s="30">
        <v>51</v>
      </c>
      <c r="BP549" s="30">
        <v>0</v>
      </c>
      <c r="BQ549" s="30">
        <v>62</v>
      </c>
      <c r="BR549" s="47">
        <v>29765</v>
      </c>
      <c r="BS549" s="47">
        <v>40060</v>
      </c>
      <c r="BT549" s="1">
        <f t="shared" si="231"/>
        <v>2.1275691752084551</v>
      </c>
      <c r="BU549" s="30">
        <v>51</v>
      </c>
      <c r="BV549" s="30">
        <v>1</v>
      </c>
      <c r="BW549" s="47">
        <v>7200</v>
      </c>
      <c r="BX549" s="52">
        <f t="shared" si="232"/>
        <v>0.38238886823516915</v>
      </c>
      <c r="BY549" s="47">
        <v>35232</v>
      </c>
      <c r="BZ549" s="47">
        <v>0</v>
      </c>
      <c r="CA549" s="47">
        <v>86971</v>
      </c>
      <c r="CB549" s="47">
        <v>4499</v>
      </c>
      <c r="CC549" s="47">
        <v>126702</v>
      </c>
      <c r="CD549" s="55">
        <f t="shared" si="233"/>
        <v>6.7290881087683889</v>
      </c>
      <c r="CE549" s="3">
        <f t="shared" si="234"/>
        <v>21566.297872340427</v>
      </c>
      <c r="CF549" s="55">
        <f t="shared" si="235"/>
        <v>46.857248520710058</v>
      </c>
      <c r="CG549" s="55">
        <f t="shared" si="236"/>
        <v>1.4725599126008229</v>
      </c>
      <c r="CH549" s="55">
        <f t="shared" si="237"/>
        <v>3.0504992511233149</v>
      </c>
      <c r="CI549" s="30">
        <v>206</v>
      </c>
      <c r="CJ549" s="30">
        <v>5</v>
      </c>
      <c r="CK549" s="30">
        <v>73</v>
      </c>
      <c r="CL549" s="30">
        <v>284</v>
      </c>
      <c r="CM549" s="30">
        <v>5574</v>
      </c>
      <c r="CN549" s="30">
        <v>25</v>
      </c>
      <c r="CO549" s="30">
        <v>690</v>
      </c>
      <c r="CP549" s="30">
        <v>6289</v>
      </c>
      <c r="CQ549" s="1">
        <f t="shared" si="245"/>
        <v>0.33400605449041371</v>
      </c>
      <c r="CR549" s="47">
        <v>86042</v>
      </c>
      <c r="CS549" s="55">
        <f t="shared" si="238"/>
        <v>4.5696531945403365</v>
      </c>
      <c r="CT549" s="59">
        <v>10951</v>
      </c>
      <c r="CU549" s="29" t="s">
        <v>25</v>
      </c>
      <c r="CV549" s="29" t="s">
        <v>25</v>
      </c>
      <c r="CW549" s="29" t="s">
        <v>25</v>
      </c>
      <c r="CX549" s="35">
        <v>1.8</v>
      </c>
      <c r="CY549" s="49">
        <f>C549/CX549</f>
        <v>10460.555555555555</v>
      </c>
      <c r="CZ549" s="35">
        <v>3.125</v>
      </c>
      <c r="DA549" s="35">
        <v>0.95</v>
      </c>
      <c r="DB549" s="35">
        <v>5.875</v>
      </c>
      <c r="DC549" s="49">
        <f t="shared" si="239"/>
        <v>3204.9361702127658</v>
      </c>
      <c r="DD549" s="30">
        <v>6270</v>
      </c>
      <c r="DE549" s="31">
        <v>47875</v>
      </c>
      <c r="DF549" s="35">
        <v>40</v>
      </c>
      <c r="DG549" s="29" t="s">
        <v>25</v>
      </c>
      <c r="DH549" s="29" t="s">
        <v>25</v>
      </c>
      <c r="DI549" s="29" t="s">
        <v>25</v>
      </c>
      <c r="DJ549" s="47">
        <v>528</v>
      </c>
      <c r="DK549" s="47">
        <v>152</v>
      </c>
      <c r="DL549" s="47">
        <v>16</v>
      </c>
      <c r="DM549" s="47">
        <v>17540</v>
      </c>
      <c r="DN549" s="47">
        <v>2500</v>
      </c>
      <c r="DO549" s="47">
        <v>0</v>
      </c>
      <c r="DP549" s="29" t="s">
        <v>2028</v>
      </c>
      <c r="DQ549" s="47">
        <v>0</v>
      </c>
      <c r="DR549" s="47">
        <v>2704</v>
      </c>
      <c r="DS549" s="30">
        <v>52</v>
      </c>
      <c r="DT549" s="30">
        <v>52</v>
      </c>
      <c r="DU549" s="30">
        <v>52</v>
      </c>
      <c r="DV549" s="30">
        <v>52</v>
      </c>
      <c r="DX549" s="2">
        <f t="shared" si="240"/>
        <v>2704</v>
      </c>
      <c r="DY549" s="33" t="s">
        <v>2186</v>
      </c>
      <c r="DZ549" s="33" t="s">
        <v>1356</v>
      </c>
      <c r="EA549" s="33" t="s">
        <v>2033</v>
      </c>
      <c r="EB549" s="33" t="s">
        <v>2027</v>
      </c>
      <c r="EC549" s="36">
        <v>414</v>
      </c>
      <c r="ED549" s="29" t="s">
        <v>1355</v>
      </c>
      <c r="EE549" s="29" t="s">
        <v>776</v>
      </c>
      <c r="EF549" s="37">
        <v>41640</v>
      </c>
      <c r="EG549" s="37">
        <v>42004</v>
      </c>
      <c r="EH549" s="29" t="s">
        <v>1355</v>
      </c>
      <c r="EI549" s="55">
        <f t="shared" si="241"/>
        <v>1.8711561952307612</v>
      </c>
      <c r="EJ549" s="54">
        <f t="shared" si="242"/>
        <v>0</v>
      </c>
      <c r="EK549" s="55">
        <f t="shared" si="243"/>
        <v>4.6189919804556805</v>
      </c>
      <c r="EL549" s="54">
        <f t="shared" si="244"/>
        <v>0.23893993308194805</v>
      </c>
    </row>
    <row r="550" spans="1:142" ht="28.8" x14ac:dyDescent="0.3">
      <c r="A550" s="29" t="s">
        <v>1443</v>
      </c>
      <c r="B550" s="29"/>
      <c r="C550" s="30">
        <v>9572</v>
      </c>
      <c r="D550" s="30">
        <v>0</v>
      </c>
      <c r="E550" s="30">
        <v>0</v>
      </c>
      <c r="F550" s="30">
        <v>6000</v>
      </c>
      <c r="H550" s="2">
        <f t="shared" si="219"/>
        <v>6000</v>
      </c>
      <c r="I550" s="1">
        <f t="shared" si="220"/>
        <v>0.62682824905975765</v>
      </c>
      <c r="J550" s="31">
        <v>55512</v>
      </c>
      <c r="K550" s="31">
        <v>19050</v>
      </c>
      <c r="L550" s="31">
        <v>74562</v>
      </c>
      <c r="M550" s="45">
        <f t="shared" si="221"/>
        <v>7.7895946510656078</v>
      </c>
      <c r="N550" s="31">
        <v>19107</v>
      </c>
      <c r="O550" s="31">
        <v>2488</v>
      </c>
      <c r="P550" s="31">
        <v>0</v>
      </c>
      <c r="Q550" s="31">
        <v>21595</v>
      </c>
      <c r="R550" s="45">
        <f t="shared" si="222"/>
        <v>2.256059339740911</v>
      </c>
      <c r="S550" s="31">
        <v>33371</v>
      </c>
      <c r="T550" s="31">
        <v>129528</v>
      </c>
      <c r="U550" s="31">
        <v>0</v>
      </c>
      <c r="V550" s="31">
        <v>129528</v>
      </c>
      <c r="W550" s="45">
        <f t="shared" si="223"/>
        <v>13.531968240702048</v>
      </c>
      <c r="X550" s="4">
        <f t="shared" si="224"/>
        <v>0.57564387622753377</v>
      </c>
      <c r="Y550" s="4">
        <f t="shared" si="225"/>
        <v>0.16672070903588412</v>
      </c>
      <c r="Z550" s="4">
        <f t="shared" si="226"/>
        <v>0.25763541473658202</v>
      </c>
      <c r="AA550" s="4">
        <f t="shared" si="227"/>
        <v>0</v>
      </c>
      <c r="AB550" s="31">
        <v>0</v>
      </c>
      <c r="AC550" s="31">
        <v>21595</v>
      </c>
      <c r="AD550" s="31">
        <v>129528</v>
      </c>
      <c r="AE550" s="31">
        <v>129528</v>
      </c>
      <c r="AF550" s="31">
        <v>109309</v>
      </c>
      <c r="AG550" s="31">
        <v>2000</v>
      </c>
      <c r="AH550" s="31">
        <v>0</v>
      </c>
      <c r="AI550" s="31">
        <v>111309</v>
      </c>
      <c r="AJ550" s="45">
        <f t="shared" si="228"/>
        <v>11.628604262432093</v>
      </c>
      <c r="AK550" s="31">
        <v>0</v>
      </c>
      <c r="AL550" s="31">
        <v>0</v>
      </c>
      <c r="AM550" s="31">
        <v>0</v>
      </c>
      <c r="AN550" s="31">
        <v>0</v>
      </c>
      <c r="AO550" s="31">
        <v>0</v>
      </c>
      <c r="AP550" s="31">
        <v>18219</v>
      </c>
      <c r="AQ550" s="31">
        <v>18219</v>
      </c>
      <c r="AR550" s="31">
        <v>129528</v>
      </c>
      <c r="AS550" s="46">
        <f t="shared" si="229"/>
        <v>13.531968240702048</v>
      </c>
      <c r="AT550" s="31">
        <v>0</v>
      </c>
      <c r="AU550" s="31">
        <v>0</v>
      </c>
      <c r="AV550" s="31">
        <v>0</v>
      </c>
      <c r="AW550" s="31">
        <v>0</v>
      </c>
      <c r="AX550" s="31">
        <v>0</v>
      </c>
      <c r="AY550" s="31">
        <v>0</v>
      </c>
      <c r="AZ550" s="31">
        <v>0</v>
      </c>
      <c r="BA550" s="31">
        <v>0</v>
      </c>
      <c r="BB550" s="31">
        <v>0</v>
      </c>
      <c r="BC550" s="33" t="s">
        <v>25</v>
      </c>
      <c r="BD550" s="47">
        <v>36789</v>
      </c>
      <c r="BE550" s="47">
        <v>36964</v>
      </c>
      <c r="BF550" s="45">
        <f t="shared" si="230"/>
        <v>3.8616798997074802</v>
      </c>
      <c r="BG550" s="30">
        <v>1500</v>
      </c>
      <c r="BH550" s="30">
        <v>1515</v>
      </c>
      <c r="BI550" s="30">
        <v>0</v>
      </c>
      <c r="BJ550" s="30">
        <v>3749</v>
      </c>
      <c r="BK550" s="30">
        <v>3761</v>
      </c>
      <c r="BL550" s="30">
        <v>0</v>
      </c>
      <c r="BM550" s="30">
        <v>0</v>
      </c>
      <c r="BN550" s="30">
        <v>0</v>
      </c>
      <c r="BO550" s="30">
        <v>51</v>
      </c>
      <c r="BP550" s="30">
        <v>0</v>
      </c>
      <c r="BQ550" s="30">
        <v>51</v>
      </c>
      <c r="BR550" s="47">
        <v>42038</v>
      </c>
      <c r="BS550" s="47">
        <v>42240</v>
      </c>
      <c r="BT550" s="1">
        <f t="shared" si="231"/>
        <v>4.4128708733806938</v>
      </c>
      <c r="BU550" s="30">
        <v>56</v>
      </c>
      <c r="BV550" s="30">
        <v>0</v>
      </c>
      <c r="BW550" s="47">
        <v>6148</v>
      </c>
      <c r="BX550" s="52">
        <f t="shared" si="232"/>
        <v>0.64229001253656504</v>
      </c>
      <c r="BY550" s="47">
        <v>11324</v>
      </c>
      <c r="BZ550" s="47">
        <v>0</v>
      </c>
      <c r="CA550" s="47">
        <v>43201</v>
      </c>
      <c r="CB550" s="47">
        <v>0</v>
      </c>
      <c r="CC550" s="47">
        <v>54525</v>
      </c>
      <c r="CD550" s="55">
        <f t="shared" si="233"/>
        <v>5.6963017133305476</v>
      </c>
      <c r="CE550" s="3">
        <f t="shared" si="234"/>
        <v>27262.5</v>
      </c>
      <c r="CF550" s="55">
        <f t="shared" si="235"/>
        <v>27.413273001508294</v>
      </c>
      <c r="CG550" s="55">
        <f t="shared" si="236"/>
        <v>0.77898421315808275</v>
      </c>
      <c r="CH550" s="55">
        <f t="shared" si="237"/>
        <v>1.2908380681818181</v>
      </c>
      <c r="CI550" s="30">
        <v>47</v>
      </c>
      <c r="CJ550" s="30">
        <v>0</v>
      </c>
      <c r="CK550" s="30">
        <v>56</v>
      </c>
      <c r="CL550" s="30">
        <v>103</v>
      </c>
      <c r="CM550" s="30">
        <v>720</v>
      </c>
      <c r="CN550" s="30">
        <v>0</v>
      </c>
      <c r="CO550" s="30">
        <v>692</v>
      </c>
      <c r="CP550" s="30">
        <v>1412</v>
      </c>
      <c r="CQ550" s="1">
        <f t="shared" si="245"/>
        <v>0.14751358127872963</v>
      </c>
      <c r="CR550" s="47">
        <v>69995</v>
      </c>
      <c r="CS550" s="55">
        <f t="shared" si="238"/>
        <v>7.3124738821562891</v>
      </c>
      <c r="CT550" s="59">
        <v>8210</v>
      </c>
      <c r="CU550" s="29" t="s">
        <v>25</v>
      </c>
      <c r="CV550" s="29" t="s">
        <v>25</v>
      </c>
      <c r="CW550" s="29" t="s">
        <v>25</v>
      </c>
      <c r="CX550" s="35">
        <v>0</v>
      </c>
      <c r="CY550" s="49">
        <v>0</v>
      </c>
      <c r="CZ550" s="35">
        <v>1</v>
      </c>
      <c r="DA550" s="35">
        <v>1</v>
      </c>
      <c r="DB550" s="35">
        <v>2</v>
      </c>
      <c r="DC550" s="49">
        <f t="shared" si="239"/>
        <v>4786</v>
      </c>
      <c r="DD550" s="30">
        <v>3100</v>
      </c>
      <c r="DE550" s="31">
        <v>32766</v>
      </c>
      <c r="DF550" s="35">
        <v>40</v>
      </c>
      <c r="DG550" s="29" t="s">
        <v>25</v>
      </c>
      <c r="DH550" s="29" t="s">
        <v>25</v>
      </c>
      <c r="DI550" s="29" t="s">
        <v>25</v>
      </c>
      <c r="DJ550" s="47">
        <v>1410</v>
      </c>
      <c r="DK550" s="47">
        <v>187</v>
      </c>
      <c r="DL550" s="47">
        <v>20</v>
      </c>
      <c r="DM550" s="47">
        <v>5672</v>
      </c>
      <c r="DN550" s="47">
        <v>620</v>
      </c>
      <c r="DO550" s="47">
        <v>0</v>
      </c>
      <c r="DP550" s="29" t="s">
        <v>2028</v>
      </c>
      <c r="DQ550" s="47">
        <v>0</v>
      </c>
      <c r="DR550" s="47">
        <v>1989</v>
      </c>
      <c r="DS550" s="30">
        <v>52</v>
      </c>
      <c r="DT550" s="30">
        <v>42</v>
      </c>
      <c r="DU550" s="30">
        <v>42</v>
      </c>
      <c r="DV550" s="30">
        <v>42</v>
      </c>
      <c r="DX550" s="2">
        <f t="shared" si="240"/>
        <v>1989</v>
      </c>
      <c r="DY550" s="33" t="s">
        <v>2182</v>
      </c>
      <c r="DZ550" s="33" t="s">
        <v>1445</v>
      </c>
      <c r="EA550" s="33" t="s">
        <v>2030</v>
      </c>
      <c r="EB550" s="33" t="s">
        <v>2027</v>
      </c>
      <c r="EC550" s="36">
        <v>454</v>
      </c>
      <c r="ED550" s="29" t="s">
        <v>1444</v>
      </c>
      <c r="EE550" s="29" t="s">
        <v>925</v>
      </c>
      <c r="EF550" s="37">
        <v>41548</v>
      </c>
      <c r="EG550" s="37">
        <v>41912</v>
      </c>
      <c r="EH550" s="29" t="s">
        <v>1444</v>
      </c>
      <c r="EI550" s="55">
        <f t="shared" si="241"/>
        <v>1.1830338487254493</v>
      </c>
      <c r="EJ550" s="54">
        <f t="shared" si="242"/>
        <v>0</v>
      </c>
      <c r="EK550" s="55">
        <f t="shared" si="243"/>
        <v>4.5132678646050985</v>
      </c>
      <c r="EL550" s="54">
        <f t="shared" si="244"/>
        <v>0</v>
      </c>
    </row>
    <row r="551" spans="1:142" ht="28.8" x14ac:dyDescent="0.3">
      <c r="A551" s="29" t="s">
        <v>1357</v>
      </c>
      <c r="B551" s="29"/>
      <c r="C551" s="30">
        <v>4944</v>
      </c>
      <c r="D551" s="30">
        <v>0</v>
      </c>
      <c r="E551" s="30">
        <v>0</v>
      </c>
      <c r="F551" s="30">
        <v>3900</v>
      </c>
      <c r="H551" s="2">
        <f t="shared" si="219"/>
        <v>3900</v>
      </c>
      <c r="I551" s="1">
        <f t="shared" si="220"/>
        <v>0.78883495145631066</v>
      </c>
      <c r="J551" s="31">
        <v>11918</v>
      </c>
      <c r="K551" s="31">
        <v>2594</v>
      </c>
      <c r="L551" s="31">
        <v>14512</v>
      </c>
      <c r="M551" s="45">
        <f t="shared" si="221"/>
        <v>2.9352750809061487</v>
      </c>
      <c r="N551" s="31">
        <v>1690</v>
      </c>
      <c r="O551" s="31">
        <v>0</v>
      </c>
      <c r="P551" s="31">
        <v>984</v>
      </c>
      <c r="Q551" s="31">
        <v>2674</v>
      </c>
      <c r="R551" s="45">
        <f t="shared" si="222"/>
        <v>0.54085760517799353</v>
      </c>
      <c r="S551" s="31">
        <v>15101</v>
      </c>
      <c r="T551" s="31">
        <v>32287</v>
      </c>
      <c r="U551" s="31">
        <v>0</v>
      </c>
      <c r="V551" s="31">
        <v>32287</v>
      </c>
      <c r="W551" s="45">
        <f t="shared" si="223"/>
        <v>6.5305420711974111</v>
      </c>
      <c r="X551" s="4">
        <f t="shared" si="224"/>
        <v>0.44946882646266301</v>
      </c>
      <c r="Y551" s="4">
        <f t="shared" si="225"/>
        <v>8.2819710719484615E-2</v>
      </c>
      <c r="Z551" s="4">
        <f t="shared" si="226"/>
        <v>0.46771146281785236</v>
      </c>
      <c r="AA551" s="4">
        <f t="shared" si="227"/>
        <v>0</v>
      </c>
      <c r="AB551" s="31">
        <v>0</v>
      </c>
      <c r="AC551" s="31">
        <v>2674</v>
      </c>
      <c r="AD551" s="31">
        <v>32286</v>
      </c>
      <c r="AE551" s="31">
        <v>10060</v>
      </c>
      <c r="AF551" s="31">
        <v>3600</v>
      </c>
      <c r="AG551" s="31">
        <v>3150</v>
      </c>
      <c r="AH551" s="31">
        <v>3310</v>
      </c>
      <c r="AI551" s="31">
        <v>10060</v>
      </c>
      <c r="AJ551" s="45">
        <f t="shared" si="228"/>
        <v>2.0347896440129452</v>
      </c>
      <c r="AK551" s="31">
        <v>0</v>
      </c>
      <c r="AL551" s="31">
        <v>0</v>
      </c>
      <c r="AM551" s="31">
        <v>0</v>
      </c>
      <c r="AN551" s="31">
        <v>0</v>
      </c>
      <c r="AO551" s="31">
        <v>0</v>
      </c>
      <c r="AP551" s="31">
        <v>12878</v>
      </c>
      <c r="AQ551" s="31">
        <v>12878</v>
      </c>
      <c r="AR551" s="31">
        <v>22938</v>
      </c>
      <c r="AS551" s="46">
        <f t="shared" si="229"/>
        <v>4.6395631067961167</v>
      </c>
      <c r="AT551" s="31">
        <v>0</v>
      </c>
      <c r="AU551" s="31">
        <v>0</v>
      </c>
      <c r="AV551" s="31">
        <v>0</v>
      </c>
      <c r="AW551" s="31">
        <v>0</v>
      </c>
      <c r="AX551" s="31">
        <v>0</v>
      </c>
      <c r="AY551" s="31">
        <v>0</v>
      </c>
      <c r="AZ551" s="31">
        <v>0</v>
      </c>
      <c r="BA551" s="31">
        <v>0</v>
      </c>
      <c r="BB551" s="31">
        <v>0</v>
      </c>
      <c r="BC551" s="33" t="s">
        <v>25</v>
      </c>
      <c r="BD551" s="47">
        <v>12797</v>
      </c>
      <c r="BE551" s="47">
        <v>13785</v>
      </c>
      <c r="BF551" s="45">
        <f t="shared" si="230"/>
        <v>2.7882281553398056</v>
      </c>
      <c r="BG551" s="30">
        <v>438</v>
      </c>
      <c r="BH551" s="30">
        <v>438</v>
      </c>
      <c r="BI551" s="30">
        <v>0</v>
      </c>
      <c r="BJ551" s="30">
        <v>75</v>
      </c>
      <c r="BK551" s="30">
        <v>97</v>
      </c>
      <c r="BL551" s="30">
        <v>0</v>
      </c>
      <c r="BM551" s="30">
        <v>0</v>
      </c>
      <c r="BN551" s="30">
        <v>0</v>
      </c>
      <c r="BO551" s="30">
        <v>51</v>
      </c>
      <c r="BP551" s="30">
        <v>0</v>
      </c>
      <c r="BQ551" s="30">
        <v>51</v>
      </c>
      <c r="BR551" s="47">
        <v>13310</v>
      </c>
      <c r="BS551" s="47">
        <v>14320</v>
      </c>
      <c r="BT551" s="1">
        <f t="shared" si="231"/>
        <v>2.8964401294498381</v>
      </c>
      <c r="BU551" s="30">
        <v>15</v>
      </c>
      <c r="BV551" s="30">
        <v>0</v>
      </c>
      <c r="BW551" s="47">
        <v>996</v>
      </c>
      <c r="BX551" s="52">
        <f t="shared" si="232"/>
        <v>0.20145631067961164</v>
      </c>
      <c r="BY551" s="47">
        <v>589</v>
      </c>
      <c r="BZ551" s="47">
        <v>0</v>
      </c>
      <c r="CA551" s="47">
        <v>1585</v>
      </c>
      <c r="CB551" s="47">
        <v>0</v>
      </c>
      <c r="CC551" s="47">
        <v>2174</v>
      </c>
      <c r="CD551" s="55">
        <f t="shared" si="233"/>
        <v>0.43972491909385114</v>
      </c>
      <c r="CE551" s="3">
        <f t="shared" si="234"/>
        <v>3105.7142857142858</v>
      </c>
      <c r="CF551" s="55">
        <f t="shared" si="235"/>
        <v>2.0863723608445297</v>
      </c>
      <c r="CG551" s="55">
        <f t="shared" si="236"/>
        <v>0.30350411838615104</v>
      </c>
      <c r="CH551" s="55">
        <f t="shared" si="237"/>
        <v>0.15181564245810056</v>
      </c>
      <c r="CI551" s="30">
        <v>11</v>
      </c>
      <c r="CJ551" s="30">
        <v>0</v>
      </c>
      <c r="CK551" s="30">
        <v>1</v>
      </c>
      <c r="CL551" s="30">
        <v>12</v>
      </c>
      <c r="CM551" s="30">
        <v>134</v>
      </c>
      <c r="CN551" s="30">
        <v>0</v>
      </c>
      <c r="CO551" s="30">
        <v>12</v>
      </c>
      <c r="CP551" s="30">
        <v>146</v>
      </c>
      <c r="CQ551" s="1">
        <f t="shared" si="245"/>
        <v>2.9530744336569579E-2</v>
      </c>
      <c r="CR551" s="47">
        <v>7163</v>
      </c>
      <c r="CS551" s="55">
        <f t="shared" si="238"/>
        <v>1.4488268608414239</v>
      </c>
      <c r="CT551" s="59">
        <v>1872</v>
      </c>
      <c r="CU551" s="29" t="s">
        <v>25</v>
      </c>
      <c r="CV551" s="29" t="s">
        <v>25</v>
      </c>
      <c r="CW551" s="29" t="s">
        <v>25</v>
      </c>
      <c r="CX551" s="35">
        <v>0</v>
      </c>
      <c r="CY551" s="49">
        <v>0</v>
      </c>
      <c r="CZ551" s="35">
        <v>0.5</v>
      </c>
      <c r="DA551" s="35">
        <v>0.2</v>
      </c>
      <c r="DB551" s="35">
        <v>0.7</v>
      </c>
      <c r="DC551" s="49">
        <f t="shared" si="239"/>
        <v>7062.8571428571431</v>
      </c>
      <c r="DD551" s="30">
        <v>18</v>
      </c>
      <c r="DE551" s="31">
        <v>9918</v>
      </c>
      <c r="DF551" s="35">
        <v>20</v>
      </c>
      <c r="DG551" s="29" t="s">
        <v>25</v>
      </c>
      <c r="DH551" s="29" t="s">
        <v>25</v>
      </c>
      <c r="DI551" s="29" t="s">
        <v>25</v>
      </c>
      <c r="DJ551" s="47">
        <v>0</v>
      </c>
      <c r="DK551" s="47">
        <v>0</v>
      </c>
      <c r="DL551" s="47">
        <v>6</v>
      </c>
      <c r="DM551" s="47">
        <v>837</v>
      </c>
      <c r="DN551" s="47">
        <v>0</v>
      </c>
      <c r="DO551" s="47">
        <v>143</v>
      </c>
      <c r="DP551" s="29" t="s">
        <v>2028</v>
      </c>
      <c r="DQ551" s="47">
        <v>0</v>
      </c>
      <c r="DR551" s="47">
        <v>1042</v>
      </c>
      <c r="DS551" s="30">
        <v>52</v>
      </c>
      <c r="DT551" s="30">
        <v>26</v>
      </c>
      <c r="DU551" s="30">
        <v>26</v>
      </c>
      <c r="DV551" s="30">
        <v>26</v>
      </c>
      <c r="DX551" s="2">
        <f t="shared" si="240"/>
        <v>1042</v>
      </c>
      <c r="DY551" s="33" t="s">
        <v>2179</v>
      </c>
      <c r="DZ551" s="33" t="s">
        <v>1359</v>
      </c>
      <c r="EA551" s="33" t="s">
        <v>2032</v>
      </c>
      <c r="EB551" s="33" t="s">
        <v>2027</v>
      </c>
      <c r="EC551" s="36">
        <v>415</v>
      </c>
      <c r="ED551" s="29" t="s">
        <v>1358</v>
      </c>
      <c r="EE551" s="29" t="s">
        <v>122</v>
      </c>
      <c r="EF551" s="37">
        <v>41640</v>
      </c>
      <c r="EG551" s="37">
        <v>42004</v>
      </c>
      <c r="EH551" s="29" t="s">
        <v>1358</v>
      </c>
      <c r="EI551" s="55">
        <f t="shared" si="241"/>
        <v>0.11913430420711973</v>
      </c>
      <c r="EJ551" s="54">
        <f t="shared" si="242"/>
        <v>0</v>
      </c>
      <c r="EK551" s="55">
        <f t="shared" si="243"/>
        <v>0.32059061488673141</v>
      </c>
      <c r="EL551" s="54">
        <f t="shared" si="244"/>
        <v>0</v>
      </c>
    </row>
    <row r="552" spans="1:142" ht="28.8" x14ac:dyDescent="0.3">
      <c r="A552" s="29" t="s">
        <v>1361</v>
      </c>
      <c r="B552" s="29"/>
      <c r="C552" s="30">
        <v>3215</v>
      </c>
      <c r="D552" s="30">
        <v>0</v>
      </c>
      <c r="E552" s="30">
        <v>0</v>
      </c>
      <c r="F552" s="30">
        <v>1656</v>
      </c>
      <c r="H552" s="2">
        <f t="shared" si="219"/>
        <v>1656</v>
      </c>
      <c r="I552" s="1">
        <f t="shared" si="220"/>
        <v>0.51508553654743394</v>
      </c>
      <c r="J552" s="31">
        <v>14762</v>
      </c>
      <c r="K552" s="31">
        <v>1295</v>
      </c>
      <c r="L552" s="31">
        <v>16057</v>
      </c>
      <c r="M552" s="45">
        <f t="shared" si="221"/>
        <v>4.994401244167963</v>
      </c>
      <c r="N552" s="31">
        <v>2404</v>
      </c>
      <c r="O552" s="31">
        <v>0</v>
      </c>
      <c r="P552" s="31">
        <v>0</v>
      </c>
      <c r="Q552" s="31">
        <v>2404</v>
      </c>
      <c r="R552" s="45">
        <f t="shared" si="222"/>
        <v>0.74774494556765159</v>
      </c>
      <c r="S552" s="31">
        <v>16491</v>
      </c>
      <c r="T552" s="31">
        <v>34952</v>
      </c>
      <c r="U552" s="31">
        <v>0</v>
      </c>
      <c r="V552" s="31">
        <v>34952</v>
      </c>
      <c r="W552" s="45">
        <f t="shared" si="223"/>
        <v>10.871539657853811</v>
      </c>
      <c r="X552" s="4">
        <f t="shared" si="224"/>
        <v>0.45940146486610206</v>
      </c>
      <c r="Y552" s="4">
        <f t="shared" si="225"/>
        <v>6.8780041199359127E-2</v>
      </c>
      <c r="Z552" s="4">
        <f t="shared" si="226"/>
        <v>0.47181849393453879</v>
      </c>
      <c r="AA552" s="4">
        <f t="shared" si="227"/>
        <v>0</v>
      </c>
      <c r="AB552" s="31">
        <v>0</v>
      </c>
      <c r="AC552" s="31">
        <v>2404</v>
      </c>
      <c r="AD552" s="31">
        <v>30012</v>
      </c>
      <c r="AE552" s="31">
        <v>14000</v>
      </c>
      <c r="AF552" s="31">
        <v>10000</v>
      </c>
      <c r="AG552" s="31">
        <v>4000</v>
      </c>
      <c r="AH552" s="31">
        <v>0</v>
      </c>
      <c r="AI552" s="31">
        <v>14000</v>
      </c>
      <c r="AJ552" s="45">
        <f t="shared" si="228"/>
        <v>4.3545878693623639</v>
      </c>
      <c r="AK552" s="31">
        <v>0</v>
      </c>
      <c r="AL552" s="31">
        <v>0</v>
      </c>
      <c r="AM552" s="31">
        <v>0</v>
      </c>
      <c r="AN552" s="31">
        <v>0</v>
      </c>
      <c r="AO552" s="31">
        <v>0</v>
      </c>
      <c r="AP552" s="31">
        <v>19511</v>
      </c>
      <c r="AQ552" s="31">
        <v>19511</v>
      </c>
      <c r="AR552" s="31">
        <v>33511</v>
      </c>
      <c r="AS552" s="46">
        <f t="shared" si="229"/>
        <v>10.423328149300156</v>
      </c>
      <c r="AT552" s="31">
        <v>0</v>
      </c>
      <c r="AU552" s="31">
        <v>0</v>
      </c>
      <c r="AV552" s="31">
        <v>0</v>
      </c>
      <c r="AW552" s="31">
        <v>0</v>
      </c>
      <c r="AX552" s="31">
        <v>0</v>
      </c>
      <c r="AY552" s="31">
        <v>0</v>
      </c>
      <c r="AZ552" s="31">
        <v>0</v>
      </c>
      <c r="BA552" s="31">
        <v>0</v>
      </c>
      <c r="BB552" s="31">
        <v>0</v>
      </c>
      <c r="BC552" s="33" t="s">
        <v>25</v>
      </c>
      <c r="BD552" s="47">
        <v>18655</v>
      </c>
      <c r="BE552" s="47">
        <v>18721</v>
      </c>
      <c r="BF552" s="45">
        <f t="shared" si="230"/>
        <v>5.8230171073094867</v>
      </c>
      <c r="BG552" s="30">
        <v>973</v>
      </c>
      <c r="BH552" s="30">
        <v>988</v>
      </c>
      <c r="BI552" s="30">
        <v>0</v>
      </c>
      <c r="BJ552" s="30">
        <v>1706</v>
      </c>
      <c r="BK552" s="30">
        <v>1720</v>
      </c>
      <c r="BL552" s="30">
        <v>0</v>
      </c>
      <c r="BM552" s="30">
        <v>0</v>
      </c>
      <c r="BN552" s="30">
        <v>0</v>
      </c>
      <c r="BO552" s="30">
        <v>0</v>
      </c>
      <c r="BP552" s="30">
        <v>0</v>
      </c>
      <c r="BQ552" s="30">
        <v>0</v>
      </c>
      <c r="BR552" s="47">
        <v>21334</v>
      </c>
      <c r="BS552" s="47">
        <v>21429</v>
      </c>
      <c r="BT552" s="1">
        <f t="shared" si="231"/>
        <v>6.6653188180404355</v>
      </c>
      <c r="BU552" s="30">
        <v>4</v>
      </c>
      <c r="BV552" s="30">
        <v>0</v>
      </c>
      <c r="BW552" s="47">
        <v>253</v>
      </c>
      <c r="BX552" s="52">
        <f t="shared" si="232"/>
        <v>7.8693623639191287E-2</v>
      </c>
      <c r="BY552" s="47">
        <v>1142</v>
      </c>
      <c r="BZ552" s="47">
        <v>0</v>
      </c>
      <c r="CA552" s="47">
        <v>3906</v>
      </c>
      <c r="CB552" s="47">
        <v>0</v>
      </c>
      <c r="CC552" s="47">
        <v>5048</v>
      </c>
      <c r="CD552" s="55">
        <f t="shared" si="233"/>
        <v>1.5701399688958009</v>
      </c>
      <c r="CE552" s="3">
        <f t="shared" si="234"/>
        <v>6620.3278688524597</v>
      </c>
      <c r="CF552" s="55">
        <f t="shared" si="235"/>
        <v>3.0245656081485919</v>
      </c>
      <c r="CG552" s="55">
        <f t="shared" si="236"/>
        <v>0.89077113110993467</v>
      </c>
      <c r="CH552" s="55">
        <f t="shared" si="237"/>
        <v>0.23556862196089412</v>
      </c>
      <c r="CI552" s="30">
        <v>30</v>
      </c>
      <c r="CJ552" s="30">
        <v>10</v>
      </c>
      <c r="CK552" s="30">
        <v>9</v>
      </c>
      <c r="CL552" s="30">
        <v>49</v>
      </c>
      <c r="CM552" s="30">
        <v>358</v>
      </c>
      <c r="CN552" s="30">
        <v>30</v>
      </c>
      <c r="CO552" s="30">
        <v>430</v>
      </c>
      <c r="CP552" s="30">
        <v>818</v>
      </c>
      <c r="CQ552" s="1">
        <f t="shared" si="245"/>
        <v>0.25443234836702955</v>
      </c>
      <c r="CR552" s="47">
        <v>5667</v>
      </c>
      <c r="CS552" s="55">
        <f t="shared" si="238"/>
        <v>1.7626749611197512</v>
      </c>
      <c r="CT552" s="59">
        <v>2829</v>
      </c>
      <c r="CU552" s="29" t="s">
        <v>25</v>
      </c>
      <c r="CV552" s="29" t="s">
        <v>25</v>
      </c>
      <c r="CW552" s="29" t="s">
        <v>25</v>
      </c>
      <c r="CX552" s="35">
        <v>0</v>
      </c>
      <c r="CY552" s="49">
        <v>0</v>
      </c>
      <c r="CZ552" s="35">
        <v>0.5</v>
      </c>
      <c r="DA552" s="35">
        <v>0.26250000000000001</v>
      </c>
      <c r="DB552" s="35">
        <v>0.76249999999999996</v>
      </c>
      <c r="DC552" s="49">
        <f t="shared" si="239"/>
        <v>4216.3934426229507</v>
      </c>
      <c r="DD552" s="30">
        <v>2088</v>
      </c>
      <c r="DE552" s="31">
        <v>10971</v>
      </c>
      <c r="DF552" s="35">
        <v>20</v>
      </c>
      <c r="DG552" s="29" t="s">
        <v>25</v>
      </c>
      <c r="DH552" s="29" t="s">
        <v>25</v>
      </c>
      <c r="DI552" s="29" t="s">
        <v>25</v>
      </c>
      <c r="DJ552" s="47">
        <v>1</v>
      </c>
      <c r="DK552" s="47">
        <v>26</v>
      </c>
      <c r="DL552" s="47">
        <v>10</v>
      </c>
      <c r="DM552" s="47">
        <v>2969</v>
      </c>
      <c r="DN552" s="47">
        <v>0</v>
      </c>
      <c r="DO552" s="47">
        <v>0</v>
      </c>
      <c r="DP552" s="29" t="s">
        <v>2028</v>
      </c>
      <c r="DQ552" s="47">
        <v>0</v>
      </c>
      <c r="DR552" s="47">
        <v>1669</v>
      </c>
      <c r="DS552" s="30">
        <v>52</v>
      </c>
      <c r="DT552" s="30">
        <v>34</v>
      </c>
      <c r="DU552" s="30">
        <v>34</v>
      </c>
      <c r="DV552" s="30">
        <v>34</v>
      </c>
      <c r="DX552" s="2">
        <f t="shared" si="240"/>
        <v>1669</v>
      </c>
      <c r="DY552" s="33" t="s">
        <v>2182</v>
      </c>
      <c r="DZ552" s="33" t="s">
        <v>1362</v>
      </c>
      <c r="EA552" s="33" t="s">
        <v>2032</v>
      </c>
      <c r="EB552" s="33" t="s">
        <v>2027</v>
      </c>
      <c r="EC552" s="36">
        <v>416</v>
      </c>
      <c r="ED552" s="29" t="s">
        <v>1360</v>
      </c>
      <c r="EE552" s="29" t="s">
        <v>341</v>
      </c>
      <c r="EF552" s="37">
        <v>41640</v>
      </c>
      <c r="EG552" s="37">
        <v>42004</v>
      </c>
      <c r="EH552" s="29" t="s">
        <v>1360</v>
      </c>
      <c r="EI552" s="55">
        <f t="shared" si="241"/>
        <v>0.35520995334370142</v>
      </c>
      <c r="EJ552" s="54">
        <f t="shared" si="242"/>
        <v>0</v>
      </c>
      <c r="EK552" s="55">
        <f t="shared" si="243"/>
        <v>1.2149300155520995</v>
      </c>
      <c r="EL552" s="54">
        <f t="shared" si="244"/>
        <v>0</v>
      </c>
    </row>
    <row r="553" spans="1:142" ht="28.8" x14ac:dyDescent="0.3">
      <c r="A553" s="29" t="s">
        <v>1522</v>
      </c>
      <c r="B553" s="29"/>
      <c r="C553" s="30">
        <v>4471</v>
      </c>
      <c r="D553" s="30">
        <v>0</v>
      </c>
      <c r="E553" s="30">
        <v>0</v>
      </c>
      <c r="F553" s="30">
        <v>6500</v>
      </c>
      <c r="H553" s="2">
        <f t="shared" si="219"/>
        <v>6500</v>
      </c>
      <c r="I553" s="1">
        <f t="shared" si="220"/>
        <v>1.4538134645493179</v>
      </c>
      <c r="J553" s="31">
        <v>61941</v>
      </c>
      <c r="K553" s="31">
        <v>13866</v>
      </c>
      <c r="L553" s="31">
        <v>75807</v>
      </c>
      <c r="M553" s="45">
        <f t="shared" si="221"/>
        <v>16.955267278013867</v>
      </c>
      <c r="N553" s="31">
        <v>5324</v>
      </c>
      <c r="O553" s="31">
        <v>3871</v>
      </c>
      <c r="P553" s="31">
        <v>0</v>
      </c>
      <c r="Q553" s="31">
        <v>9195</v>
      </c>
      <c r="R553" s="45">
        <f t="shared" si="222"/>
        <v>2.056586893312458</v>
      </c>
      <c r="S553" s="31">
        <v>56706</v>
      </c>
      <c r="T553" s="31">
        <v>141708</v>
      </c>
      <c r="U553" s="31">
        <v>0</v>
      </c>
      <c r="V553" s="31">
        <v>141708</v>
      </c>
      <c r="W553" s="45">
        <f t="shared" si="223"/>
        <v>31.694922836054573</v>
      </c>
      <c r="X553" s="4">
        <f t="shared" si="224"/>
        <v>0.53495215513591332</v>
      </c>
      <c r="Y553" s="4">
        <f t="shared" si="225"/>
        <v>6.4886950630874754E-2</v>
      </c>
      <c r="Z553" s="4">
        <f t="shared" si="226"/>
        <v>0.40016089423321194</v>
      </c>
      <c r="AA553" s="4">
        <f t="shared" si="227"/>
        <v>0</v>
      </c>
      <c r="AB553" s="31">
        <v>0</v>
      </c>
      <c r="AC553" s="31">
        <v>9195</v>
      </c>
      <c r="AD553" s="31">
        <v>141708</v>
      </c>
      <c r="AE553" s="31">
        <v>136620</v>
      </c>
      <c r="AF553" s="31">
        <v>129243</v>
      </c>
      <c r="AG553" s="31">
        <v>7377</v>
      </c>
      <c r="AH553" s="31">
        <v>0</v>
      </c>
      <c r="AI553" s="31">
        <v>136620</v>
      </c>
      <c r="AJ553" s="45">
        <f t="shared" si="228"/>
        <v>30.556922388727354</v>
      </c>
      <c r="AK553" s="31">
        <v>0</v>
      </c>
      <c r="AL553" s="31">
        <v>0</v>
      </c>
      <c r="AM553" s="31">
        <v>0</v>
      </c>
      <c r="AN553" s="31">
        <v>0</v>
      </c>
      <c r="AO553" s="31">
        <v>0</v>
      </c>
      <c r="AP553" s="31">
        <v>5088</v>
      </c>
      <c r="AQ553" s="31">
        <v>5088</v>
      </c>
      <c r="AR553" s="31">
        <v>141708</v>
      </c>
      <c r="AS553" s="46">
        <f t="shared" si="229"/>
        <v>31.694922836054573</v>
      </c>
      <c r="AT553" s="31">
        <v>0</v>
      </c>
      <c r="AU553" s="31">
        <v>0</v>
      </c>
      <c r="AV553" s="31">
        <v>0</v>
      </c>
      <c r="AW553" s="31">
        <v>0</v>
      </c>
      <c r="AX553" s="31">
        <v>0</v>
      </c>
      <c r="AY553" s="31">
        <v>0</v>
      </c>
      <c r="AZ553" s="31">
        <v>0</v>
      </c>
      <c r="BA553" s="31">
        <v>0</v>
      </c>
      <c r="BB553" s="31">
        <v>0</v>
      </c>
      <c r="BC553" s="33" t="s">
        <v>25</v>
      </c>
      <c r="BD553" s="47">
        <v>16133</v>
      </c>
      <c r="BE553" s="47">
        <v>16670</v>
      </c>
      <c r="BF553" s="45">
        <f t="shared" si="230"/>
        <v>3.7284723775441737</v>
      </c>
      <c r="BG553" s="30">
        <v>677</v>
      </c>
      <c r="BH553" s="30">
        <v>683</v>
      </c>
      <c r="BI553" s="30">
        <v>297</v>
      </c>
      <c r="BJ553" s="30">
        <v>619</v>
      </c>
      <c r="BK553" s="30">
        <v>630</v>
      </c>
      <c r="BL553" s="30">
        <v>0</v>
      </c>
      <c r="BM553" s="30">
        <v>25221</v>
      </c>
      <c r="BN553" s="30">
        <v>0</v>
      </c>
      <c r="BO553" s="30">
        <v>51</v>
      </c>
      <c r="BP553" s="30">
        <v>0</v>
      </c>
      <c r="BQ553" s="30">
        <v>51</v>
      </c>
      <c r="BR553" s="47">
        <v>17429</v>
      </c>
      <c r="BS553" s="47">
        <v>43501</v>
      </c>
      <c r="BT553" s="1">
        <f t="shared" si="231"/>
        <v>9.7295906955938261</v>
      </c>
      <c r="BU553" s="30">
        <v>7</v>
      </c>
      <c r="BV553" s="30">
        <v>0</v>
      </c>
      <c r="BW553" s="47">
        <v>5029</v>
      </c>
      <c r="BX553" s="52">
        <f t="shared" si="232"/>
        <v>1.1248042943413106</v>
      </c>
      <c r="BY553" s="47">
        <v>11344</v>
      </c>
      <c r="BZ553" s="47">
        <v>160</v>
      </c>
      <c r="CA553" s="47">
        <v>8177</v>
      </c>
      <c r="CB553" s="47">
        <v>863</v>
      </c>
      <c r="CC553" s="47">
        <v>20544</v>
      </c>
      <c r="CD553" s="55">
        <f t="shared" si="233"/>
        <v>4.594945202415567</v>
      </c>
      <c r="CE553" s="3">
        <f t="shared" si="234"/>
        <v>7826.2857142857147</v>
      </c>
      <c r="CF553" s="55">
        <f t="shared" si="235"/>
        <v>7.1631799163179917</v>
      </c>
      <c r="CG553" s="55">
        <f t="shared" si="236"/>
        <v>0.72619300106044538</v>
      </c>
      <c r="CH553" s="55">
        <f t="shared" si="237"/>
        <v>0.44874830463667503</v>
      </c>
      <c r="CI553" s="30">
        <v>80</v>
      </c>
      <c r="CJ553" s="30">
        <v>2</v>
      </c>
      <c r="CK553" s="30">
        <v>1</v>
      </c>
      <c r="CL553" s="30">
        <v>83</v>
      </c>
      <c r="CM553" s="30">
        <v>928</v>
      </c>
      <c r="CN553" s="30">
        <v>42</v>
      </c>
      <c r="CO553" s="30">
        <v>116</v>
      </c>
      <c r="CP553" s="30">
        <v>1086</v>
      </c>
      <c r="CQ553" s="1">
        <f t="shared" si="245"/>
        <v>0.24289868038470142</v>
      </c>
      <c r="CR553" s="47">
        <v>28290</v>
      </c>
      <c r="CS553" s="55">
        <f t="shared" si="238"/>
        <v>6.3274435249384924</v>
      </c>
      <c r="CT553" s="59">
        <v>4869</v>
      </c>
      <c r="CU553" s="29" t="s">
        <v>25</v>
      </c>
      <c r="CV553" s="29" t="s">
        <v>25</v>
      </c>
      <c r="CW553" s="29" t="s">
        <v>25</v>
      </c>
      <c r="CX553" s="35">
        <v>0</v>
      </c>
      <c r="CY553" s="49">
        <v>0</v>
      </c>
      <c r="CZ553" s="35">
        <v>1</v>
      </c>
      <c r="DA553" s="35">
        <v>1.625</v>
      </c>
      <c r="DB553" s="35">
        <v>2.625</v>
      </c>
      <c r="DC553" s="49">
        <f t="shared" si="239"/>
        <v>1703.2380952380952</v>
      </c>
      <c r="DD553" s="30">
        <v>721</v>
      </c>
      <c r="DE553" s="31">
        <v>33200</v>
      </c>
      <c r="DF553" s="35">
        <v>40</v>
      </c>
      <c r="DG553" s="29" t="s">
        <v>25</v>
      </c>
      <c r="DH553" s="29" t="s">
        <v>25</v>
      </c>
      <c r="DI553" s="29" t="s">
        <v>25</v>
      </c>
      <c r="DJ553" s="47">
        <v>5</v>
      </c>
      <c r="DK553" s="47">
        <v>3</v>
      </c>
      <c r="DL553" s="47">
        <v>17</v>
      </c>
      <c r="DM553" s="47">
        <v>7161</v>
      </c>
      <c r="DN553" s="47">
        <v>563</v>
      </c>
      <c r="DO553" s="47">
        <v>0</v>
      </c>
      <c r="DP553" s="29" t="s">
        <v>2028</v>
      </c>
      <c r="DQ553" s="47">
        <v>0</v>
      </c>
      <c r="DR553" s="47">
        <v>2868</v>
      </c>
      <c r="DS553" s="30">
        <v>52</v>
      </c>
      <c r="DT553" s="30">
        <v>59</v>
      </c>
      <c r="DU553" s="30">
        <v>59</v>
      </c>
      <c r="DV553" s="30">
        <v>59</v>
      </c>
      <c r="DX553" s="2">
        <f t="shared" si="240"/>
        <v>2868</v>
      </c>
      <c r="DY553" s="33" t="s">
        <v>2178</v>
      </c>
      <c r="DZ553" s="33" t="s">
        <v>1524</v>
      </c>
      <c r="EA553" s="33" t="s">
        <v>2030</v>
      </c>
      <c r="EB553" s="33" t="s">
        <v>2027</v>
      </c>
      <c r="EC553" s="36">
        <v>490</v>
      </c>
      <c r="ED553" s="29" t="s">
        <v>1523</v>
      </c>
      <c r="EE553" s="29" t="s">
        <v>844</v>
      </c>
      <c r="EF553" s="37">
        <v>41548</v>
      </c>
      <c r="EG553" s="37">
        <v>41912</v>
      </c>
      <c r="EH553" s="29" t="s">
        <v>1523</v>
      </c>
      <c r="EI553" s="55">
        <f t="shared" si="241"/>
        <v>2.5372399910534558</v>
      </c>
      <c r="EJ553" s="54">
        <f t="shared" si="242"/>
        <v>3.5786177588906287E-2</v>
      </c>
      <c r="EK553" s="55">
        <f t="shared" si="243"/>
        <v>1.8288973384030418</v>
      </c>
      <c r="EL553" s="54">
        <f t="shared" si="244"/>
        <v>0.19302169537016328</v>
      </c>
    </row>
    <row r="554" spans="1:142" ht="43.2" x14ac:dyDescent="0.3">
      <c r="A554" s="29" t="s">
        <v>1363</v>
      </c>
      <c r="B554" s="29"/>
      <c r="C554" s="30">
        <v>21464</v>
      </c>
      <c r="D554" s="30">
        <v>0</v>
      </c>
      <c r="E554" s="30">
        <v>0</v>
      </c>
      <c r="F554" s="30">
        <v>5502</v>
      </c>
      <c r="H554" s="2">
        <f t="shared" si="219"/>
        <v>5502</v>
      </c>
      <c r="I554" s="1">
        <f t="shared" si="220"/>
        <v>0.25633619083115916</v>
      </c>
      <c r="J554" s="31">
        <v>113600</v>
      </c>
      <c r="K554" s="31">
        <v>9100</v>
      </c>
      <c r="L554" s="31">
        <v>122700</v>
      </c>
      <c r="M554" s="45">
        <f t="shared" si="221"/>
        <v>5.7165486395825571</v>
      </c>
      <c r="N554" s="31">
        <v>16500</v>
      </c>
      <c r="O554" s="31">
        <v>4000</v>
      </c>
      <c r="P554" s="31">
        <v>4000</v>
      </c>
      <c r="Q554" s="31">
        <v>24500</v>
      </c>
      <c r="R554" s="45">
        <f t="shared" si="222"/>
        <v>1.1414461423779352</v>
      </c>
      <c r="S554" s="31">
        <v>33800</v>
      </c>
      <c r="T554" s="31">
        <v>181000</v>
      </c>
      <c r="U554" s="31">
        <v>0</v>
      </c>
      <c r="V554" s="31">
        <v>181000</v>
      </c>
      <c r="W554" s="45">
        <f t="shared" si="223"/>
        <v>8.4327245620573983</v>
      </c>
      <c r="X554" s="4">
        <f t="shared" si="224"/>
        <v>0.67790055248618786</v>
      </c>
      <c r="Y554" s="4">
        <f t="shared" si="225"/>
        <v>0.13535911602209943</v>
      </c>
      <c r="Z554" s="4">
        <f t="shared" si="226"/>
        <v>0.18674033149171271</v>
      </c>
      <c r="AA554" s="4">
        <f t="shared" si="227"/>
        <v>0</v>
      </c>
      <c r="AB554" s="31">
        <v>0</v>
      </c>
      <c r="AC554" s="31">
        <v>24500</v>
      </c>
      <c r="AD554" s="31">
        <v>181000</v>
      </c>
      <c r="AE554" s="31">
        <v>181000</v>
      </c>
      <c r="AF554" s="31">
        <v>20100</v>
      </c>
      <c r="AG554" s="31">
        <v>121142</v>
      </c>
      <c r="AH554" s="31">
        <v>27850</v>
      </c>
      <c r="AI554" s="31">
        <v>169092</v>
      </c>
      <c r="AJ554" s="45">
        <f t="shared" si="228"/>
        <v>7.8779351472232575</v>
      </c>
      <c r="AK554" s="31">
        <v>0</v>
      </c>
      <c r="AL554" s="31">
        <v>0</v>
      </c>
      <c r="AM554" s="31">
        <v>0</v>
      </c>
      <c r="AN554" s="31">
        <v>0</v>
      </c>
      <c r="AO554" s="31">
        <v>0</v>
      </c>
      <c r="AP554" s="31">
        <v>15350</v>
      </c>
      <c r="AQ554" s="31">
        <v>15350</v>
      </c>
      <c r="AR554" s="31">
        <v>184442</v>
      </c>
      <c r="AS554" s="46">
        <f t="shared" si="229"/>
        <v>8.5930860976518826</v>
      </c>
      <c r="AT554" s="31">
        <v>0</v>
      </c>
      <c r="AU554" s="31">
        <v>0</v>
      </c>
      <c r="AV554" s="31">
        <v>0</v>
      </c>
      <c r="AW554" s="31">
        <v>0</v>
      </c>
      <c r="AX554" s="31">
        <v>0</v>
      </c>
      <c r="AY554" s="31">
        <v>0</v>
      </c>
      <c r="AZ554" s="31">
        <v>0</v>
      </c>
      <c r="BA554" s="31">
        <v>0</v>
      </c>
      <c r="BB554" s="31">
        <v>0</v>
      </c>
      <c r="BC554" s="33" t="s">
        <v>25</v>
      </c>
      <c r="BD554" s="47">
        <v>40842</v>
      </c>
      <c r="BE554" s="47">
        <v>41621</v>
      </c>
      <c r="BF554" s="45">
        <f t="shared" si="230"/>
        <v>1.939107342527022</v>
      </c>
      <c r="BG554" s="30">
        <v>1420</v>
      </c>
      <c r="BH554" s="30">
        <v>1421</v>
      </c>
      <c r="BI554" s="30">
        <v>0</v>
      </c>
      <c r="BJ554" s="30">
        <v>1210</v>
      </c>
      <c r="BK554" s="30">
        <v>1266</v>
      </c>
      <c r="BL554" s="30">
        <v>0</v>
      </c>
      <c r="BM554" s="30">
        <v>0</v>
      </c>
      <c r="BN554" s="30">
        <v>5</v>
      </c>
      <c r="BO554" s="30">
        <v>0</v>
      </c>
      <c r="BP554" s="30">
        <v>0</v>
      </c>
      <c r="BQ554" s="30">
        <v>5</v>
      </c>
      <c r="BR554" s="47">
        <v>43472</v>
      </c>
      <c r="BS554" s="47">
        <v>44313</v>
      </c>
      <c r="BT554" s="1">
        <f t="shared" si="231"/>
        <v>2.0645266492732017</v>
      </c>
      <c r="BU554" s="30">
        <v>75</v>
      </c>
      <c r="BV554" s="30">
        <v>0</v>
      </c>
      <c r="BW554" s="47">
        <v>8430</v>
      </c>
      <c r="BX554" s="52">
        <f t="shared" si="232"/>
        <v>0.39275065225493849</v>
      </c>
      <c r="BY554" s="47">
        <v>7920</v>
      </c>
      <c r="BZ554" s="47">
        <v>0</v>
      </c>
      <c r="CA554" s="47">
        <v>20970</v>
      </c>
      <c r="CB554" s="47">
        <v>0</v>
      </c>
      <c r="CC554" s="47">
        <v>28890</v>
      </c>
      <c r="CD554" s="55">
        <f t="shared" si="233"/>
        <v>1.3459746552366754</v>
      </c>
      <c r="CE554" s="3">
        <f t="shared" si="234"/>
        <v>5582.608695652174</v>
      </c>
      <c r="CF554" s="55">
        <f t="shared" si="235"/>
        <v>13.276654411764707</v>
      </c>
      <c r="CG554" s="55">
        <f t="shared" si="236"/>
        <v>0.96722354280357559</v>
      </c>
      <c r="CH554" s="55">
        <f t="shared" si="237"/>
        <v>0.65195315144539978</v>
      </c>
      <c r="CI554" s="30">
        <v>43</v>
      </c>
      <c r="CJ554" s="30">
        <v>0</v>
      </c>
      <c r="CK554" s="30">
        <v>52</v>
      </c>
      <c r="CL554" s="30">
        <v>95</v>
      </c>
      <c r="CM554" s="30">
        <v>1708</v>
      </c>
      <c r="CN554" s="30">
        <v>0</v>
      </c>
      <c r="CO554" s="30">
        <v>728</v>
      </c>
      <c r="CP554" s="30">
        <v>2436</v>
      </c>
      <c r="CQ554" s="1">
        <f t="shared" si="245"/>
        <v>0.11349235929929184</v>
      </c>
      <c r="CR554" s="47">
        <v>29869</v>
      </c>
      <c r="CS554" s="55">
        <f t="shared" si="238"/>
        <v>1.3915859112933284</v>
      </c>
      <c r="CT554" s="59">
        <v>10250</v>
      </c>
      <c r="CU554" s="29" t="s">
        <v>25</v>
      </c>
      <c r="CV554" s="29" t="s">
        <v>25</v>
      </c>
      <c r="CW554" s="29" t="s">
        <v>25</v>
      </c>
      <c r="CX554" s="35">
        <v>0</v>
      </c>
      <c r="CY554" s="49">
        <v>0</v>
      </c>
      <c r="CZ554" s="35">
        <v>0.875</v>
      </c>
      <c r="DA554" s="35">
        <v>4.3</v>
      </c>
      <c r="DB554" s="35">
        <v>5.1749999999999998</v>
      </c>
      <c r="DC554" s="49">
        <f t="shared" si="239"/>
        <v>4147.6328502415463</v>
      </c>
      <c r="DD554" s="30">
        <v>2600</v>
      </c>
      <c r="DE554" s="31">
        <v>39999</v>
      </c>
      <c r="DF554" s="35">
        <v>35</v>
      </c>
      <c r="DG554" s="29" t="s">
        <v>25</v>
      </c>
      <c r="DH554" s="29" t="s">
        <v>25</v>
      </c>
      <c r="DI554" s="29" t="s">
        <v>25</v>
      </c>
      <c r="DJ554" s="47">
        <v>27</v>
      </c>
      <c r="DK554" s="47">
        <v>0</v>
      </c>
      <c r="DL554" s="47">
        <v>12</v>
      </c>
      <c r="DM554" s="47">
        <v>11232</v>
      </c>
      <c r="DN554" s="47">
        <v>400</v>
      </c>
      <c r="DO554" s="47">
        <v>3024</v>
      </c>
      <c r="DP554" s="29" t="s">
        <v>2028</v>
      </c>
      <c r="DQ554" s="47">
        <v>0</v>
      </c>
      <c r="DR554" s="47">
        <v>2176</v>
      </c>
      <c r="DS554" s="30">
        <v>52</v>
      </c>
      <c r="DT554" s="30">
        <v>44</v>
      </c>
      <c r="DU554" s="30">
        <v>44</v>
      </c>
      <c r="DV554" s="30">
        <v>44</v>
      </c>
      <c r="DX554" s="2">
        <f t="shared" si="240"/>
        <v>2176</v>
      </c>
      <c r="DY554" s="33" t="s">
        <v>2185</v>
      </c>
      <c r="DZ554" s="33" t="s">
        <v>1365</v>
      </c>
      <c r="EA554" s="33" t="s">
        <v>2035</v>
      </c>
      <c r="EB554" s="33" t="s">
        <v>2027</v>
      </c>
      <c r="EC554" s="36">
        <v>417</v>
      </c>
      <c r="ED554" s="29" t="s">
        <v>1364</v>
      </c>
      <c r="EE554" s="29" t="s">
        <v>1291</v>
      </c>
      <c r="EF554" s="37">
        <v>41640</v>
      </c>
      <c r="EG554" s="37">
        <v>42004</v>
      </c>
      <c r="EH554" s="29" t="s">
        <v>1364</v>
      </c>
      <c r="EI554" s="55">
        <f t="shared" si="241"/>
        <v>0.36898993663809171</v>
      </c>
      <c r="EJ554" s="54">
        <f t="shared" si="242"/>
        <v>0</v>
      </c>
      <c r="EK554" s="55">
        <f t="shared" si="243"/>
        <v>0.97698471859858371</v>
      </c>
      <c r="EL554" s="54">
        <f t="shared" si="244"/>
        <v>0</v>
      </c>
    </row>
    <row r="555" spans="1:142" ht="43.2" x14ac:dyDescent="0.3">
      <c r="A555" s="29" t="s">
        <v>1366</v>
      </c>
      <c r="B555" s="29"/>
      <c r="C555" s="30">
        <v>50193</v>
      </c>
      <c r="D555" s="30">
        <v>0</v>
      </c>
      <c r="E555" s="30">
        <v>0</v>
      </c>
      <c r="F555" s="30">
        <v>43900</v>
      </c>
      <c r="H555" s="2">
        <f t="shared" si="219"/>
        <v>43900</v>
      </c>
      <c r="I555" s="1">
        <f t="shared" si="220"/>
        <v>0.87462395154702843</v>
      </c>
      <c r="J555" s="31">
        <v>864549</v>
      </c>
      <c r="K555" s="31">
        <v>325463</v>
      </c>
      <c r="L555" s="31">
        <v>1190012</v>
      </c>
      <c r="M555" s="45">
        <f t="shared" si="221"/>
        <v>23.708724324108939</v>
      </c>
      <c r="N555" s="31">
        <v>115033</v>
      </c>
      <c r="O555" s="31">
        <v>27946</v>
      </c>
      <c r="P555" s="31">
        <v>40661</v>
      </c>
      <c r="Q555" s="31">
        <v>183640</v>
      </c>
      <c r="R555" s="45">
        <f t="shared" si="222"/>
        <v>3.6586775048313509</v>
      </c>
      <c r="S555" s="31">
        <v>168418</v>
      </c>
      <c r="T555" s="31">
        <v>1542070</v>
      </c>
      <c r="U555" s="31">
        <v>0</v>
      </c>
      <c r="V555" s="31">
        <v>1542070</v>
      </c>
      <c r="W555" s="45">
        <f t="shared" si="223"/>
        <v>30.722809953579183</v>
      </c>
      <c r="X555" s="4">
        <f t="shared" si="224"/>
        <v>0.77169778285032453</v>
      </c>
      <c r="Y555" s="4">
        <f t="shared" si="225"/>
        <v>0.11908668218693055</v>
      </c>
      <c r="Z555" s="4">
        <f t="shared" si="226"/>
        <v>0.10921553496274489</v>
      </c>
      <c r="AA555" s="4">
        <f t="shared" si="227"/>
        <v>0</v>
      </c>
      <c r="AB555" s="31">
        <v>0</v>
      </c>
      <c r="AC555" s="31">
        <v>183640</v>
      </c>
      <c r="AD555" s="31">
        <v>1542070</v>
      </c>
      <c r="AE555" s="31">
        <v>1542070</v>
      </c>
      <c r="AF555" s="31">
        <v>1512418</v>
      </c>
      <c r="AG555" s="31">
        <v>29652</v>
      </c>
      <c r="AH555" s="31">
        <v>0</v>
      </c>
      <c r="AI555" s="31">
        <v>1542070</v>
      </c>
      <c r="AJ555" s="45">
        <f t="shared" si="228"/>
        <v>30.722809953579183</v>
      </c>
      <c r="AK555" s="31">
        <v>0</v>
      </c>
      <c r="AL555" s="31">
        <v>0</v>
      </c>
      <c r="AM555" s="31">
        <v>0</v>
      </c>
      <c r="AN555" s="31">
        <v>0</v>
      </c>
      <c r="AO555" s="31">
        <v>0</v>
      </c>
      <c r="AP555" s="31">
        <v>0</v>
      </c>
      <c r="AQ555" s="31">
        <v>0</v>
      </c>
      <c r="AR555" s="31">
        <v>1542070</v>
      </c>
      <c r="AS555" s="46">
        <f t="shared" si="229"/>
        <v>30.722809953579183</v>
      </c>
      <c r="AT555" s="31">
        <v>0</v>
      </c>
      <c r="AU555" s="31">
        <v>0</v>
      </c>
      <c r="AV555" s="31">
        <v>0</v>
      </c>
      <c r="AW555" s="31">
        <v>0</v>
      </c>
      <c r="AX555" s="31">
        <v>0</v>
      </c>
      <c r="AY555" s="31">
        <v>0</v>
      </c>
      <c r="AZ555" s="31">
        <v>0</v>
      </c>
      <c r="BA555" s="31">
        <v>0</v>
      </c>
      <c r="BB555" s="31">
        <v>0</v>
      </c>
      <c r="BC555" s="33" t="s">
        <v>25</v>
      </c>
      <c r="BD555" s="47">
        <v>63167</v>
      </c>
      <c r="BE555" s="47">
        <v>83406</v>
      </c>
      <c r="BF555" s="45">
        <f t="shared" si="230"/>
        <v>1.6617058155519695</v>
      </c>
      <c r="BG555" s="30">
        <v>4522</v>
      </c>
      <c r="BH555" s="30">
        <v>5062</v>
      </c>
      <c r="BI555" s="30">
        <v>194</v>
      </c>
      <c r="BJ555" s="30">
        <v>6944</v>
      </c>
      <c r="BK555" s="30">
        <v>10360</v>
      </c>
      <c r="BL555" s="30">
        <v>0</v>
      </c>
      <c r="BM555" s="30">
        <v>12967</v>
      </c>
      <c r="BN555" s="30">
        <v>11</v>
      </c>
      <c r="BO555" s="30">
        <v>51</v>
      </c>
      <c r="BP555" s="30">
        <v>0</v>
      </c>
      <c r="BQ555" s="30">
        <v>62</v>
      </c>
      <c r="BR555" s="47">
        <v>74633</v>
      </c>
      <c r="BS555" s="47">
        <v>112000</v>
      </c>
      <c r="BT555" s="1">
        <f t="shared" si="231"/>
        <v>2.2313868467714624</v>
      </c>
      <c r="BU555" s="30">
        <v>33</v>
      </c>
      <c r="BV555" s="30">
        <v>37</v>
      </c>
      <c r="BW555" s="47">
        <v>16549</v>
      </c>
      <c r="BX555" s="52">
        <f t="shared" si="232"/>
        <v>0.32970732970732969</v>
      </c>
      <c r="BY555" s="47">
        <v>303914</v>
      </c>
      <c r="BZ555" s="47">
        <v>0</v>
      </c>
      <c r="CA555" s="47">
        <v>208979</v>
      </c>
      <c r="CB555" s="47">
        <v>12883</v>
      </c>
      <c r="CC555" s="47">
        <v>525776</v>
      </c>
      <c r="CD555" s="55">
        <f t="shared" si="233"/>
        <v>10.47508616739386</v>
      </c>
      <c r="CE555" s="3">
        <f t="shared" si="234"/>
        <v>26223.241895261843</v>
      </c>
      <c r="CF555" s="55">
        <f t="shared" si="235"/>
        <v>223.35429056924383</v>
      </c>
      <c r="CG555" s="55">
        <f t="shared" si="236"/>
        <v>2.7741190002585356</v>
      </c>
      <c r="CH555" s="55">
        <f t="shared" si="237"/>
        <v>4.5794017857142855</v>
      </c>
      <c r="CI555" s="30">
        <v>313</v>
      </c>
      <c r="CJ555" s="30">
        <v>32</v>
      </c>
      <c r="CK555" s="30">
        <v>115</v>
      </c>
      <c r="CL555" s="30">
        <v>460</v>
      </c>
      <c r="CM555" s="30">
        <v>23787</v>
      </c>
      <c r="CN555" s="30">
        <v>839</v>
      </c>
      <c r="CO555" s="30">
        <v>1352</v>
      </c>
      <c r="CP555" s="30">
        <v>25978</v>
      </c>
      <c r="CQ555" s="1">
        <f t="shared" si="245"/>
        <v>0.5175622098699022</v>
      </c>
      <c r="CR555" s="47">
        <v>189529</v>
      </c>
      <c r="CS555" s="55">
        <f t="shared" si="238"/>
        <v>3.7760046221584682</v>
      </c>
      <c r="CT555" s="59">
        <v>40718</v>
      </c>
      <c r="CU555" s="29" t="s">
        <v>25</v>
      </c>
      <c r="CV555" s="29" t="s">
        <v>25</v>
      </c>
      <c r="CW555" s="29" t="s">
        <v>25</v>
      </c>
      <c r="CX555" s="35">
        <v>8</v>
      </c>
      <c r="CY555" s="49">
        <f>C555/CX555</f>
        <v>6274.125</v>
      </c>
      <c r="CZ555" s="35">
        <v>4.5</v>
      </c>
      <c r="DA555" s="35">
        <v>7.55</v>
      </c>
      <c r="DB555" s="35">
        <v>20.05</v>
      </c>
      <c r="DC555" s="49">
        <f t="shared" si="239"/>
        <v>2503.3915211970075</v>
      </c>
      <c r="DD555" s="30">
        <v>2917</v>
      </c>
      <c r="DE555" s="31">
        <v>102872</v>
      </c>
      <c r="DF555" s="35">
        <v>40</v>
      </c>
      <c r="DG555" s="29" t="s">
        <v>25</v>
      </c>
      <c r="DH555" s="29" t="s">
        <v>25</v>
      </c>
      <c r="DI555" s="29" t="s">
        <v>25</v>
      </c>
      <c r="DJ555" s="47">
        <v>1147</v>
      </c>
      <c r="DK555" s="47">
        <v>738</v>
      </c>
      <c r="DL555" s="47">
        <v>34</v>
      </c>
      <c r="DM555" s="47">
        <v>26912</v>
      </c>
      <c r="DN555" s="47">
        <v>8308</v>
      </c>
      <c r="DO555" s="47">
        <v>0</v>
      </c>
      <c r="DP555" s="29" t="s">
        <v>25</v>
      </c>
      <c r="DQ555" s="47">
        <v>261805</v>
      </c>
      <c r="DR555" s="47">
        <v>2354</v>
      </c>
      <c r="DS555" s="30">
        <v>48</v>
      </c>
      <c r="DT555" s="30">
        <v>52</v>
      </c>
      <c r="DU555" s="30">
        <v>52</v>
      </c>
      <c r="DV555" s="30">
        <v>52</v>
      </c>
      <c r="DX555" s="2">
        <f t="shared" si="240"/>
        <v>2354</v>
      </c>
      <c r="DY555" s="33" t="s">
        <v>2182</v>
      </c>
      <c r="DZ555" s="33" t="s">
        <v>1368</v>
      </c>
      <c r="EA555" s="33" t="s">
        <v>2030</v>
      </c>
      <c r="EB555" s="33" t="s">
        <v>2027</v>
      </c>
      <c r="EC555" s="36">
        <v>418</v>
      </c>
      <c r="ED555" s="29" t="s">
        <v>1367</v>
      </c>
      <c r="EE555" s="29" t="s">
        <v>51</v>
      </c>
      <c r="EF555" s="37">
        <v>41548</v>
      </c>
      <c r="EG555" s="37">
        <v>41912</v>
      </c>
      <c r="EH555" s="29" t="s">
        <v>1367</v>
      </c>
      <c r="EI555" s="55">
        <f t="shared" si="241"/>
        <v>6.0549080549080552</v>
      </c>
      <c r="EJ555" s="54">
        <f t="shared" si="242"/>
        <v>0</v>
      </c>
      <c r="EK555" s="55">
        <f t="shared" si="243"/>
        <v>4.1635088558165485</v>
      </c>
      <c r="EL555" s="54">
        <f t="shared" si="244"/>
        <v>0.25666925666925666</v>
      </c>
    </row>
    <row r="556" spans="1:142" ht="43.2" x14ac:dyDescent="0.3">
      <c r="A556" s="29" t="s">
        <v>428</v>
      </c>
      <c r="B556" s="29"/>
      <c r="C556" s="30">
        <v>5954</v>
      </c>
      <c r="D556" s="30">
        <v>0</v>
      </c>
      <c r="E556" s="30">
        <v>0</v>
      </c>
      <c r="F556" s="30">
        <v>5971</v>
      </c>
      <c r="H556" s="2">
        <f t="shared" si="219"/>
        <v>5971</v>
      </c>
      <c r="I556" s="1">
        <f t="shared" si="220"/>
        <v>1.0028552233792409</v>
      </c>
      <c r="J556" s="31">
        <v>48694</v>
      </c>
      <c r="K556" s="31">
        <v>14292</v>
      </c>
      <c r="L556" s="31">
        <v>62986</v>
      </c>
      <c r="M556" s="45">
        <f t="shared" si="221"/>
        <v>10.578770574403762</v>
      </c>
      <c r="N556" s="31">
        <v>6233</v>
      </c>
      <c r="O556" s="31">
        <v>0</v>
      </c>
      <c r="P556" s="31">
        <v>1689</v>
      </c>
      <c r="Q556" s="31">
        <v>7922</v>
      </c>
      <c r="R556" s="45">
        <f t="shared" si="222"/>
        <v>1.3305340947262345</v>
      </c>
      <c r="S556" s="31">
        <v>41453</v>
      </c>
      <c r="T556" s="31">
        <v>112361</v>
      </c>
      <c r="U556" s="31">
        <v>0</v>
      </c>
      <c r="V556" s="31">
        <v>112361</v>
      </c>
      <c r="W556" s="45">
        <f t="shared" si="223"/>
        <v>18.871514947934163</v>
      </c>
      <c r="X556" s="4">
        <f t="shared" si="224"/>
        <v>0.5605681686706242</v>
      </c>
      <c r="Y556" s="4">
        <f t="shared" si="225"/>
        <v>7.0504890486912719E-2</v>
      </c>
      <c r="Z556" s="4">
        <f t="shared" si="226"/>
        <v>0.36892694084246314</v>
      </c>
      <c r="AA556" s="4">
        <f t="shared" si="227"/>
        <v>0</v>
      </c>
      <c r="AB556" s="31">
        <v>0</v>
      </c>
      <c r="AC556" s="31">
        <v>7922</v>
      </c>
      <c r="AD556" s="31">
        <v>112361</v>
      </c>
      <c r="AE556" s="31">
        <v>112361</v>
      </c>
      <c r="AF556" s="31">
        <v>112361</v>
      </c>
      <c r="AG556" s="31">
        <v>0</v>
      </c>
      <c r="AH556" s="31">
        <v>0</v>
      </c>
      <c r="AI556" s="31">
        <v>112361</v>
      </c>
      <c r="AJ556" s="45">
        <f t="shared" si="228"/>
        <v>18.871514947934163</v>
      </c>
      <c r="AK556" s="31">
        <v>0</v>
      </c>
      <c r="AL556" s="31">
        <v>0</v>
      </c>
      <c r="AM556" s="31">
        <v>0</v>
      </c>
      <c r="AN556" s="31">
        <v>0</v>
      </c>
      <c r="AO556" s="31">
        <v>0</v>
      </c>
      <c r="AP556" s="31">
        <v>4535</v>
      </c>
      <c r="AQ556" s="31">
        <v>4535</v>
      </c>
      <c r="AR556" s="31">
        <v>116896</v>
      </c>
      <c r="AS556" s="46">
        <f t="shared" si="229"/>
        <v>19.633187772925766</v>
      </c>
      <c r="AT556" s="31">
        <v>0</v>
      </c>
      <c r="AU556" s="31">
        <v>0</v>
      </c>
      <c r="AV556" s="31">
        <v>0</v>
      </c>
      <c r="AW556" s="31">
        <v>0</v>
      </c>
      <c r="AX556" s="31">
        <v>0</v>
      </c>
      <c r="AY556" s="31">
        <v>0</v>
      </c>
      <c r="AZ556" s="31">
        <v>0</v>
      </c>
      <c r="BA556" s="31">
        <v>0</v>
      </c>
      <c r="BB556" s="31">
        <v>0</v>
      </c>
      <c r="BC556" s="33" t="s">
        <v>25</v>
      </c>
      <c r="BD556" s="47">
        <v>11985</v>
      </c>
      <c r="BE556" s="47">
        <v>12194</v>
      </c>
      <c r="BF556" s="45">
        <f t="shared" si="230"/>
        <v>2.0480349344978164</v>
      </c>
      <c r="BG556" s="30">
        <v>803</v>
      </c>
      <c r="BH556" s="30">
        <v>829</v>
      </c>
      <c r="BI556" s="30">
        <v>0</v>
      </c>
      <c r="BJ556" s="30">
        <v>2158</v>
      </c>
      <c r="BK556" s="30">
        <v>2178</v>
      </c>
      <c r="BL556" s="30">
        <v>0</v>
      </c>
      <c r="BM556" s="30">
        <v>0</v>
      </c>
      <c r="BN556" s="30">
        <v>1</v>
      </c>
      <c r="BO556" s="30">
        <v>51</v>
      </c>
      <c r="BP556" s="30">
        <v>0</v>
      </c>
      <c r="BQ556" s="30">
        <v>52</v>
      </c>
      <c r="BR556" s="47">
        <v>14946</v>
      </c>
      <c r="BS556" s="47">
        <v>15202</v>
      </c>
      <c r="BT556" s="1">
        <f t="shared" si="231"/>
        <v>2.5532415183070203</v>
      </c>
      <c r="BU556" s="30">
        <v>8</v>
      </c>
      <c r="BV556" s="30">
        <v>0</v>
      </c>
      <c r="BW556" s="47">
        <v>2716</v>
      </c>
      <c r="BX556" s="52">
        <f t="shared" si="232"/>
        <v>0.45616392341283168</v>
      </c>
      <c r="BY556" s="47">
        <v>1643</v>
      </c>
      <c r="BZ556" s="47">
        <v>0</v>
      </c>
      <c r="CA556" s="47">
        <v>11595</v>
      </c>
      <c r="CB556" s="47">
        <v>0</v>
      </c>
      <c r="CC556" s="47">
        <v>13238</v>
      </c>
      <c r="CD556" s="55">
        <f t="shared" si="233"/>
        <v>2.2233792408464899</v>
      </c>
      <c r="CE556" s="3">
        <f t="shared" si="234"/>
        <v>6788.7179487179492</v>
      </c>
      <c r="CF556" s="55">
        <f t="shared" si="235"/>
        <v>5.8757212605414999</v>
      </c>
      <c r="CG556" s="55">
        <f t="shared" si="236"/>
        <v>0.67478845957793865</v>
      </c>
      <c r="CH556" s="55">
        <f t="shared" si="237"/>
        <v>0.87080647283252199</v>
      </c>
      <c r="CI556" s="30">
        <v>31</v>
      </c>
      <c r="CJ556" s="30">
        <v>0</v>
      </c>
      <c r="CK556" s="30">
        <v>0</v>
      </c>
      <c r="CL556" s="30">
        <v>31</v>
      </c>
      <c r="CM556" s="30">
        <v>1611</v>
      </c>
      <c r="CN556" s="30">
        <v>0</v>
      </c>
      <c r="CO556" s="30">
        <v>0</v>
      </c>
      <c r="CP556" s="30">
        <v>1611</v>
      </c>
      <c r="CQ556" s="1">
        <f t="shared" si="245"/>
        <v>0.27057440376217667</v>
      </c>
      <c r="CR556" s="47">
        <v>19618</v>
      </c>
      <c r="CS556" s="55">
        <f t="shared" si="238"/>
        <v>3.2949277796439369</v>
      </c>
      <c r="CT556" s="59">
        <v>2746</v>
      </c>
      <c r="CU556" s="29" t="s">
        <v>25</v>
      </c>
      <c r="CV556" s="29" t="s">
        <v>25</v>
      </c>
      <c r="CW556" s="29" t="s">
        <v>25</v>
      </c>
      <c r="CX556" s="35">
        <v>0</v>
      </c>
      <c r="CY556" s="49">
        <v>0</v>
      </c>
      <c r="CZ556" s="35">
        <v>1</v>
      </c>
      <c r="DA556" s="35">
        <v>0.95</v>
      </c>
      <c r="DB556" s="35">
        <v>1.95</v>
      </c>
      <c r="DC556" s="49">
        <f t="shared" si="239"/>
        <v>3053.3333333333335</v>
      </c>
      <c r="DD556" s="30">
        <v>815</v>
      </c>
      <c r="DE556" s="31">
        <v>33069</v>
      </c>
      <c r="DF556" s="35">
        <v>40</v>
      </c>
      <c r="DG556" s="29" t="s">
        <v>25</v>
      </c>
      <c r="DH556" s="29" t="s">
        <v>25</v>
      </c>
      <c r="DI556" s="29" t="s">
        <v>25</v>
      </c>
      <c r="DJ556" s="47">
        <v>100</v>
      </c>
      <c r="DK556" s="47">
        <v>2</v>
      </c>
      <c r="DL556" s="47">
        <v>13</v>
      </c>
      <c r="DM556" s="47">
        <v>8309</v>
      </c>
      <c r="DN556" s="47">
        <v>1240</v>
      </c>
      <c r="DO556" s="47">
        <v>1673</v>
      </c>
      <c r="DP556" s="29" t="s">
        <v>2028</v>
      </c>
      <c r="DQ556" s="47">
        <v>0</v>
      </c>
      <c r="DR556" s="47">
        <v>2253</v>
      </c>
      <c r="DS556" s="30">
        <v>52</v>
      </c>
      <c r="DT556" s="30">
        <v>45</v>
      </c>
      <c r="DU556" s="30">
        <v>45</v>
      </c>
      <c r="DV556" s="30">
        <v>45</v>
      </c>
      <c r="DX556" s="2">
        <f t="shared" si="240"/>
        <v>2253</v>
      </c>
      <c r="DY556" s="33" t="s">
        <v>2180</v>
      </c>
      <c r="DZ556" s="33" t="s">
        <v>1370</v>
      </c>
      <c r="EA556" s="33" t="s">
        <v>2030</v>
      </c>
      <c r="EB556" s="33" t="s">
        <v>2027</v>
      </c>
      <c r="EC556" s="36">
        <v>419</v>
      </c>
      <c r="ED556" s="29" t="s">
        <v>1369</v>
      </c>
      <c r="EE556" s="29" t="s">
        <v>386</v>
      </c>
      <c r="EF556" s="37">
        <v>41548</v>
      </c>
      <c r="EG556" s="37">
        <v>41912</v>
      </c>
      <c r="EH556" s="29" t="s">
        <v>1369</v>
      </c>
      <c r="EI556" s="55">
        <f t="shared" si="241"/>
        <v>0.2759489418878065</v>
      </c>
      <c r="EJ556" s="54">
        <f t="shared" si="242"/>
        <v>0</v>
      </c>
      <c r="EK556" s="55">
        <f t="shared" si="243"/>
        <v>1.9474302989586831</v>
      </c>
      <c r="EL556" s="54">
        <f t="shared" si="244"/>
        <v>0</v>
      </c>
    </row>
    <row r="557" spans="1:142" ht="28.8" x14ac:dyDescent="0.3">
      <c r="A557" s="29" t="s">
        <v>1371</v>
      </c>
      <c r="B557" s="29"/>
      <c r="C557" s="30">
        <v>2114</v>
      </c>
      <c r="D557" s="30">
        <v>0</v>
      </c>
      <c r="E557" s="30">
        <v>0</v>
      </c>
      <c r="F557" s="30">
        <v>9312</v>
      </c>
      <c r="H557" s="2">
        <f t="shared" si="219"/>
        <v>9312</v>
      </c>
      <c r="I557" s="1">
        <f t="shared" si="220"/>
        <v>4.4049195837275308</v>
      </c>
      <c r="J557" s="31">
        <v>31122</v>
      </c>
      <c r="K557" s="31">
        <v>8432</v>
      </c>
      <c r="L557" s="31">
        <v>39554</v>
      </c>
      <c r="M557" s="45">
        <f t="shared" si="221"/>
        <v>18.710501419110692</v>
      </c>
      <c r="N557" s="31">
        <v>9760</v>
      </c>
      <c r="O557" s="31">
        <v>538</v>
      </c>
      <c r="P557" s="31">
        <v>4750</v>
      </c>
      <c r="Q557" s="31">
        <v>15048</v>
      </c>
      <c r="R557" s="45">
        <f t="shared" si="222"/>
        <v>7.1182592242194893</v>
      </c>
      <c r="S557" s="31">
        <v>22806</v>
      </c>
      <c r="T557" s="31">
        <v>77408</v>
      </c>
      <c r="U557" s="31">
        <v>0</v>
      </c>
      <c r="V557" s="31">
        <v>77408</v>
      </c>
      <c r="W557" s="45">
        <f t="shared" si="223"/>
        <v>36.616840113528852</v>
      </c>
      <c r="X557" s="4">
        <f t="shared" si="224"/>
        <v>0.51098077718065316</v>
      </c>
      <c r="Y557" s="4">
        <f t="shared" si="225"/>
        <v>0.19439851178172798</v>
      </c>
      <c r="Z557" s="4">
        <f t="shared" si="226"/>
        <v>0.29462071103761883</v>
      </c>
      <c r="AA557" s="4">
        <f t="shared" si="227"/>
        <v>0</v>
      </c>
      <c r="AB557" s="31">
        <v>0</v>
      </c>
      <c r="AC557" s="31">
        <v>15048</v>
      </c>
      <c r="AD557" s="31">
        <v>77408</v>
      </c>
      <c r="AE557" s="31">
        <v>70855</v>
      </c>
      <c r="AF557" s="31">
        <v>70855</v>
      </c>
      <c r="AG557" s="31">
        <v>0</v>
      </c>
      <c r="AH557" s="31">
        <v>0</v>
      </c>
      <c r="AI557" s="31">
        <v>70855</v>
      </c>
      <c r="AJ557" s="45">
        <f t="shared" si="228"/>
        <v>33.517029328287606</v>
      </c>
      <c r="AK557" s="31">
        <v>0</v>
      </c>
      <c r="AL557" s="31">
        <v>0</v>
      </c>
      <c r="AM557" s="31">
        <v>0</v>
      </c>
      <c r="AN557" s="31">
        <v>0</v>
      </c>
      <c r="AO557" s="31">
        <v>0</v>
      </c>
      <c r="AP557" s="31">
        <v>10941</v>
      </c>
      <c r="AQ557" s="31">
        <v>10941</v>
      </c>
      <c r="AR557" s="31">
        <v>81796</v>
      </c>
      <c r="AS557" s="46">
        <f t="shared" si="229"/>
        <v>38.69252601702933</v>
      </c>
      <c r="AT557" s="31">
        <v>0</v>
      </c>
      <c r="AU557" s="31">
        <v>0</v>
      </c>
      <c r="AV557" s="31">
        <v>0</v>
      </c>
      <c r="AW557" s="31">
        <v>0</v>
      </c>
      <c r="AX557" s="31">
        <v>0</v>
      </c>
      <c r="AY557" s="31">
        <v>0</v>
      </c>
      <c r="AZ557" s="31">
        <v>0</v>
      </c>
      <c r="BA557" s="31">
        <v>0</v>
      </c>
      <c r="BB557" s="31">
        <v>0</v>
      </c>
      <c r="BC557" s="33" t="s">
        <v>25</v>
      </c>
      <c r="BD557" s="47">
        <v>17885</v>
      </c>
      <c r="BE557" s="47">
        <v>18289</v>
      </c>
      <c r="BF557" s="45">
        <f t="shared" si="230"/>
        <v>8.6513718070009453</v>
      </c>
      <c r="BG557" s="30">
        <v>445</v>
      </c>
      <c r="BH557" s="30">
        <v>445</v>
      </c>
      <c r="BI557" s="30">
        <v>0</v>
      </c>
      <c r="BJ557" s="30">
        <v>2095</v>
      </c>
      <c r="BK557" s="30">
        <v>2135</v>
      </c>
      <c r="BL557" s="30">
        <v>0</v>
      </c>
      <c r="BM557" s="30">
        <v>0</v>
      </c>
      <c r="BN557" s="30">
        <v>1</v>
      </c>
      <c r="BO557" s="30">
        <v>51</v>
      </c>
      <c r="BP557" s="30">
        <v>0</v>
      </c>
      <c r="BQ557" s="30">
        <v>52</v>
      </c>
      <c r="BR557" s="47">
        <v>20425</v>
      </c>
      <c r="BS557" s="47">
        <v>20870</v>
      </c>
      <c r="BT557" s="1">
        <f t="shared" si="231"/>
        <v>9.8722800378429518</v>
      </c>
      <c r="BU557" s="30">
        <v>54</v>
      </c>
      <c r="BV557" s="30">
        <v>0</v>
      </c>
      <c r="BW557" s="47">
        <v>675</v>
      </c>
      <c r="BX557" s="52">
        <f t="shared" si="232"/>
        <v>0.3192999053926206</v>
      </c>
      <c r="BY557" s="47">
        <v>2613</v>
      </c>
      <c r="BZ557" s="47">
        <v>0</v>
      </c>
      <c r="CA557" s="47">
        <v>7956</v>
      </c>
      <c r="CB557" s="47">
        <v>0</v>
      </c>
      <c r="CC557" s="47">
        <v>10569</v>
      </c>
      <c r="CD557" s="55">
        <f t="shared" si="233"/>
        <v>4.9995269631031221</v>
      </c>
      <c r="CE557" s="3">
        <f t="shared" si="234"/>
        <v>8627.7551020408155</v>
      </c>
      <c r="CF557" s="55">
        <f t="shared" si="235"/>
        <v>8.2377240841777084</v>
      </c>
      <c r="CG557" s="55">
        <f t="shared" si="236"/>
        <v>1.456186277211353</v>
      </c>
      <c r="CH557" s="55">
        <f t="shared" si="237"/>
        <v>0.50642069956875901</v>
      </c>
      <c r="CI557" s="30">
        <v>12</v>
      </c>
      <c r="CJ557" s="30">
        <v>4</v>
      </c>
      <c r="CK557" s="30">
        <v>18</v>
      </c>
      <c r="CL557" s="30">
        <v>34</v>
      </c>
      <c r="CM557" s="30">
        <v>676</v>
      </c>
      <c r="CN557" s="30">
        <v>41</v>
      </c>
      <c r="CO557" s="30">
        <v>193</v>
      </c>
      <c r="CP557" s="30">
        <v>910</v>
      </c>
      <c r="CQ557" s="1">
        <f t="shared" si="245"/>
        <v>0.43046357615894038</v>
      </c>
      <c r="CR557" s="47">
        <v>7258</v>
      </c>
      <c r="CS557" s="55">
        <f t="shared" si="238"/>
        <v>3.4333017975402083</v>
      </c>
      <c r="CT557" s="59">
        <v>1099</v>
      </c>
      <c r="CU557" s="29" t="s">
        <v>25</v>
      </c>
      <c r="CV557" s="29" t="s">
        <v>25</v>
      </c>
      <c r="CW557" s="29" t="s">
        <v>25</v>
      </c>
      <c r="CX557" s="35">
        <v>0</v>
      </c>
      <c r="CY557" s="49">
        <v>0</v>
      </c>
      <c r="CZ557" s="35">
        <v>0.97499999999999998</v>
      </c>
      <c r="DA557" s="35">
        <v>0.25</v>
      </c>
      <c r="DB557" s="35">
        <v>1.2250000000000001</v>
      </c>
      <c r="DC557" s="49">
        <f t="shared" si="239"/>
        <v>1725.7142857142856</v>
      </c>
      <c r="DD557" s="30">
        <v>775</v>
      </c>
      <c r="DE557" s="31">
        <v>19952</v>
      </c>
      <c r="DF557" s="35">
        <v>39</v>
      </c>
      <c r="DG557" s="29" t="s">
        <v>25</v>
      </c>
      <c r="DH557" s="29" t="s">
        <v>25</v>
      </c>
      <c r="DI557" s="29" t="s">
        <v>25</v>
      </c>
      <c r="DJ557" s="47">
        <v>0</v>
      </c>
      <c r="DK557" s="47">
        <v>0</v>
      </c>
      <c r="DL557" s="47">
        <v>9</v>
      </c>
      <c r="DM557" s="47">
        <v>3468</v>
      </c>
      <c r="DN557" s="47">
        <v>184</v>
      </c>
      <c r="DO557" s="47">
        <v>5278</v>
      </c>
      <c r="DP557" s="29" t="s">
        <v>83</v>
      </c>
      <c r="DQ557" s="47">
        <v>0</v>
      </c>
      <c r="DR557" s="47">
        <v>1283</v>
      </c>
      <c r="DS557" s="30">
        <v>50</v>
      </c>
      <c r="DT557" s="30">
        <v>27</v>
      </c>
      <c r="DU557" s="30">
        <v>27</v>
      </c>
      <c r="DV557" s="30">
        <v>27</v>
      </c>
      <c r="DX557" s="2">
        <f t="shared" si="240"/>
        <v>1283</v>
      </c>
      <c r="DY557" s="33" t="s">
        <v>2180</v>
      </c>
      <c r="DZ557" s="33" t="s">
        <v>1373</v>
      </c>
      <c r="EA557" s="33" t="s">
        <v>2030</v>
      </c>
      <c r="EB557" s="33" t="s">
        <v>2027</v>
      </c>
      <c r="EC557" s="36">
        <v>420</v>
      </c>
      <c r="ED557" s="29" t="s">
        <v>1372</v>
      </c>
      <c r="EE557" s="29" t="s">
        <v>386</v>
      </c>
      <c r="EF557" s="37">
        <v>41548</v>
      </c>
      <c r="EG557" s="37">
        <v>41912</v>
      </c>
      <c r="EH557" s="29" t="s">
        <v>1372</v>
      </c>
      <c r="EI557" s="55">
        <f t="shared" si="241"/>
        <v>1.2360454115421002</v>
      </c>
      <c r="EJ557" s="54">
        <f t="shared" si="242"/>
        <v>0</v>
      </c>
      <c r="EK557" s="55">
        <f t="shared" si="243"/>
        <v>3.7634815515610218</v>
      </c>
      <c r="EL557" s="54">
        <f t="shared" si="244"/>
        <v>0</v>
      </c>
    </row>
    <row r="558" spans="1:142" ht="43.2" x14ac:dyDescent="0.3">
      <c r="A558" s="29" t="s">
        <v>1388</v>
      </c>
      <c r="B558" s="29"/>
      <c r="C558" s="30">
        <v>14390</v>
      </c>
      <c r="D558" s="30">
        <v>1</v>
      </c>
      <c r="E558" s="30">
        <v>0</v>
      </c>
      <c r="F558" s="30">
        <v>10000</v>
      </c>
      <c r="G558">
        <v>1680</v>
      </c>
      <c r="H558" s="2">
        <f t="shared" si="219"/>
        <v>11680</v>
      </c>
      <c r="I558" s="1">
        <f t="shared" si="220"/>
        <v>0.81167477414871436</v>
      </c>
      <c r="J558" s="31">
        <v>99008</v>
      </c>
      <c r="K558" s="31">
        <v>50295</v>
      </c>
      <c r="L558" s="31">
        <v>149303</v>
      </c>
      <c r="M558" s="45">
        <f t="shared" si="221"/>
        <v>10.375469075747047</v>
      </c>
      <c r="N558" s="31">
        <v>13015</v>
      </c>
      <c r="O558" s="31">
        <v>3000</v>
      </c>
      <c r="P558" s="31">
        <v>0</v>
      </c>
      <c r="Q558" s="31">
        <v>16015</v>
      </c>
      <c r="R558" s="45">
        <f t="shared" si="222"/>
        <v>1.1129256428075052</v>
      </c>
      <c r="S558" s="31">
        <v>31223</v>
      </c>
      <c r="T558" s="31">
        <v>196541</v>
      </c>
      <c r="U558" s="31">
        <v>0</v>
      </c>
      <c r="V558" s="31">
        <v>196541</v>
      </c>
      <c r="W558" s="45">
        <f t="shared" si="223"/>
        <v>13.658165392633773</v>
      </c>
      <c r="X558" s="4">
        <f t="shared" si="224"/>
        <v>0.75965320213085308</v>
      </c>
      <c r="Y558" s="4">
        <f t="shared" si="225"/>
        <v>8.1484270457563568E-2</v>
      </c>
      <c r="Z558" s="4">
        <f t="shared" si="226"/>
        <v>0.15886252741158333</v>
      </c>
      <c r="AA558" s="4">
        <f t="shared" si="227"/>
        <v>0</v>
      </c>
      <c r="AB558" s="31">
        <v>0</v>
      </c>
      <c r="AC558" s="31">
        <v>16000</v>
      </c>
      <c r="AD558" s="31">
        <v>196541</v>
      </c>
      <c r="AE558" s="31">
        <v>187303</v>
      </c>
      <c r="AF558" s="31">
        <v>0</v>
      </c>
      <c r="AG558" s="31">
        <v>187303</v>
      </c>
      <c r="AH558" s="31">
        <v>0</v>
      </c>
      <c r="AI558" s="31">
        <v>187303</v>
      </c>
      <c r="AJ558" s="45">
        <f t="shared" si="228"/>
        <v>13.016191799861014</v>
      </c>
      <c r="AK558" s="31">
        <v>0</v>
      </c>
      <c r="AL558" s="31">
        <v>0</v>
      </c>
      <c r="AM558" s="31">
        <v>0</v>
      </c>
      <c r="AN558" s="31">
        <v>0</v>
      </c>
      <c r="AO558" s="31">
        <v>0</v>
      </c>
      <c r="AP558" s="31">
        <v>0</v>
      </c>
      <c r="AQ558" s="31">
        <v>0</v>
      </c>
      <c r="AR558" s="31">
        <v>187303</v>
      </c>
      <c r="AS558" s="46">
        <f t="shared" si="229"/>
        <v>13.016191799861014</v>
      </c>
      <c r="AT558" s="31">
        <v>0</v>
      </c>
      <c r="AU558" s="31">
        <v>0</v>
      </c>
      <c r="AV558" s="31">
        <v>0</v>
      </c>
      <c r="AW558" s="31">
        <v>0</v>
      </c>
      <c r="AX558" s="31">
        <v>0</v>
      </c>
      <c r="AY558" s="31">
        <v>0</v>
      </c>
      <c r="AZ558" s="31">
        <v>0</v>
      </c>
      <c r="BA558" s="31">
        <v>0</v>
      </c>
      <c r="BB558" s="31">
        <v>0</v>
      </c>
      <c r="BC558" s="33" t="s">
        <v>25</v>
      </c>
      <c r="BD558" s="47">
        <v>35148</v>
      </c>
      <c r="BE558" s="47">
        <v>35441</v>
      </c>
      <c r="BF558" s="45">
        <f t="shared" si="230"/>
        <v>2.462890896455872</v>
      </c>
      <c r="BG558" s="30">
        <v>981</v>
      </c>
      <c r="BH558" s="30">
        <v>2770</v>
      </c>
      <c r="BI558" s="30">
        <v>0</v>
      </c>
      <c r="BJ558" s="30">
        <v>946</v>
      </c>
      <c r="BK558" s="30">
        <v>959</v>
      </c>
      <c r="BL558" s="30">
        <v>0</v>
      </c>
      <c r="BM558" s="30">
        <v>0</v>
      </c>
      <c r="BN558" s="30">
        <v>0</v>
      </c>
      <c r="BO558" s="30">
        <v>51</v>
      </c>
      <c r="BP558" s="30">
        <v>0</v>
      </c>
      <c r="BQ558" s="30">
        <v>51</v>
      </c>
      <c r="BR558" s="47">
        <v>37075</v>
      </c>
      <c r="BS558" s="47">
        <v>39170</v>
      </c>
      <c r="BT558" s="1">
        <f t="shared" si="231"/>
        <v>2.7220291869353717</v>
      </c>
      <c r="BU558" s="30">
        <v>50</v>
      </c>
      <c r="BV558" s="30">
        <v>0</v>
      </c>
      <c r="BW558" s="47">
        <v>530</v>
      </c>
      <c r="BX558" s="52">
        <f t="shared" si="232"/>
        <v>3.683113273106324E-2</v>
      </c>
      <c r="BY558" s="47">
        <v>4969</v>
      </c>
      <c r="BZ558" s="47">
        <v>0</v>
      </c>
      <c r="CA558" s="47">
        <v>8636</v>
      </c>
      <c r="CB558" s="47">
        <v>0</v>
      </c>
      <c r="CC558" s="47">
        <v>13605</v>
      </c>
      <c r="CD558" s="55">
        <f t="shared" si="233"/>
        <v>0.94544822793606675</v>
      </c>
      <c r="CE558" s="3">
        <f t="shared" si="234"/>
        <v>2721</v>
      </c>
      <c r="CF558" s="55">
        <f t="shared" si="235"/>
        <v>5.4398240703718512</v>
      </c>
      <c r="CG558" s="55">
        <f t="shared" si="236"/>
        <v>0.69434520771664798</v>
      </c>
      <c r="CH558" s="55">
        <f t="shared" si="237"/>
        <v>0.34733214194536638</v>
      </c>
      <c r="CI558" s="30">
        <v>8</v>
      </c>
      <c r="CJ558" s="30">
        <v>3</v>
      </c>
      <c r="CK558" s="30">
        <v>0</v>
      </c>
      <c r="CL558" s="30">
        <v>11</v>
      </c>
      <c r="CM558" s="30">
        <v>375</v>
      </c>
      <c r="CN558" s="30">
        <v>30</v>
      </c>
      <c r="CO558" s="30">
        <v>0</v>
      </c>
      <c r="CP558" s="30">
        <v>405</v>
      </c>
      <c r="CQ558" s="1">
        <f t="shared" si="245"/>
        <v>2.8144544822793608E-2</v>
      </c>
      <c r="CR558" s="47">
        <v>19594</v>
      </c>
      <c r="CS558" s="55">
        <f t="shared" si="238"/>
        <v>1.3616400277970813</v>
      </c>
      <c r="CT558" s="59">
        <v>12379</v>
      </c>
      <c r="CU558" s="29" t="s">
        <v>25</v>
      </c>
      <c r="CV558" s="29" t="s">
        <v>25</v>
      </c>
      <c r="CW558" s="29" t="s">
        <v>25</v>
      </c>
      <c r="CX558" s="35">
        <v>0</v>
      </c>
      <c r="CY558">
        <v>0</v>
      </c>
      <c r="CZ558" s="35">
        <v>1</v>
      </c>
      <c r="DA558" s="35">
        <v>4</v>
      </c>
      <c r="DB558" s="35">
        <v>5</v>
      </c>
      <c r="DC558" s="49">
        <f t="shared" si="239"/>
        <v>2878</v>
      </c>
      <c r="DD558" s="30">
        <v>325</v>
      </c>
      <c r="DE558" s="31">
        <v>25838</v>
      </c>
      <c r="DF558" s="35">
        <v>40</v>
      </c>
      <c r="DG558" s="29" t="s">
        <v>25</v>
      </c>
      <c r="DH558" s="29" t="s">
        <v>25</v>
      </c>
      <c r="DI558" s="29" t="s">
        <v>25</v>
      </c>
      <c r="DJ558" s="47">
        <v>0</v>
      </c>
      <c r="DK558" s="47">
        <v>6</v>
      </c>
      <c r="DL558" s="47">
        <v>50</v>
      </c>
      <c r="DM558" s="47">
        <v>7215</v>
      </c>
      <c r="DN558" s="47">
        <v>220</v>
      </c>
      <c r="DO558" s="47">
        <v>500</v>
      </c>
      <c r="DP558" s="29" t="s">
        <v>2028</v>
      </c>
      <c r="DQ558" s="47">
        <v>0</v>
      </c>
      <c r="DR558" s="47">
        <v>2169</v>
      </c>
      <c r="DS558" s="30">
        <v>49</v>
      </c>
      <c r="DT558" s="30">
        <v>45</v>
      </c>
      <c r="DU558" s="30">
        <v>45</v>
      </c>
      <c r="DV558" s="30">
        <v>45</v>
      </c>
      <c r="DW558">
        <f>VLOOKUP(EC558,branch!$I$4:$K$77,3,0)</f>
        <v>332</v>
      </c>
      <c r="DX558" s="2">
        <f t="shared" si="240"/>
        <v>2501</v>
      </c>
      <c r="DY558" s="33" t="s">
        <v>2180</v>
      </c>
      <c r="DZ558" s="33" t="s">
        <v>1390</v>
      </c>
      <c r="EA558" s="33" t="s">
        <v>2031</v>
      </c>
      <c r="EB558" s="33" t="s">
        <v>2027</v>
      </c>
      <c r="EC558" s="36">
        <v>432</v>
      </c>
      <c r="ED558" s="29" t="s">
        <v>1389</v>
      </c>
      <c r="EE558" s="29" t="s">
        <v>1388</v>
      </c>
      <c r="EF558" s="37">
        <v>41548</v>
      </c>
      <c r="EG558" s="37">
        <v>41912</v>
      </c>
      <c r="EH558" s="29" t="s">
        <v>1389</v>
      </c>
      <c r="EI558" s="55">
        <f t="shared" si="241"/>
        <v>0.34530924252953438</v>
      </c>
      <c r="EJ558" s="54">
        <f t="shared" si="242"/>
        <v>0</v>
      </c>
      <c r="EK558" s="55">
        <f t="shared" si="243"/>
        <v>0.60013898540653232</v>
      </c>
      <c r="EL558" s="54">
        <f t="shared" si="244"/>
        <v>0</v>
      </c>
    </row>
  </sheetData>
  <autoFilter ref="A1:EL558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333"/>
  <sheetViews>
    <sheetView topLeftCell="A2" workbookViewId="0">
      <selection activeCell="J27" sqref="J27"/>
    </sheetView>
  </sheetViews>
  <sheetFormatPr defaultColWidth="8.77734375" defaultRowHeight="14.4" x14ac:dyDescent="0.3"/>
  <cols>
    <col min="2" max="2" width="36.33203125" customWidth="1"/>
    <col min="9" max="9" width="14" customWidth="1"/>
    <col min="10" max="10" width="17.44140625" bestFit="1" customWidth="1"/>
    <col min="11" max="11" width="16.77734375" bestFit="1" customWidth="1"/>
  </cols>
  <sheetData>
    <row r="1" spans="1:11" x14ac:dyDescent="0.3">
      <c r="A1" s="38" t="s">
        <v>2196</v>
      </c>
      <c r="B1" s="38" t="s">
        <v>2208</v>
      </c>
      <c r="C1" s="38" t="s">
        <v>2209</v>
      </c>
      <c r="D1" s="38" t="s">
        <v>2210</v>
      </c>
      <c r="E1" s="38" t="s">
        <v>2871</v>
      </c>
      <c r="F1" s="38" t="s">
        <v>2872</v>
      </c>
      <c r="G1" s="38" t="s">
        <v>2873</v>
      </c>
    </row>
    <row r="2" spans="1:11" x14ac:dyDescent="0.3">
      <c r="A2" s="40">
        <v>10</v>
      </c>
      <c r="B2" s="39" t="s">
        <v>2212</v>
      </c>
      <c r="C2" s="39" t="s">
        <v>2213</v>
      </c>
      <c r="D2" s="39" t="s">
        <v>2214</v>
      </c>
      <c r="E2" s="40">
        <v>5529</v>
      </c>
      <c r="F2" s="40">
        <v>2412</v>
      </c>
      <c r="G2" s="40">
        <v>52</v>
      </c>
      <c r="J2" s="41" t="s">
        <v>2876</v>
      </c>
    </row>
    <row r="3" spans="1:11" x14ac:dyDescent="0.3">
      <c r="A3" s="40">
        <v>10</v>
      </c>
      <c r="B3" s="39" t="s">
        <v>2215</v>
      </c>
      <c r="C3" s="39" t="s">
        <v>2216</v>
      </c>
      <c r="D3" s="39" t="s">
        <v>2214</v>
      </c>
      <c r="E3" s="40">
        <v>3900</v>
      </c>
      <c r="F3" s="40">
        <v>2412</v>
      </c>
      <c r="G3" s="40">
        <v>52</v>
      </c>
      <c r="I3" s="41" t="s">
        <v>2874</v>
      </c>
      <c r="J3" t="s">
        <v>2877</v>
      </c>
      <c r="K3" t="s">
        <v>2896</v>
      </c>
    </row>
    <row r="4" spans="1:11" x14ac:dyDescent="0.3">
      <c r="A4" s="40">
        <v>10</v>
      </c>
      <c r="B4" s="39" t="s">
        <v>2217</v>
      </c>
      <c r="C4" s="39" t="s">
        <v>2218</v>
      </c>
      <c r="D4" s="39" t="s">
        <v>2214</v>
      </c>
      <c r="E4" s="40">
        <v>3900</v>
      </c>
      <c r="F4" s="40">
        <v>2412</v>
      </c>
      <c r="G4" s="40">
        <v>52</v>
      </c>
      <c r="I4" s="42">
        <v>2</v>
      </c>
      <c r="J4">
        <v>17480</v>
      </c>
      <c r="K4">
        <v>6235</v>
      </c>
    </row>
    <row r="5" spans="1:11" x14ac:dyDescent="0.3">
      <c r="A5" s="40">
        <v>100</v>
      </c>
      <c r="B5" s="39" t="s">
        <v>2219</v>
      </c>
      <c r="C5" s="39" t="s">
        <v>2220</v>
      </c>
      <c r="D5" s="39" t="s">
        <v>2221</v>
      </c>
      <c r="E5" s="40">
        <v>0</v>
      </c>
      <c r="F5" s="40">
        <v>610</v>
      </c>
      <c r="G5" s="40">
        <v>52</v>
      </c>
      <c r="I5" s="42">
        <v>5</v>
      </c>
      <c r="J5">
        <v>6734</v>
      </c>
      <c r="K5">
        <v>2691</v>
      </c>
    </row>
    <row r="6" spans="1:11" x14ac:dyDescent="0.3">
      <c r="A6" s="40">
        <v>100</v>
      </c>
      <c r="B6" s="39" t="s">
        <v>2222</v>
      </c>
      <c r="C6" s="39" t="s">
        <v>2223</v>
      </c>
      <c r="D6" s="39" t="s">
        <v>2214</v>
      </c>
      <c r="E6" s="40">
        <v>19000</v>
      </c>
      <c r="F6" s="40">
        <v>2829</v>
      </c>
      <c r="G6" s="40">
        <v>52</v>
      </c>
      <c r="I6" s="42">
        <v>9</v>
      </c>
      <c r="J6">
        <v>55536</v>
      </c>
      <c r="K6">
        <v>13211</v>
      </c>
    </row>
    <row r="7" spans="1:11" x14ac:dyDescent="0.3">
      <c r="A7" s="40">
        <v>100</v>
      </c>
      <c r="B7" s="39" t="s">
        <v>2224</v>
      </c>
      <c r="C7" s="39" t="s">
        <v>2225</v>
      </c>
      <c r="D7" s="39" t="s">
        <v>2214</v>
      </c>
      <c r="E7" s="40">
        <v>12500</v>
      </c>
      <c r="F7" s="40">
        <v>2040</v>
      </c>
      <c r="G7" s="40">
        <v>52</v>
      </c>
      <c r="I7" s="42">
        <v>10</v>
      </c>
      <c r="J7">
        <v>13329</v>
      </c>
      <c r="K7">
        <v>7236</v>
      </c>
    </row>
    <row r="8" spans="1:11" x14ac:dyDescent="0.3">
      <c r="A8" s="40">
        <v>100</v>
      </c>
      <c r="B8" s="39" t="s">
        <v>2226</v>
      </c>
      <c r="C8" s="39" t="s">
        <v>2227</v>
      </c>
      <c r="D8" s="39" t="s">
        <v>2214</v>
      </c>
      <c r="E8" s="40">
        <v>18500</v>
      </c>
      <c r="F8" s="40">
        <v>2040</v>
      </c>
      <c r="G8" s="40">
        <v>52</v>
      </c>
      <c r="I8" s="42">
        <v>12</v>
      </c>
      <c r="J8">
        <v>135815</v>
      </c>
      <c r="K8">
        <v>26535</v>
      </c>
    </row>
    <row r="9" spans="1:11" x14ac:dyDescent="0.3">
      <c r="A9" s="40">
        <v>100</v>
      </c>
      <c r="B9" s="39" t="s">
        <v>2228</v>
      </c>
      <c r="C9" s="39" t="s">
        <v>2229</v>
      </c>
      <c r="D9" s="39" t="s">
        <v>2214</v>
      </c>
      <c r="E9" s="40">
        <v>1993</v>
      </c>
      <c r="F9" s="40">
        <v>2040</v>
      </c>
      <c r="G9" s="40">
        <v>52</v>
      </c>
      <c r="I9" s="42">
        <v>16</v>
      </c>
      <c r="J9">
        <v>64300</v>
      </c>
      <c r="K9">
        <v>16880</v>
      </c>
    </row>
    <row r="10" spans="1:11" x14ac:dyDescent="0.3">
      <c r="A10" s="40">
        <v>100</v>
      </c>
      <c r="B10" s="39" t="s">
        <v>2230</v>
      </c>
      <c r="C10" s="39" t="s">
        <v>2231</v>
      </c>
      <c r="D10" s="39" t="s">
        <v>2221</v>
      </c>
      <c r="E10" s="40">
        <v>0</v>
      </c>
      <c r="F10" s="40">
        <v>610</v>
      </c>
      <c r="G10" s="40">
        <v>52</v>
      </c>
      <c r="I10" s="42">
        <v>20</v>
      </c>
      <c r="J10">
        <v>244881</v>
      </c>
      <c r="K10">
        <v>52230</v>
      </c>
    </row>
    <row r="11" spans="1:11" x14ac:dyDescent="0.3">
      <c r="A11" s="40">
        <v>100</v>
      </c>
      <c r="B11" s="39" t="s">
        <v>2232</v>
      </c>
      <c r="C11" s="39" t="s">
        <v>2233</v>
      </c>
      <c r="D11" s="39" t="s">
        <v>2214</v>
      </c>
      <c r="E11" s="40">
        <v>18500</v>
      </c>
      <c r="F11" s="40">
        <v>2040</v>
      </c>
      <c r="G11" s="40">
        <v>52</v>
      </c>
      <c r="I11" s="42">
        <v>28</v>
      </c>
      <c r="J11">
        <v>500</v>
      </c>
      <c r="K11">
        <v>896</v>
      </c>
    </row>
    <row r="12" spans="1:11" x14ac:dyDescent="0.3">
      <c r="A12" s="40">
        <v>100</v>
      </c>
      <c r="B12" s="39" t="s">
        <v>2234</v>
      </c>
      <c r="C12" s="39" t="s">
        <v>2235</v>
      </c>
      <c r="D12" s="39" t="s">
        <v>2214</v>
      </c>
      <c r="E12" s="40">
        <v>18000</v>
      </c>
      <c r="F12" s="40">
        <v>2040</v>
      </c>
      <c r="G12" s="40">
        <v>52</v>
      </c>
      <c r="I12" s="42">
        <v>30</v>
      </c>
      <c r="J12">
        <v>64908</v>
      </c>
      <c r="K12">
        <v>15137</v>
      </c>
    </row>
    <row r="13" spans="1:11" x14ac:dyDescent="0.3">
      <c r="A13" s="40">
        <v>100</v>
      </c>
      <c r="B13" s="39" t="s">
        <v>2236</v>
      </c>
      <c r="C13" s="39" t="s">
        <v>2237</v>
      </c>
      <c r="D13" s="39" t="s">
        <v>2214</v>
      </c>
      <c r="E13" s="40">
        <v>17350</v>
      </c>
      <c r="F13" s="40">
        <v>2040</v>
      </c>
      <c r="G13" s="40">
        <v>52</v>
      </c>
      <c r="I13" s="42">
        <v>41</v>
      </c>
      <c r="J13">
        <v>3072</v>
      </c>
      <c r="K13">
        <v>3253</v>
      </c>
    </row>
    <row r="14" spans="1:11" x14ac:dyDescent="0.3">
      <c r="A14" s="40">
        <v>100</v>
      </c>
      <c r="B14" s="39" t="s">
        <v>2238</v>
      </c>
      <c r="C14" s="39" t="s">
        <v>2239</v>
      </c>
      <c r="D14" s="39" t="s">
        <v>2214</v>
      </c>
      <c r="E14" s="40">
        <v>19500</v>
      </c>
      <c r="F14" s="40">
        <v>2040</v>
      </c>
      <c r="G14" s="40">
        <v>52</v>
      </c>
      <c r="I14" s="42">
        <v>49</v>
      </c>
      <c r="J14">
        <v>20000</v>
      </c>
      <c r="K14">
        <v>2602</v>
      </c>
    </row>
    <row r="15" spans="1:11" x14ac:dyDescent="0.3">
      <c r="A15" s="40">
        <v>100</v>
      </c>
      <c r="B15" s="39" t="s">
        <v>2240</v>
      </c>
      <c r="C15" s="39" t="s">
        <v>2241</v>
      </c>
      <c r="D15" s="39" t="s">
        <v>2214</v>
      </c>
      <c r="E15" s="40">
        <v>9030</v>
      </c>
      <c r="F15" s="40">
        <v>2040</v>
      </c>
      <c r="G15" s="40">
        <v>52</v>
      </c>
      <c r="I15" s="42">
        <v>50</v>
      </c>
      <c r="J15">
        <v>1550</v>
      </c>
      <c r="K15">
        <v>1611</v>
      </c>
    </row>
    <row r="16" spans="1:11" x14ac:dyDescent="0.3">
      <c r="A16" s="40">
        <v>100</v>
      </c>
      <c r="B16" s="39" t="s">
        <v>2242</v>
      </c>
      <c r="C16" s="39" t="s">
        <v>2243</v>
      </c>
      <c r="D16" s="39" t="s">
        <v>2214</v>
      </c>
      <c r="E16" s="40">
        <v>14707</v>
      </c>
      <c r="F16" s="40">
        <v>1400</v>
      </c>
      <c r="G16" s="40">
        <v>36</v>
      </c>
      <c r="I16" s="42">
        <v>51</v>
      </c>
      <c r="J16">
        <v>47500</v>
      </c>
      <c r="K16">
        <v>7928</v>
      </c>
    </row>
    <row r="17" spans="1:11" x14ac:dyDescent="0.3">
      <c r="A17" s="40">
        <v>100</v>
      </c>
      <c r="B17" s="39" t="s">
        <v>2244</v>
      </c>
      <c r="C17" s="39" t="s">
        <v>2245</v>
      </c>
      <c r="D17" s="39" t="s">
        <v>2214</v>
      </c>
      <c r="E17" s="40">
        <v>23450</v>
      </c>
      <c r="F17" s="40">
        <v>2829</v>
      </c>
      <c r="G17" s="40">
        <v>52</v>
      </c>
      <c r="I17" s="42">
        <v>56</v>
      </c>
      <c r="J17">
        <v>34781</v>
      </c>
      <c r="K17">
        <v>6604</v>
      </c>
    </row>
    <row r="18" spans="1:11" x14ac:dyDescent="0.3">
      <c r="A18" s="40">
        <v>100</v>
      </c>
      <c r="B18" s="39" t="s">
        <v>2246</v>
      </c>
      <c r="C18" s="39" t="s">
        <v>2247</v>
      </c>
      <c r="D18" s="39" t="s">
        <v>2214</v>
      </c>
      <c r="E18" s="40">
        <v>19500</v>
      </c>
      <c r="F18" s="40">
        <v>2040</v>
      </c>
      <c r="G18" s="40">
        <v>49</v>
      </c>
      <c r="I18" s="42">
        <v>64</v>
      </c>
      <c r="J18">
        <v>37000</v>
      </c>
      <c r="K18">
        <v>2475</v>
      </c>
    </row>
    <row r="19" spans="1:11" x14ac:dyDescent="0.3">
      <c r="A19" s="40">
        <v>100</v>
      </c>
      <c r="B19" s="39" t="s">
        <v>2248</v>
      </c>
      <c r="C19" s="39" t="s">
        <v>2249</v>
      </c>
      <c r="D19" s="39" t="s">
        <v>2214</v>
      </c>
      <c r="E19" s="40">
        <v>10600</v>
      </c>
      <c r="F19" s="40">
        <v>2040</v>
      </c>
      <c r="G19" s="40">
        <v>52</v>
      </c>
      <c r="I19" s="42">
        <v>86</v>
      </c>
      <c r="J19">
        <v>117476</v>
      </c>
      <c r="K19">
        <v>17268</v>
      </c>
    </row>
    <row r="20" spans="1:11" x14ac:dyDescent="0.3">
      <c r="A20" s="40">
        <v>100</v>
      </c>
      <c r="B20" s="39" t="s">
        <v>2250</v>
      </c>
      <c r="C20" s="39" t="s">
        <v>2251</v>
      </c>
      <c r="D20" s="39" t="s">
        <v>2214</v>
      </c>
      <c r="E20" s="40">
        <v>18500</v>
      </c>
      <c r="F20" s="40">
        <v>2040</v>
      </c>
      <c r="G20" s="40">
        <v>52</v>
      </c>
      <c r="I20" s="42">
        <v>88</v>
      </c>
      <c r="J20">
        <v>68271</v>
      </c>
      <c r="K20">
        <v>14434</v>
      </c>
    </row>
    <row r="21" spans="1:11" x14ac:dyDescent="0.3">
      <c r="A21" s="40">
        <v>100</v>
      </c>
      <c r="B21" s="39" t="s">
        <v>2252</v>
      </c>
      <c r="C21" s="39" t="s">
        <v>2253</v>
      </c>
      <c r="D21" s="39" t="s">
        <v>2214</v>
      </c>
      <c r="E21" s="40">
        <v>13532</v>
      </c>
      <c r="F21" s="40">
        <v>2040</v>
      </c>
      <c r="G21" s="40">
        <v>52</v>
      </c>
      <c r="I21" s="42">
        <v>91</v>
      </c>
      <c r="J21">
        <v>1000</v>
      </c>
      <c r="K21">
        <v>880</v>
      </c>
    </row>
    <row r="22" spans="1:11" x14ac:dyDescent="0.3">
      <c r="A22" s="40">
        <v>100</v>
      </c>
      <c r="B22" s="39" t="s">
        <v>2254</v>
      </c>
      <c r="C22" s="39" t="s">
        <v>2255</v>
      </c>
      <c r="D22" s="39" t="s">
        <v>2214</v>
      </c>
      <c r="E22" s="40">
        <v>15562</v>
      </c>
      <c r="F22" s="40">
        <v>2040</v>
      </c>
      <c r="G22" s="40">
        <v>52</v>
      </c>
      <c r="I22" s="42">
        <v>94</v>
      </c>
      <c r="J22">
        <v>5305</v>
      </c>
      <c r="K22">
        <v>2407</v>
      </c>
    </row>
    <row r="23" spans="1:11" x14ac:dyDescent="0.3">
      <c r="A23" s="40">
        <v>100</v>
      </c>
      <c r="B23" s="39" t="s">
        <v>2256</v>
      </c>
      <c r="C23" s="39" t="s">
        <v>2257</v>
      </c>
      <c r="D23" s="39" t="s">
        <v>2214</v>
      </c>
      <c r="E23" s="40">
        <v>12900</v>
      </c>
      <c r="F23" s="40">
        <v>2040</v>
      </c>
      <c r="G23" s="40">
        <v>52</v>
      </c>
      <c r="I23" s="42">
        <v>100</v>
      </c>
      <c r="J23">
        <v>418116</v>
      </c>
      <c r="K23">
        <v>59278</v>
      </c>
    </row>
    <row r="24" spans="1:11" x14ac:dyDescent="0.3">
      <c r="A24" s="40">
        <v>100</v>
      </c>
      <c r="B24" s="39" t="s">
        <v>2258</v>
      </c>
      <c r="C24" s="39" t="s">
        <v>2259</v>
      </c>
      <c r="D24" s="39" t="s">
        <v>2214</v>
      </c>
      <c r="E24" s="40">
        <v>10984</v>
      </c>
      <c r="F24" s="40">
        <v>2040</v>
      </c>
      <c r="G24" s="40">
        <v>52</v>
      </c>
      <c r="I24" s="42">
        <v>109</v>
      </c>
      <c r="J24">
        <v>54954</v>
      </c>
      <c r="K24">
        <v>6384</v>
      </c>
    </row>
    <row r="25" spans="1:11" x14ac:dyDescent="0.3">
      <c r="A25" s="40">
        <v>100</v>
      </c>
      <c r="B25" s="39" t="s">
        <v>2260</v>
      </c>
      <c r="C25" s="39" t="s">
        <v>2261</v>
      </c>
      <c r="D25" s="39" t="s">
        <v>2214</v>
      </c>
      <c r="E25" s="40">
        <v>19500</v>
      </c>
      <c r="F25" s="40">
        <v>2040</v>
      </c>
      <c r="G25" s="40">
        <v>52</v>
      </c>
      <c r="I25" s="42">
        <v>117</v>
      </c>
      <c r="J25">
        <v>4700</v>
      </c>
      <c r="K25">
        <v>3571</v>
      </c>
    </row>
    <row r="26" spans="1:11" x14ac:dyDescent="0.3">
      <c r="A26" s="40">
        <v>100</v>
      </c>
      <c r="B26" s="39" t="s">
        <v>2262</v>
      </c>
      <c r="C26" s="39" t="s">
        <v>2263</v>
      </c>
      <c r="D26" s="39" t="s">
        <v>2214</v>
      </c>
      <c r="E26" s="40">
        <v>16800</v>
      </c>
      <c r="F26" s="40">
        <v>2040</v>
      </c>
      <c r="G26" s="40">
        <v>52</v>
      </c>
      <c r="I26" s="42">
        <v>120</v>
      </c>
      <c r="J26">
        <v>4034</v>
      </c>
      <c r="K26">
        <v>2376</v>
      </c>
    </row>
    <row r="27" spans="1:11" x14ac:dyDescent="0.3">
      <c r="A27" s="40">
        <v>100</v>
      </c>
      <c r="B27" s="39" t="s">
        <v>2264</v>
      </c>
      <c r="C27" s="39" t="s">
        <v>2265</v>
      </c>
      <c r="D27" s="39" t="s">
        <v>2214</v>
      </c>
      <c r="E27" s="40">
        <v>12400</v>
      </c>
      <c r="F27" s="40">
        <v>2040</v>
      </c>
      <c r="G27" s="40">
        <v>52</v>
      </c>
      <c r="I27" s="42">
        <v>125</v>
      </c>
      <c r="J27">
        <v>172520</v>
      </c>
      <c r="K27">
        <v>31749</v>
      </c>
    </row>
    <row r="28" spans="1:11" x14ac:dyDescent="0.3">
      <c r="A28" s="40">
        <v>100</v>
      </c>
      <c r="B28" s="39" t="s">
        <v>2266</v>
      </c>
      <c r="C28" s="39" t="s">
        <v>2267</v>
      </c>
      <c r="D28" s="39" t="s">
        <v>2214</v>
      </c>
      <c r="E28" s="40">
        <v>11193</v>
      </c>
      <c r="F28" s="40">
        <v>2040</v>
      </c>
      <c r="G28" s="40">
        <v>52</v>
      </c>
      <c r="I28" s="42">
        <v>139</v>
      </c>
      <c r="J28">
        <v>2203</v>
      </c>
      <c r="K28">
        <v>3120</v>
      </c>
    </row>
    <row r="29" spans="1:11" x14ac:dyDescent="0.3">
      <c r="A29" s="40">
        <v>100</v>
      </c>
      <c r="B29" s="39" t="s">
        <v>2268</v>
      </c>
      <c r="C29" s="39" t="s">
        <v>2269</v>
      </c>
      <c r="D29" s="39" t="s">
        <v>2214</v>
      </c>
      <c r="E29" s="40">
        <v>12037</v>
      </c>
      <c r="F29" s="40">
        <v>2040</v>
      </c>
      <c r="G29" s="40">
        <v>52</v>
      </c>
      <c r="I29" s="42">
        <v>140</v>
      </c>
      <c r="J29">
        <v>2950</v>
      </c>
      <c r="K29">
        <v>988</v>
      </c>
    </row>
    <row r="30" spans="1:11" x14ac:dyDescent="0.3">
      <c r="A30" s="40">
        <v>100</v>
      </c>
      <c r="B30" s="39" t="s">
        <v>2270</v>
      </c>
      <c r="C30" s="39" t="s">
        <v>2271</v>
      </c>
      <c r="D30" s="39" t="s">
        <v>2214</v>
      </c>
      <c r="E30" s="40">
        <v>20019</v>
      </c>
      <c r="F30" s="40">
        <v>2040</v>
      </c>
      <c r="G30" s="40">
        <v>52</v>
      </c>
      <c r="I30" s="42">
        <v>143</v>
      </c>
      <c r="J30">
        <v>144976</v>
      </c>
      <c r="K30">
        <v>30876</v>
      </c>
    </row>
    <row r="31" spans="1:11" x14ac:dyDescent="0.3">
      <c r="A31" s="40">
        <v>100</v>
      </c>
      <c r="B31" s="39" t="s">
        <v>2272</v>
      </c>
      <c r="C31" s="39" t="s">
        <v>2273</v>
      </c>
      <c r="D31" s="39" t="s">
        <v>2214</v>
      </c>
      <c r="E31" s="40">
        <v>16605</v>
      </c>
      <c r="F31" s="40">
        <v>2040</v>
      </c>
      <c r="G31" s="40">
        <v>52</v>
      </c>
      <c r="I31" s="42">
        <v>150</v>
      </c>
      <c r="J31">
        <v>61420</v>
      </c>
      <c r="K31">
        <v>6192</v>
      </c>
    </row>
    <row r="32" spans="1:11" x14ac:dyDescent="0.3">
      <c r="A32" s="40">
        <v>100</v>
      </c>
      <c r="B32" s="39" t="s">
        <v>2274</v>
      </c>
      <c r="C32" s="39" t="s">
        <v>2275</v>
      </c>
      <c r="D32" s="39" t="s">
        <v>2214</v>
      </c>
      <c r="E32" s="40">
        <v>12729</v>
      </c>
      <c r="F32" s="40">
        <v>2040</v>
      </c>
      <c r="G32" s="40">
        <v>52</v>
      </c>
      <c r="I32" s="42">
        <v>153</v>
      </c>
      <c r="J32">
        <v>2064</v>
      </c>
      <c r="K32">
        <v>1651</v>
      </c>
    </row>
    <row r="33" spans="1:11" x14ac:dyDescent="0.3">
      <c r="A33" s="40">
        <v>100</v>
      </c>
      <c r="B33" s="39" t="s">
        <v>2276</v>
      </c>
      <c r="C33" s="39" t="s">
        <v>2277</v>
      </c>
      <c r="D33" s="39" t="s">
        <v>2214</v>
      </c>
      <c r="E33" s="40">
        <v>10700</v>
      </c>
      <c r="F33" s="40">
        <v>2040</v>
      </c>
      <c r="G33" s="40">
        <v>52</v>
      </c>
      <c r="I33" s="42">
        <v>154</v>
      </c>
      <c r="J33">
        <v>135</v>
      </c>
      <c r="K33">
        <v>624</v>
      </c>
    </row>
    <row r="34" spans="1:11" x14ac:dyDescent="0.3">
      <c r="A34" s="40">
        <v>100</v>
      </c>
      <c r="B34" s="39" t="s">
        <v>2278</v>
      </c>
      <c r="C34" s="39" t="s">
        <v>2279</v>
      </c>
      <c r="D34" s="39" t="s">
        <v>2214</v>
      </c>
      <c r="E34" s="40">
        <v>12025</v>
      </c>
      <c r="F34" s="40">
        <v>2040</v>
      </c>
      <c r="G34" s="40">
        <v>52</v>
      </c>
      <c r="I34" s="42">
        <v>162</v>
      </c>
      <c r="J34">
        <v>12760</v>
      </c>
      <c r="K34">
        <v>4344</v>
      </c>
    </row>
    <row r="35" spans="1:11" x14ac:dyDescent="0.3">
      <c r="A35" s="40">
        <v>109</v>
      </c>
      <c r="B35" s="39" t="s">
        <v>2280</v>
      </c>
      <c r="C35" s="39" t="s">
        <v>2281</v>
      </c>
      <c r="D35" s="39" t="s">
        <v>2214</v>
      </c>
      <c r="E35" s="40">
        <v>21450</v>
      </c>
      <c r="F35" s="40">
        <v>3046</v>
      </c>
      <c r="G35" s="40">
        <v>52</v>
      </c>
      <c r="I35" s="42">
        <v>180</v>
      </c>
      <c r="J35">
        <v>4400</v>
      </c>
      <c r="K35">
        <v>2288</v>
      </c>
    </row>
    <row r="36" spans="1:11" x14ac:dyDescent="0.3">
      <c r="A36" s="40">
        <v>109</v>
      </c>
      <c r="B36" s="39" t="s">
        <v>2282</v>
      </c>
      <c r="C36" s="39" t="s">
        <v>2283</v>
      </c>
      <c r="D36" s="39" t="s">
        <v>2214</v>
      </c>
      <c r="E36" s="40">
        <v>33504</v>
      </c>
      <c r="F36" s="40">
        <v>3338</v>
      </c>
      <c r="G36" s="40">
        <v>52</v>
      </c>
      <c r="I36" s="42">
        <v>181</v>
      </c>
      <c r="J36">
        <v>37273</v>
      </c>
      <c r="K36">
        <v>8957</v>
      </c>
    </row>
    <row r="37" spans="1:11" x14ac:dyDescent="0.3">
      <c r="A37" s="40">
        <v>117</v>
      </c>
      <c r="B37" s="39" t="s">
        <v>2284</v>
      </c>
      <c r="C37" s="39" t="s">
        <v>2285</v>
      </c>
      <c r="D37" s="39" t="s">
        <v>2214</v>
      </c>
      <c r="E37" s="40">
        <v>2400</v>
      </c>
      <c r="F37" s="40">
        <v>1750</v>
      </c>
      <c r="G37" s="40">
        <v>52</v>
      </c>
      <c r="I37" s="42">
        <v>189</v>
      </c>
      <c r="J37">
        <v>581310</v>
      </c>
      <c r="K37">
        <v>76775</v>
      </c>
    </row>
    <row r="38" spans="1:11" x14ac:dyDescent="0.3">
      <c r="A38" s="40">
        <v>117</v>
      </c>
      <c r="B38" s="39" t="s">
        <v>2286</v>
      </c>
      <c r="C38" s="39" t="s">
        <v>2287</v>
      </c>
      <c r="D38" s="39" t="s">
        <v>2214</v>
      </c>
      <c r="E38" s="40">
        <v>2300</v>
      </c>
      <c r="F38" s="40">
        <v>1821</v>
      </c>
      <c r="G38" s="40">
        <v>52</v>
      </c>
      <c r="I38" s="42">
        <v>190</v>
      </c>
      <c r="J38">
        <v>501751</v>
      </c>
      <c r="K38">
        <v>64655</v>
      </c>
    </row>
    <row r="39" spans="1:11" x14ac:dyDescent="0.3">
      <c r="A39" s="40">
        <v>12</v>
      </c>
      <c r="B39" s="39" t="s">
        <v>2288</v>
      </c>
      <c r="C39" s="39" t="s">
        <v>2289</v>
      </c>
      <c r="D39" s="39" t="s">
        <v>2214</v>
      </c>
      <c r="E39" s="40">
        <v>18500</v>
      </c>
      <c r="F39" s="40">
        <v>1896</v>
      </c>
      <c r="G39" s="40">
        <v>52</v>
      </c>
      <c r="I39" s="42">
        <v>198</v>
      </c>
      <c r="J39">
        <v>56700</v>
      </c>
      <c r="K39">
        <v>6656</v>
      </c>
    </row>
    <row r="40" spans="1:11" x14ac:dyDescent="0.3">
      <c r="A40" s="40">
        <v>12</v>
      </c>
      <c r="B40" s="39" t="s">
        <v>2290</v>
      </c>
      <c r="C40" s="39" t="s">
        <v>2291</v>
      </c>
      <c r="D40" s="39" t="s">
        <v>2214</v>
      </c>
      <c r="E40" s="40">
        <v>22000</v>
      </c>
      <c r="F40" s="40">
        <v>2144</v>
      </c>
      <c r="G40" s="40">
        <v>52</v>
      </c>
      <c r="I40" s="42">
        <v>212</v>
      </c>
      <c r="J40">
        <v>9606</v>
      </c>
      <c r="K40">
        <v>1560</v>
      </c>
    </row>
    <row r="41" spans="1:11" x14ac:dyDescent="0.3">
      <c r="A41" s="40">
        <v>12</v>
      </c>
      <c r="B41" s="39" t="s">
        <v>2292</v>
      </c>
      <c r="C41" s="39" t="s">
        <v>2293</v>
      </c>
      <c r="D41" s="39" t="s">
        <v>2214</v>
      </c>
      <c r="E41" s="40">
        <v>12035</v>
      </c>
      <c r="F41" s="40">
        <v>1896</v>
      </c>
      <c r="G41" s="40">
        <v>52</v>
      </c>
      <c r="I41" s="42">
        <v>213</v>
      </c>
      <c r="J41">
        <v>1795</v>
      </c>
      <c r="K41">
        <v>1296</v>
      </c>
    </row>
    <row r="42" spans="1:11" x14ac:dyDescent="0.3">
      <c r="A42" s="40">
        <v>12</v>
      </c>
      <c r="B42" s="39" t="s">
        <v>2294</v>
      </c>
      <c r="C42" s="39" t="s">
        <v>2295</v>
      </c>
      <c r="D42" s="39" t="s">
        <v>2214</v>
      </c>
      <c r="E42" s="40">
        <v>8930</v>
      </c>
      <c r="F42" s="40">
        <v>2106</v>
      </c>
      <c r="G42" s="40">
        <v>52</v>
      </c>
      <c r="I42" s="42">
        <v>215</v>
      </c>
      <c r="J42">
        <v>9800</v>
      </c>
      <c r="K42">
        <v>2598</v>
      </c>
    </row>
    <row r="43" spans="1:11" x14ac:dyDescent="0.3">
      <c r="A43" s="40">
        <v>12</v>
      </c>
      <c r="B43" s="39" t="s">
        <v>2296</v>
      </c>
      <c r="C43" s="39" t="s">
        <v>2297</v>
      </c>
      <c r="D43" s="39" t="s">
        <v>2214</v>
      </c>
      <c r="E43" s="40">
        <v>9750</v>
      </c>
      <c r="F43" s="40">
        <v>2106</v>
      </c>
      <c r="G43" s="40">
        <v>52</v>
      </c>
      <c r="I43" s="42">
        <v>228</v>
      </c>
      <c r="J43">
        <v>29549</v>
      </c>
      <c r="K43">
        <v>6816</v>
      </c>
    </row>
    <row r="44" spans="1:11" x14ac:dyDescent="0.3">
      <c r="A44" s="40">
        <v>12</v>
      </c>
      <c r="B44" s="39" t="s">
        <v>2298</v>
      </c>
      <c r="C44" s="39" t="s">
        <v>2299</v>
      </c>
      <c r="D44" s="39" t="s">
        <v>2214</v>
      </c>
      <c r="E44" s="40">
        <v>21000</v>
      </c>
      <c r="F44" s="40">
        <v>2638</v>
      </c>
      <c r="G44" s="40">
        <v>52</v>
      </c>
      <c r="I44" s="42">
        <v>231</v>
      </c>
      <c r="J44">
        <v>1287</v>
      </c>
      <c r="K44">
        <v>1912</v>
      </c>
    </row>
    <row r="45" spans="1:11" x14ac:dyDescent="0.3">
      <c r="A45" s="40">
        <v>12</v>
      </c>
      <c r="B45" s="39" t="s">
        <v>2300</v>
      </c>
      <c r="C45" s="39" t="s">
        <v>2301</v>
      </c>
      <c r="D45" s="39" t="s">
        <v>2214</v>
      </c>
      <c r="E45" s="40">
        <v>3000</v>
      </c>
      <c r="F45" s="40">
        <v>2498</v>
      </c>
      <c r="G45" s="40">
        <v>52</v>
      </c>
      <c r="I45" s="42">
        <v>236</v>
      </c>
      <c r="J45">
        <v>12633</v>
      </c>
      <c r="K45">
        <v>4235</v>
      </c>
    </row>
    <row r="46" spans="1:11" x14ac:dyDescent="0.3">
      <c r="A46" s="40">
        <v>12</v>
      </c>
      <c r="B46" s="39" t="s">
        <v>2302</v>
      </c>
      <c r="C46" s="39" t="s">
        <v>2303</v>
      </c>
      <c r="D46" s="39" t="s">
        <v>2214</v>
      </c>
      <c r="E46" s="40">
        <v>20000</v>
      </c>
      <c r="F46" s="40">
        <v>2898</v>
      </c>
      <c r="G46" s="40">
        <v>52</v>
      </c>
      <c r="I46" s="42">
        <v>238</v>
      </c>
      <c r="J46">
        <v>500</v>
      </c>
      <c r="K46">
        <v>1005</v>
      </c>
    </row>
    <row r="47" spans="1:11" x14ac:dyDescent="0.3">
      <c r="A47" s="40">
        <v>12</v>
      </c>
      <c r="B47" s="39" t="s">
        <v>2304</v>
      </c>
      <c r="C47" s="39" t="s">
        <v>2305</v>
      </c>
      <c r="D47" s="39" t="s">
        <v>2214</v>
      </c>
      <c r="E47" s="40">
        <v>4000</v>
      </c>
      <c r="F47" s="40">
        <v>2122</v>
      </c>
      <c r="G47" s="40">
        <v>52</v>
      </c>
      <c r="I47" s="42">
        <v>240</v>
      </c>
      <c r="J47">
        <v>33482</v>
      </c>
      <c r="K47">
        <v>8181</v>
      </c>
    </row>
    <row r="48" spans="1:11" x14ac:dyDescent="0.3">
      <c r="A48" s="40">
        <v>12</v>
      </c>
      <c r="B48" s="39" t="s">
        <v>2306</v>
      </c>
      <c r="C48" s="39" t="s">
        <v>2307</v>
      </c>
      <c r="D48" s="39" t="s">
        <v>2214</v>
      </c>
      <c r="E48" s="40">
        <v>5000</v>
      </c>
      <c r="F48" s="40">
        <v>2107</v>
      </c>
      <c r="G48" s="40">
        <v>52</v>
      </c>
      <c r="I48" s="42">
        <v>254</v>
      </c>
      <c r="J48">
        <v>22000</v>
      </c>
      <c r="K48">
        <v>6644</v>
      </c>
    </row>
    <row r="49" spans="1:11" x14ac:dyDescent="0.3">
      <c r="A49" s="40">
        <v>12</v>
      </c>
      <c r="B49" s="39" t="s">
        <v>2308</v>
      </c>
      <c r="C49" s="39" t="s">
        <v>2309</v>
      </c>
      <c r="D49" s="39" t="s">
        <v>2214</v>
      </c>
      <c r="E49" s="40">
        <v>1600</v>
      </c>
      <c r="F49" s="40">
        <v>1829</v>
      </c>
      <c r="G49" s="40">
        <v>52</v>
      </c>
      <c r="I49" s="42">
        <v>256</v>
      </c>
      <c r="J49">
        <v>20000</v>
      </c>
      <c r="K49">
        <v>3136</v>
      </c>
    </row>
    <row r="50" spans="1:11" x14ac:dyDescent="0.3">
      <c r="A50" s="40">
        <v>12</v>
      </c>
      <c r="B50" s="39" t="s">
        <v>2310</v>
      </c>
      <c r="C50" s="39" t="s">
        <v>2311</v>
      </c>
      <c r="D50" s="39" t="s">
        <v>2214</v>
      </c>
      <c r="E50" s="40">
        <v>10000</v>
      </c>
      <c r="F50" s="40">
        <v>2295</v>
      </c>
      <c r="G50" s="40">
        <v>52</v>
      </c>
      <c r="I50" s="42">
        <v>262</v>
      </c>
      <c r="J50">
        <v>10000</v>
      </c>
      <c r="K50">
        <v>2730</v>
      </c>
    </row>
    <row r="51" spans="1:11" x14ac:dyDescent="0.3">
      <c r="A51" s="40">
        <v>120</v>
      </c>
      <c r="B51" s="39" t="s">
        <v>2312</v>
      </c>
      <c r="C51" s="39" t="s">
        <v>2313</v>
      </c>
      <c r="D51" s="39" t="s">
        <v>2214</v>
      </c>
      <c r="E51" s="40">
        <v>4034</v>
      </c>
      <c r="F51" s="40">
        <v>2376</v>
      </c>
      <c r="G51" s="40">
        <v>52</v>
      </c>
      <c r="I51" s="42">
        <v>264</v>
      </c>
      <c r="J51">
        <v>32956</v>
      </c>
      <c r="K51">
        <v>3000</v>
      </c>
    </row>
    <row r="52" spans="1:11" x14ac:dyDescent="0.3">
      <c r="A52" s="40">
        <v>125</v>
      </c>
      <c r="B52" s="39" t="s">
        <v>2314</v>
      </c>
      <c r="C52" s="39" t="s">
        <v>2315</v>
      </c>
      <c r="D52" s="39" t="s">
        <v>2214</v>
      </c>
      <c r="E52" s="40">
        <v>15126</v>
      </c>
      <c r="F52" s="40">
        <v>2496</v>
      </c>
      <c r="G52" s="40">
        <v>52</v>
      </c>
      <c r="I52" s="42">
        <v>266</v>
      </c>
      <c r="J52">
        <v>0</v>
      </c>
      <c r="K52">
        <v>212</v>
      </c>
    </row>
    <row r="53" spans="1:11" x14ac:dyDescent="0.3">
      <c r="A53" s="40">
        <v>125</v>
      </c>
      <c r="B53" s="39" t="s">
        <v>2316</v>
      </c>
      <c r="C53" s="39" t="s">
        <v>2317</v>
      </c>
      <c r="D53" s="39" t="s">
        <v>2214</v>
      </c>
      <c r="E53" s="40">
        <v>15000</v>
      </c>
      <c r="F53" s="40">
        <v>2496</v>
      </c>
      <c r="G53" s="40">
        <v>52</v>
      </c>
      <c r="I53" s="42">
        <v>269</v>
      </c>
      <c r="J53">
        <v>2510</v>
      </c>
      <c r="K53">
        <v>3123</v>
      </c>
    </row>
    <row r="54" spans="1:11" x14ac:dyDescent="0.3">
      <c r="A54" s="40">
        <v>125</v>
      </c>
      <c r="B54" s="39" t="s">
        <v>2318</v>
      </c>
      <c r="C54" s="39" t="s">
        <v>2319</v>
      </c>
      <c r="D54" s="39" t="s">
        <v>2214</v>
      </c>
      <c r="E54" s="40">
        <v>9700</v>
      </c>
      <c r="F54" s="40">
        <v>2496</v>
      </c>
      <c r="G54" s="40">
        <v>52</v>
      </c>
      <c r="I54" s="42">
        <v>283</v>
      </c>
      <c r="J54">
        <v>805</v>
      </c>
      <c r="K54">
        <v>1000</v>
      </c>
    </row>
    <row r="55" spans="1:11" x14ac:dyDescent="0.3">
      <c r="A55" s="40">
        <v>125</v>
      </c>
      <c r="B55" s="39" t="s">
        <v>2320</v>
      </c>
      <c r="C55" s="39" t="s">
        <v>2321</v>
      </c>
      <c r="D55" s="39" t="s">
        <v>2214</v>
      </c>
      <c r="E55" s="40">
        <v>8107</v>
      </c>
      <c r="F55" s="40">
        <v>2496</v>
      </c>
      <c r="G55" s="40">
        <v>52</v>
      </c>
      <c r="I55" s="42">
        <v>284</v>
      </c>
      <c r="J55">
        <v>736</v>
      </c>
      <c r="K55">
        <v>1378</v>
      </c>
    </row>
    <row r="56" spans="1:11" x14ac:dyDescent="0.3">
      <c r="A56" s="40">
        <v>125</v>
      </c>
      <c r="B56" s="39" t="s">
        <v>2322</v>
      </c>
      <c r="C56" s="39" t="s">
        <v>2323</v>
      </c>
      <c r="D56" s="39" t="s">
        <v>2214</v>
      </c>
      <c r="E56" s="40">
        <v>15500</v>
      </c>
      <c r="F56" s="40">
        <v>2496</v>
      </c>
      <c r="G56" s="40">
        <v>52</v>
      </c>
      <c r="I56" s="42">
        <v>295</v>
      </c>
      <c r="J56">
        <v>1099</v>
      </c>
      <c r="K56">
        <v>1030</v>
      </c>
    </row>
    <row r="57" spans="1:11" x14ac:dyDescent="0.3">
      <c r="A57" s="40">
        <v>125</v>
      </c>
      <c r="B57" s="39" t="s">
        <v>2324</v>
      </c>
      <c r="C57" s="39" t="s">
        <v>2325</v>
      </c>
      <c r="D57" s="39" t="s">
        <v>2221</v>
      </c>
      <c r="E57" s="40">
        <v>312</v>
      </c>
      <c r="F57" s="40">
        <v>891</v>
      </c>
      <c r="G57" s="40">
        <v>52</v>
      </c>
      <c r="I57" s="42">
        <v>298</v>
      </c>
      <c r="J57">
        <v>5644</v>
      </c>
      <c r="K57">
        <v>2856</v>
      </c>
    </row>
    <row r="58" spans="1:11" x14ac:dyDescent="0.3">
      <c r="A58" s="40">
        <v>125</v>
      </c>
      <c r="B58" s="39" t="s">
        <v>2326</v>
      </c>
      <c r="C58" s="39" t="s">
        <v>2327</v>
      </c>
      <c r="D58" s="39" t="s">
        <v>2214</v>
      </c>
      <c r="E58" s="40">
        <v>10000</v>
      </c>
      <c r="F58" s="40">
        <v>2496</v>
      </c>
      <c r="G58" s="40">
        <v>52</v>
      </c>
      <c r="I58" s="42">
        <v>300</v>
      </c>
      <c r="J58">
        <v>10300</v>
      </c>
      <c r="K58">
        <v>2416</v>
      </c>
    </row>
    <row r="59" spans="1:11" x14ac:dyDescent="0.3">
      <c r="A59" s="40">
        <v>125</v>
      </c>
      <c r="B59" s="39" t="s">
        <v>2328</v>
      </c>
      <c r="C59" s="39" t="s">
        <v>2329</v>
      </c>
      <c r="D59" s="39" t="s">
        <v>2214</v>
      </c>
      <c r="E59" s="40">
        <v>10358</v>
      </c>
      <c r="F59" s="40">
        <v>3402</v>
      </c>
      <c r="G59" s="40">
        <v>49</v>
      </c>
      <c r="I59" s="42">
        <v>311</v>
      </c>
      <c r="J59">
        <v>120000</v>
      </c>
      <c r="K59">
        <v>13562</v>
      </c>
    </row>
    <row r="60" spans="1:11" x14ac:dyDescent="0.3">
      <c r="A60" s="40">
        <v>125</v>
      </c>
      <c r="B60" s="39" t="s">
        <v>2330</v>
      </c>
      <c r="C60" s="39" t="s">
        <v>2331</v>
      </c>
      <c r="D60" s="39" t="s">
        <v>2214</v>
      </c>
      <c r="E60" s="40">
        <v>22000</v>
      </c>
      <c r="F60" s="40">
        <v>2496</v>
      </c>
      <c r="G60" s="40">
        <v>52</v>
      </c>
      <c r="I60" s="42">
        <v>315</v>
      </c>
      <c r="J60">
        <v>500</v>
      </c>
      <c r="K60">
        <v>877</v>
      </c>
    </row>
    <row r="61" spans="1:11" x14ac:dyDescent="0.3">
      <c r="A61" s="40">
        <v>125</v>
      </c>
      <c r="B61" s="39" t="s">
        <v>2332</v>
      </c>
      <c r="C61" s="39" t="s">
        <v>2333</v>
      </c>
      <c r="D61" s="39" t="s">
        <v>2214</v>
      </c>
      <c r="E61" s="40">
        <v>24665</v>
      </c>
      <c r="F61" s="40">
        <v>2496</v>
      </c>
      <c r="G61" s="40">
        <v>52</v>
      </c>
      <c r="I61" s="42">
        <v>316</v>
      </c>
      <c r="J61">
        <v>13213</v>
      </c>
      <c r="K61">
        <v>4601</v>
      </c>
    </row>
    <row r="62" spans="1:11" x14ac:dyDescent="0.3">
      <c r="A62" s="40">
        <v>125</v>
      </c>
      <c r="B62" s="39" t="s">
        <v>2334</v>
      </c>
      <c r="C62" s="39" t="s">
        <v>2335</v>
      </c>
      <c r="D62" s="39" t="s">
        <v>2214</v>
      </c>
      <c r="E62" s="40">
        <v>9200</v>
      </c>
      <c r="F62" s="40">
        <v>2496</v>
      </c>
      <c r="G62" s="40">
        <v>52</v>
      </c>
      <c r="I62" s="42">
        <v>324</v>
      </c>
      <c r="J62">
        <v>888</v>
      </c>
      <c r="K62">
        <v>714</v>
      </c>
    </row>
    <row r="63" spans="1:11" x14ac:dyDescent="0.3">
      <c r="A63" s="40">
        <v>125</v>
      </c>
      <c r="B63" s="39" t="s">
        <v>2336</v>
      </c>
      <c r="C63" s="39" t="s">
        <v>2337</v>
      </c>
      <c r="D63" s="39" t="s">
        <v>2214</v>
      </c>
      <c r="E63" s="40">
        <v>12352</v>
      </c>
      <c r="F63" s="40">
        <v>2496</v>
      </c>
      <c r="G63" s="40">
        <v>52</v>
      </c>
      <c r="I63" s="42">
        <v>329</v>
      </c>
      <c r="J63">
        <v>278097</v>
      </c>
      <c r="K63">
        <v>27544</v>
      </c>
    </row>
    <row r="64" spans="1:11" x14ac:dyDescent="0.3">
      <c r="A64" s="40">
        <v>125</v>
      </c>
      <c r="B64" s="39" t="s">
        <v>2338</v>
      </c>
      <c r="C64" s="39" t="s">
        <v>2339</v>
      </c>
      <c r="D64" s="39" t="s">
        <v>2214</v>
      </c>
      <c r="E64" s="40">
        <v>20200</v>
      </c>
      <c r="F64" s="40">
        <v>2496</v>
      </c>
      <c r="G64" s="40">
        <v>52</v>
      </c>
      <c r="I64" s="42">
        <v>334</v>
      </c>
      <c r="J64">
        <v>1424</v>
      </c>
      <c r="K64">
        <v>917</v>
      </c>
    </row>
    <row r="65" spans="1:11" x14ac:dyDescent="0.3">
      <c r="A65" s="40">
        <v>139</v>
      </c>
      <c r="B65" s="39" t="s">
        <v>2340</v>
      </c>
      <c r="C65" s="39" t="s">
        <v>2341</v>
      </c>
      <c r="D65" s="39" t="s">
        <v>2214</v>
      </c>
      <c r="E65" s="40">
        <v>2100</v>
      </c>
      <c r="F65" s="40">
        <v>2080</v>
      </c>
      <c r="G65" s="40">
        <v>52</v>
      </c>
      <c r="I65" s="42">
        <v>343</v>
      </c>
      <c r="J65">
        <v>7776</v>
      </c>
      <c r="K65">
        <v>3616</v>
      </c>
    </row>
    <row r="66" spans="1:11" x14ac:dyDescent="0.3">
      <c r="A66" s="40">
        <v>139</v>
      </c>
      <c r="B66" s="39" t="s">
        <v>2342</v>
      </c>
      <c r="C66" s="39" t="s">
        <v>2343</v>
      </c>
      <c r="D66" s="39" t="s">
        <v>2214</v>
      </c>
      <c r="E66" s="40">
        <v>103</v>
      </c>
      <c r="F66" s="40">
        <v>1040</v>
      </c>
      <c r="G66" s="40">
        <v>52</v>
      </c>
      <c r="I66" s="42">
        <v>344</v>
      </c>
      <c r="J66">
        <v>324951</v>
      </c>
      <c r="K66">
        <v>75358</v>
      </c>
    </row>
    <row r="67" spans="1:11" x14ac:dyDescent="0.3">
      <c r="A67" s="40">
        <v>140</v>
      </c>
      <c r="B67" s="39" t="s">
        <v>2344</v>
      </c>
      <c r="C67" s="39" t="s">
        <v>2345</v>
      </c>
      <c r="D67" s="39" t="s">
        <v>2214</v>
      </c>
      <c r="E67" s="40">
        <v>2950</v>
      </c>
      <c r="F67" s="40">
        <v>988</v>
      </c>
      <c r="G67" s="40">
        <v>52</v>
      </c>
      <c r="I67" s="42">
        <v>357</v>
      </c>
      <c r="J67">
        <v>890</v>
      </c>
      <c r="K67">
        <v>1946</v>
      </c>
    </row>
    <row r="68" spans="1:11" x14ac:dyDescent="0.3">
      <c r="A68" s="40">
        <v>143</v>
      </c>
      <c r="B68" s="39" t="s">
        <v>2346</v>
      </c>
      <c r="C68" s="39" t="s">
        <v>2347</v>
      </c>
      <c r="D68" s="39" t="s">
        <v>2214</v>
      </c>
      <c r="E68" s="40">
        <v>7527</v>
      </c>
      <c r="F68" s="40">
        <v>2032</v>
      </c>
      <c r="G68" s="40">
        <v>52</v>
      </c>
      <c r="I68" s="42">
        <v>384</v>
      </c>
      <c r="J68">
        <v>0</v>
      </c>
      <c r="K68">
        <v>420</v>
      </c>
    </row>
    <row r="69" spans="1:11" x14ac:dyDescent="0.3">
      <c r="A69" s="40">
        <v>143</v>
      </c>
      <c r="B69" s="39" t="s">
        <v>2348</v>
      </c>
      <c r="C69" s="39" t="s">
        <v>2349</v>
      </c>
      <c r="D69" s="39" t="s">
        <v>2214</v>
      </c>
      <c r="E69" s="40">
        <v>5045</v>
      </c>
      <c r="F69" s="40">
        <v>2016</v>
      </c>
      <c r="G69" s="40">
        <v>52</v>
      </c>
      <c r="I69" s="42">
        <v>398</v>
      </c>
      <c r="J69">
        <v>50493</v>
      </c>
      <c r="K69">
        <v>8046</v>
      </c>
    </row>
    <row r="70" spans="1:11" x14ac:dyDescent="0.3">
      <c r="A70" s="40">
        <v>143</v>
      </c>
      <c r="B70" s="39" t="s">
        <v>2350</v>
      </c>
      <c r="C70" s="39" t="s">
        <v>2351</v>
      </c>
      <c r="D70" s="39" t="s">
        <v>2214</v>
      </c>
      <c r="E70" s="40">
        <v>7072</v>
      </c>
      <c r="F70" s="40">
        <v>2016</v>
      </c>
      <c r="G70" s="40">
        <v>52</v>
      </c>
      <c r="I70" s="42">
        <v>400</v>
      </c>
      <c r="J70">
        <v>3325</v>
      </c>
      <c r="K70">
        <v>2974</v>
      </c>
    </row>
    <row r="71" spans="1:11" x14ac:dyDescent="0.3">
      <c r="A71" s="40">
        <v>143</v>
      </c>
      <c r="B71" s="39" t="s">
        <v>2352</v>
      </c>
      <c r="C71" s="39" t="s">
        <v>2353</v>
      </c>
      <c r="D71" s="39" t="s">
        <v>2214</v>
      </c>
      <c r="E71" s="40">
        <v>9585</v>
      </c>
      <c r="F71" s="40">
        <v>2016</v>
      </c>
      <c r="G71" s="40">
        <v>43</v>
      </c>
      <c r="I71" s="42">
        <v>408</v>
      </c>
      <c r="J71">
        <v>20976</v>
      </c>
      <c r="K71">
        <v>4152</v>
      </c>
    </row>
    <row r="72" spans="1:11" x14ac:dyDescent="0.3">
      <c r="A72" s="40">
        <v>143</v>
      </c>
      <c r="B72" s="39" t="s">
        <v>2354</v>
      </c>
      <c r="C72" s="39" t="s">
        <v>2355</v>
      </c>
      <c r="D72" s="39" t="s">
        <v>2214</v>
      </c>
      <c r="E72" s="40">
        <v>6313</v>
      </c>
      <c r="F72" s="40">
        <v>2016</v>
      </c>
      <c r="G72" s="40">
        <v>52</v>
      </c>
      <c r="I72" s="42">
        <v>432</v>
      </c>
      <c r="J72">
        <v>1680</v>
      </c>
      <c r="K72">
        <v>332</v>
      </c>
    </row>
    <row r="73" spans="1:11" x14ac:dyDescent="0.3">
      <c r="A73" s="40">
        <v>143</v>
      </c>
      <c r="B73" s="39" t="s">
        <v>2356</v>
      </c>
      <c r="C73" s="39" t="s">
        <v>2357</v>
      </c>
      <c r="D73" s="39" t="s">
        <v>2214</v>
      </c>
      <c r="E73" s="40">
        <v>6834</v>
      </c>
      <c r="F73" s="40">
        <v>2032</v>
      </c>
      <c r="G73" s="40">
        <v>52</v>
      </c>
      <c r="I73" s="42">
        <v>452</v>
      </c>
      <c r="J73">
        <v>14229</v>
      </c>
      <c r="K73">
        <v>2834</v>
      </c>
    </row>
    <row r="74" spans="1:11" x14ac:dyDescent="0.3">
      <c r="A74" s="40">
        <v>143</v>
      </c>
      <c r="B74" s="39" t="s">
        <v>2358</v>
      </c>
      <c r="C74" s="39" t="s">
        <v>2359</v>
      </c>
      <c r="D74" s="39" t="s">
        <v>2214</v>
      </c>
      <c r="E74" s="40">
        <v>13445</v>
      </c>
      <c r="F74" s="40">
        <v>2016</v>
      </c>
      <c r="G74" s="40">
        <v>52</v>
      </c>
      <c r="I74" s="42">
        <v>502</v>
      </c>
      <c r="J74">
        <v>3581</v>
      </c>
      <c r="K74">
        <v>1932</v>
      </c>
    </row>
    <row r="75" spans="1:11" x14ac:dyDescent="0.3">
      <c r="A75" s="40">
        <v>143</v>
      </c>
      <c r="B75" s="39" t="s">
        <v>2360</v>
      </c>
      <c r="C75" s="39" t="s">
        <v>2361</v>
      </c>
      <c r="D75" s="39" t="s">
        <v>2214</v>
      </c>
      <c r="E75" s="40">
        <v>25661</v>
      </c>
      <c r="F75" s="40">
        <v>2032</v>
      </c>
      <c r="G75" s="40">
        <v>52</v>
      </c>
      <c r="I75" s="42">
        <v>517</v>
      </c>
      <c r="J75">
        <v>3000</v>
      </c>
      <c r="K75">
        <v>2930</v>
      </c>
    </row>
    <row r="76" spans="1:11" x14ac:dyDescent="0.3">
      <c r="A76" s="40">
        <v>143</v>
      </c>
      <c r="B76" s="39" t="s">
        <v>2362</v>
      </c>
      <c r="C76" s="39" t="s">
        <v>2363</v>
      </c>
      <c r="D76" s="39" t="s">
        <v>2214</v>
      </c>
      <c r="E76" s="40">
        <v>4962</v>
      </c>
      <c r="F76" s="40">
        <v>2016</v>
      </c>
      <c r="G76" s="40">
        <v>52</v>
      </c>
      <c r="I76" s="42">
        <v>552</v>
      </c>
      <c r="J76">
        <v>1468</v>
      </c>
      <c r="K76">
        <v>2193</v>
      </c>
    </row>
    <row r="77" spans="1:11" x14ac:dyDescent="0.3">
      <c r="A77" s="40">
        <v>143</v>
      </c>
      <c r="B77" s="39" t="s">
        <v>2364</v>
      </c>
      <c r="C77" s="39" t="s">
        <v>2365</v>
      </c>
      <c r="D77" s="39" t="s">
        <v>2214</v>
      </c>
      <c r="E77" s="40">
        <v>8121</v>
      </c>
      <c r="F77" s="40">
        <v>2032</v>
      </c>
      <c r="G77" s="40">
        <v>52</v>
      </c>
      <c r="I77" s="42">
        <v>649</v>
      </c>
      <c r="J77">
        <v>170</v>
      </c>
      <c r="K77">
        <v>800</v>
      </c>
    </row>
    <row r="78" spans="1:11" x14ac:dyDescent="0.3">
      <c r="A78" s="40">
        <v>143</v>
      </c>
      <c r="B78" s="39" t="s">
        <v>2366</v>
      </c>
      <c r="C78" s="39" t="s">
        <v>2367</v>
      </c>
      <c r="D78" s="39" t="s">
        <v>2214</v>
      </c>
      <c r="E78" s="40">
        <v>915</v>
      </c>
      <c r="F78" s="40">
        <v>2286</v>
      </c>
      <c r="G78" s="40">
        <v>52</v>
      </c>
      <c r="I78" s="42" t="s">
        <v>2875</v>
      </c>
      <c r="J78">
        <v>4053067</v>
      </c>
      <c r="K78">
        <v>721873</v>
      </c>
    </row>
    <row r="79" spans="1:11" x14ac:dyDescent="0.3">
      <c r="A79" s="40">
        <v>143</v>
      </c>
      <c r="B79" s="39" t="s">
        <v>2368</v>
      </c>
      <c r="C79" s="39" t="s">
        <v>2369</v>
      </c>
      <c r="D79" s="39" t="s">
        <v>2214</v>
      </c>
      <c r="E79" s="40">
        <v>23990</v>
      </c>
      <c r="F79" s="40">
        <v>2032</v>
      </c>
      <c r="G79" s="40">
        <v>52</v>
      </c>
    </row>
    <row r="80" spans="1:11" x14ac:dyDescent="0.3">
      <c r="A80" s="40">
        <v>143</v>
      </c>
      <c r="B80" s="39" t="s">
        <v>2370</v>
      </c>
      <c r="C80" s="39" t="s">
        <v>2371</v>
      </c>
      <c r="D80" s="39" t="s">
        <v>2214</v>
      </c>
      <c r="E80" s="40">
        <v>1400</v>
      </c>
      <c r="F80" s="40">
        <v>2286</v>
      </c>
      <c r="G80" s="40">
        <v>52</v>
      </c>
    </row>
    <row r="81" spans="1:7" x14ac:dyDescent="0.3">
      <c r="A81" s="40">
        <v>143</v>
      </c>
      <c r="B81" s="39" t="s">
        <v>2372</v>
      </c>
      <c r="C81" s="39" t="s">
        <v>2373</v>
      </c>
      <c r="D81" s="39" t="s">
        <v>2214</v>
      </c>
      <c r="E81" s="40">
        <v>11068</v>
      </c>
      <c r="F81" s="40">
        <v>2032</v>
      </c>
      <c r="G81" s="40">
        <v>52</v>
      </c>
    </row>
    <row r="82" spans="1:7" x14ac:dyDescent="0.3">
      <c r="A82" s="40">
        <v>143</v>
      </c>
      <c r="B82" s="39" t="s">
        <v>2374</v>
      </c>
      <c r="C82" s="39" t="s">
        <v>2375</v>
      </c>
      <c r="D82" s="39" t="s">
        <v>2214</v>
      </c>
      <c r="E82" s="40">
        <v>13038</v>
      </c>
      <c r="F82" s="40">
        <v>2016</v>
      </c>
      <c r="G82" s="40">
        <v>52</v>
      </c>
    </row>
    <row r="83" spans="1:7" x14ac:dyDescent="0.3">
      <c r="A83" s="40">
        <v>150</v>
      </c>
      <c r="B83" s="39" t="s">
        <v>2376</v>
      </c>
      <c r="C83" s="39" t="s">
        <v>2377</v>
      </c>
      <c r="D83" s="39" t="s">
        <v>2214</v>
      </c>
      <c r="E83" s="40">
        <v>8000</v>
      </c>
      <c r="F83" s="40">
        <v>2064</v>
      </c>
      <c r="G83" s="40">
        <v>52</v>
      </c>
    </row>
    <row r="84" spans="1:7" x14ac:dyDescent="0.3">
      <c r="A84" s="40">
        <v>150</v>
      </c>
      <c r="B84" s="39" t="s">
        <v>2378</v>
      </c>
      <c r="C84" s="39" t="s">
        <v>2379</v>
      </c>
      <c r="D84" s="39" t="s">
        <v>2214</v>
      </c>
      <c r="E84" s="40">
        <v>16500</v>
      </c>
      <c r="F84" s="40">
        <v>2064</v>
      </c>
      <c r="G84" s="40">
        <v>52</v>
      </c>
    </row>
    <row r="85" spans="1:7" x14ac:dyDescent="0.3">
      <c r="A85" s="40">
        <v>150</v>
      </c>
      <c r="B85" s="39" t="s">
        <v>2380</v>
      </c>
      <c r="C85" s="39" t="s">
        <v>2381</v>
      </c>
      <c r="D85" s="39" t="s">
        <v>2214</v>
      </c>
      <c r="E85" s="40">
        <v>36920</v>
      </c>
      <c r="F85" s="40">
        <v>2064</v>
      </c>
      <c r="G85" s="40">
        <v>52</v>
      </c>
    </row>
    <row r="86" spans="1:7" x14ac:dyDescent="0.3">
      <c r="A86" s="40">
        <v>153</v>
      </c>
      <c r="B86" s="39" t="s">
        <v>2382</v>
      </c>
      <c r="C86" s="39" t="s">
        <v>2383</v>
      </c>
      <c r="D86" s="39" t="s">
        <v>2214</v>
      </c>
      <c r="E86" s="40">
        <v>2064</v>
      </c>
      <c r="F86" s="40">
        <v>1651</v>
      </c>
      <c r="G86" s="40">
        <v>52</v>
      </c>
    </row>
    <row r="87" spans="1:7" x14ac:dyDescent="0.3">
      <c r="A87" s="40">
        <v>154</v>
      </c>
      <c r="B87" s="39" t="s">
        <v>2384</v>
      </c>
      <c r="C87" s="39" t="s">
        <v>2385</v>
      </c>
      <c r="D87" s="39" t="s">
        <v>2221</v>
      </c>
      <c r="E87" s="40">
        <v>135</v>
      </c>
      <c r="F87" s="40">
        <v>624</v>
      </c>
      <c r="G87" s="40">
        <v>49</v>
      </c>
    </row>
    <row r="88" spans="1:7" x14ac:dyDescent="0.3">
      <c r="A88" s="40">
        <v>16</v>
      </c>
      <c r="B88" s="39" t="s">
        <v>2386</v>
      </c>
      <c r="C88" s="39" t="s">
        <v>2387</v>
      </c>
      <c r="D88" s="39" t="s">
        <v>2214</v>
      </c>
      <c r="E88" s="40">
        <v>10000</v>
      </c>
      <c r="F88" s="40">
        <v>2808</v>
      </c>
      <c r="G88" s="40">
        <v>52</v>
      </c>
    </row>
    <row r="89" spans="1:7" x14ac:dyDescent="0.3">
      <c r="A89" s="40">
        <v>16</v>
      </c>
      <c r="B89" s="39" t="s">
        <v>2388</v>
      </c>
      <c r="C89" s="39" t="s">
        <v>2389</v>
      </c>
      <c r="D89" s="39" t="s">
        <v>2214</v>
      </c>
      <c r="E89" s="40">
        <v>10000</v>
      </c>
      <c r="F89" s="40">
        <v>2808</v>
      </c>
      <c r="G89" s="40">
        <v>52</v>
      </c>
    </row>
    <row r="90" spans="1:7" x14ac:dyDescent="0.3">
      <c r="A90" s="40">
        <v>16</v>
      </c>
      <c r="B90" s="39" t="s">
        <v>2390</v>
      </c>
      <c r="C90" s="39" t="s">
        <v>2391</v>
      </c>
      <c r="D90" s="39" t="s">
        <v>2214</v>
      </c>
      <c r="E90" s="40">
        <v>8100</v>
      </c>
      <c r="F90" s="40">
        <v>2808</v>
      </c>
      <c r="G90" s="40">
        <v>52</v>
      </c>
    </row>
    <row r="91" spans="1:7" x14ac:dyDescent="0.3">
      <c r="A91" s="40">
        <v>16</v>
      </c>
      <c r="B91" s="39" t="s">
        <v>2392</v>
      </c>
      <c r="C91" s="39" t="s">
        <v>2393</v>
      </c>
      <c r="D91" s="39" t="s">
        <v>2214</v>
      </c>
      <c r="E91" s="40">
        <v>10000</v>
      </c>
      <c r="F91" s="40">
        <v>2808</v>
      </c>
      <c r="G91" s="40">
        <v>52</v>
      </c>
    </row>
    <row r="92" spans="1:7" x14ac:dyDescent="0.3">
      <c r="A92" s="40">
        <v>16</v>
      </c>
      <c r="B92" s="39" t="s">
        <v>2394</v>
      </c>
      <c r="C92" s="39" t="s">
        <v>2395</v>
      </c>
      <c r="D92" s="39" t="s">
        <v>2214</v>
      </c>
      <c r="E92" s="40">
        <v>15000</v>
      </c>
      <c r="F92" s="40">
        <v>2840</v>
      </c>
      <c r="G92" s="40">
        <v>52</v>
      </c>
    </row>
    <row r="93" spans="1:7" x14ac:dyDescent="0.3">
      <c r="A93" s="40">
        <v>16</v>
      </c>
      <c r="B93" s="39" t="s">
        <v>2396</v>
      </c>
      <c r="C93" s="39" t="s">
        <v>2397</v>
      </c>
      <c r="D93" s="39" t="s">
        <v>2214</v>
      </c>
      <c r="E93" s="40">
        <v>11200</v>
      </c>
      <c r="F93" s="40">
        <v>2808</v>
      </c>
      <c r="G93" s="40">
        <v>52</v>
      </c>
    </row>
    <row r="94" spans="1:7" x14ac:dyDescent="0.3">
      <c r="A94" s="40">
        <v>162</v>
      </c>
      <c r="B94" s="39" t="s">
        <v>2398</v>
      </c>
      <c r="C94" s="39" t="s">
        <v>2399</v>
      </c>
      <c r="D94" s="39" t="s">
        <v>2214</v>
      </c>
      <c r="E94" s="40">
        <v>10000</v>
      </c>
      <c r="F94" s="40">
        <v>2316</v>
      </c>
      <c r="G94" s="40">
        <v>52</v>
      </c>
    </row>
    <row r="95" spans="1:7" x14ac:dyDescent="0.3">
      <c r="A95" s="40">
        <v>162</v>
      </c>
      <c r="B95" s="39" t="s">
        <v>2400</v>
      </c>
      <c r="C95" s="39" t="s">
        <v>2401</v>
      </c>
      <c r="D95" s="39" t="s">
        <v>2214</v>
      </c>
      <c r="E95" s="40">
        <v>2760</v>
      </c>
      <c r="F95" s="40">
        <v>2028</v>
      </c>
      <c r="G95" s="40">
        <v>52</v>
      </c>
    </row>
    <row r="96" spans="1:7" x14ac:dyDescent="0.3">
      <c r="A96" s="40">
        <v>180</v>
      </c>
      <c r="B96" s="39" t="s">
        <v>2402</v>
      </c>
      <c r="C96" s="39" t="s">
        <v>2403</v>
      </c>
      <c r="D96" s="39" t="s">
        <v>2214</v>
      </c>
      <c r="E96" s="40">
        <v>4400</v>
      </c>
      <c r="F96" s="40">
        <v>2288</v>
      </c>
      <c r="G96" s="40">
        <v>52</v>
      </c>
    </row>
    <row r="97" spans="1:7" x14ac:dyDescent="0.3">
      <c r="A97" s="40">
        <v>181</v>
      </c>
      <c r="B97" s="39" t="s">
        <v>2404</v>
      </c>
      <c r="C97" s="39" t="s">
        <v>2405</v>
      </c>
      <c r="D97" s="39" t="s">
        <v>2214</v>
      </c>
      <c r="E97" s="40">
        <v>1910</v>
      </c>
      <c r="F97" s="40">
        <v>2158</v>
      </c>
      <c r="G97" s="40">
        <v>52</v>
      </c>
    </row>
    <row r="98" spans="1:7" x14ac:dyDescent="0.3">
      <c r="A98" s="40">
        <v>181</v>
      </c>
      <c r="B98" s="39" t="s">
        <v>2406</v>
      </c>
      <c r="C98" s="39" t="s">
        <v>2407</v>
      </c>
      <c r="D98" s="39" t="s">
        <v>2214</v>
      </c>
      <c r="E98" s="40">
        <v>11383</v>
      </c>
      <c r="F98" s="40">
        <v>2158</v>
      </c>
      <c r="G98" s="40">
        <v>52</v>
      </c>
    </row>
    <row r="99" spans="1:7" x14ac:dyDescent="0.3">
      <c r="A99" s="40">
        <v>181</v>
      </c>
      <c r="B99" s="39" t="s">
        <v>2408</v>
      </c>
      <c r="C99" s="39" t="s">
        <v>2409</v>
      </c>
      <c r="D99" s="39" t="s">
        <v>2214</v>
      </c>
      <c r="E99" s="40">
        <v>3206</v>
      </c>
      <c r="F99" s="40">
        <v>2158</v>
      </c>
      <c r="G99" s="40">
        <v>52</v>
      </c>
    </row>
    <row r="100" spans="1:7" x14ac:dyDescent="0.3">
      <c r="A100" s="40">
        <v>181</v>
      </c>
      <c r="B100" s="39" t="s">
        <v>2410</v>
      </c>
      <c r="C100" s="39" t="s">
        <v>2411</v>
      </c>
      <c r="D100" s="39" t="s">
        <v>2214</v>
      </c>
      <c r="E100" s="40">
        <v>20774</v>
      </c>
      <c r="F100" s="40">
        <v>2483</v>
      </c>
      <c r="G100" s="40">
        <v>52</v>
      </c>
    </row>
    <row r="101" spans="1:7" x14ac:dyDescent="0.3">
      <c r="A101" s="40">
        <v>189</v>
      </c>
      <c r="B101" s="39" t="s">
        <v>2412</v>
      </c>
      <c r="C101" s="39" t="s">
        <v>2413</v>
      </c>
      <c r="D101" s="39" t="s">
        <v>2214</v>
      </c>
      <c r="E101" s="40">
        <v>8720</v>
      </c>
      <c r="F101" s="40">
        <v>1976</v>
      </c>
      <c r="G101" s="40">
        <v>50</v>
      </c>
    </row>
    <row r="102" spans="1:7" x14ac:dyDescent="0.3">
      <c r="A102" s="40">
        <v>189</v>
      </c>
      <c r="B102" s="39" t="s">
        <v>2414</v>
      </c>
      <c r="C102" s="39" t="s">
        <v>2415</v>
      </c>
      <c r="D102" s="39" t="s">
        <v>2214</v>
      </c>
      <c r="E102" s="40">
        <v>19620</v>
      </c>
      <c r="F102" s="40">
        <v>2129</v>
      </c>
      <c r="G102" s="40">
        <v>50</v>
      </c>
    </row>
    <row r="103" spans="1:7" x14ac:dyDescent="0.3">
      <c r="A103" s="40">
        <v>189</v>
      </c>
      <c r="B103" s="39" t="s">
        <v>2416</v>
      </c>
      <c r="C103" s="39" t="s">
        <v>2417</v>
      </c>
      <c r="D103" s="39" t="s">
        <v>2214</v>
      </c>
      <c r="E103" s="40">
        <v>12000</v>
      </c>
      <c r="F103" s="40">
        <v>1763</v>
      </c>
      <c r="G103" s="40">
        <v>50</v>
      </c>
    </row>
    <row r="104" spans="1:7" x14ac:dyDescent="0.3">
      <c r="A104" s="40">
        <v>189</v>
      </c>
      <c r="B104" s="39" t="s">
        <v>2418</v>
      </c>
      <c r="C104" s="39" t="s">
        <v>2419</v>
      </c>
      <c r="D104" s="39" t="s">
        <v>2214</v>
      </c>
      <c r="E104" s="40">
        <v>19620</v>
      </c>
      <c r="F104" s="40">
        <v>2855</v>
      </c>
      <c r="G104" s="40">
        <v>50</v>
      </c>
    </row>
    <row r="105" spans="1:7" x14ac:dyDescent="0.3">
      <c r="A105" s="40">
        <v>189</v>
      </c>
      <c r="B105" s="39" t="s">
        <v>2420</v>
      </c>
      <c r="C105" s="39" t="s">
        <v>2421</v>
      </c>
      <c r="D105" s="39" t="s">
        <v>2214</v>
      </c>
      <c r="E105" s="40">
        <v>17440</v>
      </c>
      <c r="F105" s="40">
        <v>2021</v>
      </c>
      <c r="G105" s="40">
        <v>50</v>
      </c>
    </row>
    <row r="106" spans="1:7" x14ac:dyDescent="0.3">
      <c r="A106" s="40">
        <v>189</v>
      </c>
      <c r="B106" s="39" t="s">
        <v>2422</v>
      </c>
      <c r="C106" s="39" t="s">
        <v>2423</v>
      </c>
      <c r="D106" s="39" t="s">
        <v>2214</v>
      </c>
      <c r="E106" s="40">
        <v>34936</v>
      </c>
      <c r="F106" s="40">
        <v>2017</v>
      </c>
      <c r="G106" s="40">
        <v>50</v>
      </c>
    </row>
    <row r="107" spans="1:7" x14ac:dyDescent="0.3">
      <c r="A107" s="40">
        <v>189</v>
      </c>
      <c r="B107" s="39" t="s">
        <v>2424</v>
      </c>
      <c r="C107" s="39" t="s">
        <v>2425</v>
      </c>
      <c r="D107" s="39" t="s">
        <v>2214</v>
      </c>
      <c r="E107" s="40">
        <v>3270</v>
      </c>
      <c r="F107" s="40">
        <v>1767</v>
      </c>
      <c r="G107" s="40">
        <v>50</v>
      </c>
    </row>
    <row r="108" spans="1:7" x14ac:dyDescent="0.3">
      <c r="A108" s="40">
        <v>189</v>
      </c>
      <c r="B108" s="39" t="s">
        <v>2426</v>
      </c>
      <c r="C108" s="39" t="s">
        <v>2427</v>
      </c>
      <c r="D108" s="39" t="s">
        <v>2214</v>
      </c>
      <c r="E108" s="40">
        <v>551</v>
      </c>
      <c r="F108" s="40">
        <v>945</v>
      </c>
      <c r="G108" s="40">
        <v>50</v>
      </c>
    </row>
    <row r="109" spans="1:7" x14ac:dyDescent="0.3">
      <c r="A109" s="40">
        <v>189</v>
      </c>
      <c r="B109" s="39" t="s">
        <v>2428</v>
      </c>
      <c r="C109" s="39" t="s">
        <v>2429</v>
      </c>
      <c r="D109" s="39" t="s">
        <v>2214</v>
      </c>
      <c r="E109" s="40">
        <v>9265</v>
      </c>
      <c r="F109" s="40">
        <v>1740</v>
      </c>
      <c r="G109" s="40">
        <v>50</v>
      </c>
    </row>
    <row r="110" spans="1:7" x14ac:dyDescent="0.3">
      <c r="A110" s="40">
        <v>189</v>
      </c>
      <c r="B110" s="39" t="s">
        <v>2430</v>
      </c>
      <c r="C110" s="39" t="s">
        <v>2431</v>
      </c>
      <c r="D110" s="39" t="s">
        <v>2214</v>
      </c>
      <c r="E110" s="40">
        <v>9040</v>
      </c>
      <c r="F110" s="40">
        <v>1516</v>
      </c>
      <c r="G110" s="40">
        <v>50</v>
      </c>
    </row>
    <row r="111" spans="1:7" x14ac:dyDescent="0.3">
      <c r="A111" s="40">
        <v>189</v>
      </c>
      <c r="B111" s="39" t="s">
        <v>2432</v>
      </c>
      <c r="C111" s="39" t="s">
        <v>2433</v>
      </c>
      <c r="D111" s="39" t="s">
        <v>2214</v>
      </c>
      <c r="E111" s="40">
        <v>15260</v>
      </c>
      <c r="F111" s="40">
        <v>2157</v>
      </c>
      <c r="G111" s="40">
        <v>50</v>
      </c>
    </row>
    <row r="112" spans="1:7" x14ac:dyDescent="0.3">
      <c r="A112" s="40">
        <v>189</v>
      </c>
      <c r="B112" s="39" t="s">
        <v>2434</v>
      </c>
      <c r="C112" s="39" t="s">
        <v>2435</v>
      </c>
      <c r="D112" s="39" t="s">
        <v>2214</v>
      </c>
      <c r="E112" s="40">
        <v>10900</v>
      </c>
      <c r="F112" s="40">
        <v>1375</v>
      </c>
      <c r="G112" s="40">
        <v>50</v>
      </c>
    </row>
    <row r="113" spans="1:7" x14ac:dyDescent="0.3">
      <c r="A113" s="40">
        <v>189</v>
      </c>
      <c r="B113" s="39" t="s">
        <v>2436</v>
      </c>
      <c r="C113" s="39" t="s">
        <v>2437</v>
      </c>
      <c r="D113" s="39" t="s">
        <v>2214</v>
      </c>
      <c r="E113" s="40">
        <v>12190</v>
      </c>
      <c r="F113" s="40">
        <v>1752</v>
      </c>
      <c r="G113" s="40">
        <v>50</v>
      </c>
    </row>
    <row r="114" spans="1:7" x14ac:dyDescent="0.3">
      <c r="A114" s="40">
        <v>189</v>
      </c>
      <c r="B114" s="39" t="s">
        <v>2438</v>
      </c>
      <c r="C114" s="39" t="s">
        <v>2439</v>
      </c>
      <c r="D114" s="39" t="s">
        <v>2214</v>
      </c>
      <c r="E114" s="40">
        <v>18530</v>
      </c>
      <c r="F114" s="40">
        <v>1635</v>
      </c>
      <c r="G114" s="40">
        <v>50</v>
      </c>
    </row>
    <row r="115" spans="1:7" x14ac:dyDescent="0.3">
      <c r="A115" s="40">
        <v>189</v>
      </c>
      <c r="B115" s="39" t="s">
        <v>2440</v>
      </c>
      <c r="C115" s="39" t="s">
        <v>2441</v>
      </c>
      <c r="D115" s="39" t="s">
        <v>2214</v>
      </c>
      <c r="E115" s="40">
        <v>11178</v>
      </c>
      <c r="F115" s="40">
        <v>1718</v>
      </c>
      <c r="G115" s="40">
        <v>50</v>
      </c>
    </row>
    <row r="116" spans="1:7" x14ac:dyDescent="0.3">
      <c r="A116" s="40">
        <v>189</v>
      </c>
      <c r="B116" s="39" t="s">
        <v>2442</v>
      </c>
      <c r="C116" s="39" t="s">
        <v>2443</v>
      </c>
      <c r="D116" s="39" t="s">
        <v>2214</v>
      </c>
      <c r="E116" s="40">
        <v>19000</v>
      </c>
      <c r="F116" s="40">
        <v>2160</v>
      </c>
      <c r="G116" s="40">
        <v>50</v>
      </c>
    </row>
    <row r="117" spans="1:7" x14ac:dyDescent="0.3">
      <c r="A117" s="40">
        <v>189</v>
      </c>
      <c r="B117" s="39" t="s">
        <v>2248</v>
      </c>
      <c r="C117" s="39" t="s">
        <v>2444</v>
      </c>
      <c r="D117" s="39" t="s">
        <v>2214</v>
      </c>
      <c r="E117" s="40">
        <v>4524</v>
      </c>
      <c r="F117" s="40">
        <v>1861</v>
      </c>
      <c r="G117" s="40">
        <v>50</v>
      </c>
    </row>
    <row r="118" spans="1:7" x14ac:dyDescent="0.3">
      <c r="A118" s="40">
        <v>189</v>
      </c>
      <c r="B118" s="39" t="s">
        <v>2445</v>
      </c>
      <c r="C118" s="39" t="s">
        <v>2446</v>
      </c>
      <c r="D118" s="39" t="s">
        <v>2214</v>
      </c>
      <c r="E118" s="40">
        <v>20000</v>
      </c>
      <c r="F118" s="40">
        <v>2031</v>
      </c>
      <c r="G118" s="40">
        <v>28</v>
      </c>
    </row>
    <row r="119" spans="1:7" x14ac:dyDescent="0.3">
      <c r="A119" s="40">
        <v>189</v>
      </c>
      <c r="B119" s="39" t="s">
        <v>2447</v>
      </c>
      <c r="C119" s="39" t="s">
        <v>2448</v>
      </c>
      <c r="D119" s="39" t="s">
        <v>2214</v>
      </c>
      <c r="E119" s="40">
        <v>8930</v>
      </c>
      <c r="F119" s="40">
        <v>2056</v>
      </c>
      <c r="G119" s="40">
        <v>50</v>
      </c>
    </row>
    <row r="120" spans="1:7" x14ac:dyDescent="0.3">
      <c r="A120" s="40">
        <v>189</v>
      </c>
      <c r="B120" s="39" t="s">
        <v>2449</v>
      </c>
      <c r="C120" s="39" t="s">
        <v>2450</v>
      </c>
      <c r="D120" s="39" t="s">
        <v>2214</v>
      </c>
      <c r="E120" s="40">
        <v>4578</v>
      </c>
      <c r="F120" s="40">
        <v>1762</v>
      </c>
      <c r="G120" s="40">
        <v>50</v>
      </c>
    </row>
    <row r="121" spans="1:7" x14ac:dyDescent="0.3">
      <c r="A121" s="40">
        <v>189</v>
      </c>
      <c r="B121" s="39" t="s">
        <v>2451</v>
      </c>
      <c r="C121" s="39" t="s">
        <v>2452</v>
      </c>
      <c r="D121" s="39" t="s">
        <v>2214</v>
      </c>
      <c r="E121" s="40">
        <v>8339</v>
      </c>
      <c r="F121" s="40">
        <v>1744</v>
      </c>
      <c r="G121" s="40">
        <v>50</v>
      </c>
    </row>
    <row r="122" spans="1:7" x14ac:dyDescent="0.3">
      <c r="A122" s="40">
        <v>189</v>
      </c>
      <c r="B122" s="39" t="s">
        <v>2453</v>
      </c>
      <c r="C122" s="39" t="s">
        <v>2454</v>
      </c>
      <c r="D122" s="39" t="s">
        <v>2214</v>
      </c>
      <c r="E122" s="40">
        <v>6213</v>
      </c>
      <c r="F122" s="40">
        <v>2033</v>
      </c>
      <c r="G122" s="40">
        <v>50</v>
      </c>
    </row>
    <row r="123" spans="1:7" x14ac:dyDescent="0.3">
      <c r="A123" s="40">
        <v>189</v>
      </c>
      <c r="B123" s="39" t="s">
        <v>2455</v>
      </c>
      <c r="C123" s="39" t="s">
        <v>2456</v>
      </c>
      <c r="D123" s="39" t="s">
        <v>2214</v>
      </c>
      <c r="E123" s="40">
        <v>12116</v>
      </c>
      <c r="F123" s="40">
        <v>1794</v>
      </c>
      <c r="G123" s="40">
        <v>50</v>
      </c>
    </row>
    <row r="124" spans="1:7" x14ac:dyDescent="0.3">
      <c r="A124" s="40">
        <v>189</v>
      </c>
      <c r="B124" s="39" t="s">
        <v>2457</v>
      </c>
      <c r="C124" s="39" t="s">
        <v>2458</v>
      </c>
      <c r="D124" s="39" t="s">
        <v>2214</v>
      </c>
      <c r="E124" s="40">
        <v>16000</v>
      </c>
      <c r="F124" s="40">
        <v>2146</v>
      </c>
      <c r="G124" s="40">
        <v>50</v>
      </c>
    </row>
    <row r="125" spans="1:7" x14ac:dyDescent="0.3">
      <c r="A125" s="40">
        <v>189</v>
      </c>
      <c r="B125" s="39" t="s">
        <v>2459</v>
      </c>
      <c r="C125" s="39" t="s">
        <v>2460</v>
      </c>
      <c r="D125" s="39" t="s">
        <v>2214</v>
      </c>
      <c r="E125" s="40">
        <v>4360</v>
      </c>
      <c r="F125" s="40">
        <v>2046</v>
      </c>
      <c r="G125" s="40">
        <v>50</v>
      </c>
    </row>
    <row r="126" spans="1:7" x14ac:dyDescent="0.3">
      <c r="A126" s="40">
        <v>189</v>
      </c>
      <c r="B126" s="39" t="s">
        <v>2461</v>
      </c>
      <c r="C126" s="39" t="s">
        <v>2462</v>
      </c>
      <c r="D126" s="39" t="s">
        <v>2214</v>
      </c>
      <c r="E126" s="40">
        <v>8391</v>
      </c>
      <c r="F126" s="40">
        <v>1883</v>
      </c>
      <c r="G126" s="40">
        <v>50</v>
      </c>
    </row>
    <row r="127" spans="1:7" x14ac:dyDescent="0.3">
      <c r="A127" s="40">
        <v>189</v>
      </c>
      <c r="B127" s="39" t="s">
        <v>2463</v>
      </c>
      <c r="C127" s="39" t="s">
        <v>2464</v>
      </c>
      <c r="D127" s="39" t="s">
        <v>2214</v>
      </c>
      <c r="E127" s="40">
        <v>12252</v>
      </c>
      <c r="F127" s="40">
        <v>2071</v>
      </c>
      <c r="G127" s="40">
        <v>50</v>
      </c>
    </row>
    <row r="128" spans="1:7" x14ac:dyDescent="0.3">
      <c r="A128" s="40">
        <v>189</v>
      </c>
      <c r="B128" s="39" t="s">
        <v>2465</v>
      </c>
      <c r="C128" s="39" t="s">
        <v>2466</v>
      </c>
      <c r="D128" s="39" t="s">
        <v>2214</v>
      </c>
      <c r="E128" s="40">
        <v>11445</v>
      </c>
      <c r="F128" s="40">
        <v>2045</v>
      </c>
      <c r="G128" s="40">
        <v>50</v>
      </c>
    </row>
    <row r="129" spans="1:7" x14ac:dyDescent="0.3">
      <c r="A129" s="40">
        <v>189</v>
      </c>
      <c r="B129" s="39" t="s">
        <v>2467</v>
      </c>
      <c r="C129" s="39" t="s">
        <v>2468</v>
      </c>
      <c r="D129" s="39" t="s">
        <v>2214</v>
      </c>
      <c r="E129" s="40">
        <v>9045</v>
      </c>
      <c r="F129" s="40">
        <v>2012</v>
      </c>
      <c r="G129" s="40">
        <v>31</v>
      </c>
    </row>
    <row r="130" spans="1:7" x14ac:dyDescent="0.3">
      <c r="A130" s="40">
        <v>189</v>
      </c>
      <c r="B130" s="39" t="s">
        <v>2469</v>
      </c>
      <c r="C130" s="39" t="s">
        <v>2470</v>
      </c>
      <c r="D130" s="39" t="s">
        <v>2214</v>
      </c>
      <c r="E130" s="40">
        <v>7722</v>
      </c>
      <c r="F130" s="40">
        <v>1768</v>
      </c>
      <c r="G130" s="40">
        <v>50</v>
      </c>
    </row>
    <row r="131" spans="1:7" x14ac:dyDescent="0.3">
      <c r="A131" s="40">
        <v>189</v>
      </c>
      <c r="B131" s="39" t="s">
        <v>2471</v>
      </c>
      <c r="C131" s="39" t="s">
        <v>2472</v>
      </c>
      <c r="D131" s="39" t="s">
        <v>2214</v>
      </c>
      <c r="E131" s="40">
        <v>19864</v>
      </c>
      <c r="F131" s="40">
        <v>1767</v>
      </c>
      <c r="G131" s="40">
        <v>50</v>
      </c>
    </row>
    <row r="132" spans="1:7" x14ac:dyDescent="0.3">
      <c r="A132" s="40">
        <v>189</v>
      </c>
      <c r="B132" s="39" t="s">
        <v>2473</v>
      </c>
      <c r="C132" s="39" t="s">
        <v>2474</v>
      </c>
      <c r="D132" s="39" t="s">
        <v>2214</v>
      </c>
      <c r="E132" s="40">
        <v>10400</v>
      </c>
      <c r="F132" s="40">
        <v>1760</v>
      </c>
      <c r="G132" s="40">
        <v>50</v>
      </c>
    </row>
    <row r="133" spans="1:7" x14ac:dyDescent="0.3">
      <c r="A133" s="40">
        <v>189</v>
      </c>
      <c r="B133" s="39" t="s">
        <v>2475</v>
      </c>
      <c r="C133" s="39" t="s">
        <v>2476</v>
      </c>
      <c r="D133" s="39" t="s">
        <v>2214</v>
      </c>
      <c r="E133" s="40">
        <v>7922</v>
      </c>
      <c r="F133" s="40">
        <v>1768</v>
      </c>
      <c r="G133" s="40">
        <v>50</v>
      </c>
    </row>
    <row r="134" spans="1:7" x14ac:dyDescent="0.3">
      <c r="A134" s="40">
        <v>189</v>
      </c>
      <c r="B134" s="39" t="s">
        <v>2477</v>
      </c>
      <c r="C134" s="39" t="s">
        <v>2478</v>
      </c>
      <c r="D134" s="39" t="s">
        <v>2214</v>
      </c>
      <c r="E134" s="40">
        <v>16459</v>
      </c>
      <c r="F134" s="40">
        <v>1758</v>
      </c>
      <c r="G134" s="40">
        <v>50</v>
      </c>
    </row>
    <row r="135" spans="1:7" x14ac:dyDescent="0.3">
      <c r="A135" s="40">
        <v>189</v>
      </c>
      <c r="B135" s="39" t="s">
        <v>2479</v>
      </c>
      <c r="C135" s="39" t="s">
        <v>2480</v>
      </c>
      <c r="D135" s="39" t="s">
        <v>2214</v>
      </c>
      <c r="E135" s="40">
        <v>18094</v>
      </c>
      <c r="F135" s="40">
        <v>2018</v>
      </c>
      <c r="G135" s="40">
        <v>50</v>
      </c>
    </row>
    <row r="136" spans="1:7" x14ac:dyDescent="0.3">
      <c r="A136" s="40">
        <v>189</v>
      </c>
      <c r="B136" s="39" t="s">
        <v>2481</v>
      </c>
      <c r="C136" s="39" t="s">
        <v>2482</v>
      </c>
      <c r="D136" s="39" t="s">
        <v>2214</v>
      </c>
      <c r="E136" s="40">
        <v>14660</v>
      </c>
      <c r="F136" s="40">
        <v>2053</v>
      </c>
      <c r="G136" s="40">
        <v>50</v>
      </c>
    </row>
    <row r="137" spans="1:7" x14ac:dyDescent="0.3">
      <c r="A137" s="40">
        <v>189</v>
      </c>
      <c r="B137" s="39" t="s">
        <v>2483</v>
      </c>
      <c r="C137" s="39" t="s">
        <v>2484</v>
      </c>
      <c r="D137" s="39" t="s">
        <v>2214</v>
      </c>
      <c r="E137" s="40">
        <v>20393</v>
      </c>
      <c r="F137" s="40">
        <v>2154</v>
      </c>
      <c r="G137" s="40">
        <v>50</v>
      </c>
    </row>
    <row r="138" spans="1:7" x14ac:dyDescent="0.3">
      <c r="A138" s="40">
        <v>189</v>
      </c>
      <c r="B138" s="39" t="s">
        <v>2485</v>
      </c>
      <c r="C138" s="39" t="s">
        <v>2486</v>
      </c>
      <c r="D138" s="39" t="s">
        <v>2214</v>
      </c>
      <c r="E138" s="40">
        <v>450</v>
      </c>
      <c r="F138" s="40">
        <v>695</v>
      </c>
      <c r="G138" s="40">
        <v>50</v>
      </c>
    </row>
    <row r="139" spans="1:7" x14ac:dyDescent="0.3">
      <c r="A139" s="40">
        <v>189</v>
      </c>
      <c r="B139" s="39" t="s">
        <v>2487</v>
      </c>
      <c r="C139" s="39" t="s">
        <v>2488</v>
      </c>
      <c r="D139" s="39" t="s">
        <v>2214</v>
      </c>
      <c r="E139" s="40">
        <v>3636</v>
      </c>
      <c r="F139" s="40">
        <v>2022</v>
      </c>
      <c r="G139" s="40">
        <v>50</v>
      </c>
    </row>
    <row r="140" spans="1:7" x14ac:dyDescent="0.3">
      <c r="A140" s="40">
        <v>189</v>
      </c>
      <c r="B140" s="39" t="s">
        <v>2489</v>
      </c>
      <c r="C140" s="39" t="s">
        <v>2490</v>
      </c>
      <c r="D140" s="39" t="s">
        <v>2214</v>
      </c>
      <c r="E140" s="40">
        <v>26000</v>
      </c>
      <c r="F140" s="40">
        <v>1956</v>
      </c>
      <c r="G140" s="40">
        <v>50</v>
      </c>
    </row>
    <row r="141" spans="1:7" x14ac:dyDescent="0.3">
      <c r="A141" s="40">
        <v>189</v>
      </c>
      <c r="B141" s="39" t="s">
        <v>2491</v>
      </c>
      <c r="C141" s="39" t="s">
        <v>2492</v>
      </c>
      <c r="D141" s="39" t="s">
        <v>2214</v>
      </c>
      <c r="E141" s="40">
        <v>88000</v>
      </c>
      <c r="F141" s="40">
        <v>2049</v>
      </c>
      <c r="G141" s="40">
        <v>50</v>
      </c>
    </row>
    <row r="142" spans="1:7" x14ac:dyDescent="0.3">
      <c r="A142" s="40">
        <v>189</v>
      </c>
      <c r="B142" s="39" t="s">
        <v>2493</v>
      </c>
      <c r="C142" s="39" t="s">
        <v>2494</v>
      </c>
      <c r="D142" s="39" t="s">
        <v>2221</v>
      </c>
      <c r="E142" s="40">
        <v>-3</v>
      </c>
      <c r="F142" s="40">
        <v>-3</v>
      </c>
      <c r="G142" s="40">
        <v>-3</v>
      </c>
    </row>
    <row r="143" spans="1:7" x14ac:dyDescent="0.3">
      <c r="A143" s="40">
        <v>190</v>
      </c>
      <c r="B143" s="39" t="s">
        <v>2495</v>
      </c>
      <c r="C143" s="39" t="s">
        <v>2496</v>
      </c>
      <c r="D143" s="39" t="s">
        <v>2214</v>
      </c>
      <c r="E143" s="40">
        <v>10500</v>
      </c>
      <c r="F143" s="40">
        <v>1799</v>
      </c>
      <c r="G143" s="40">
        <v>52</v>
      </c>
    </row>
    <row r="144" spans="1:7" x14ac:dyDescent="0.3">
      <c r="A144" s="40">
        <v>190</v>
      </c>
      <c r="B144" s="39" t="s">
        <v>2374</v>
      </c>
      <c r="C144" s="39" t="s">
        <v>2497</v>
      </c>
      <c r="D144" s="39" t="s">
        <v>2214</v>
      </c>
      <c r="E144" s="40">
        <v>12000</v>
      </c>
      <c r="F144" s="40">
        <v>1909</v>
      </c>
      <c r="G144" s="40">
        <v>52</v>
      </c>
    </row>
    <row r="145" spans="1:7" x14ac:dyDescent="0.3">
      <c r="A145" s="40">
        <v>190</v>
      </c>
      <c r="B145" s="39" t="s">
        <v>2498</v>
      </c>
      <c r="C145" s="39" t="s">
        <v>2499</v>
      </c>
      <c r="D145" s="39" t="s">
        <v>2214</v>
      </c>
      <c r="E145" s="40">
        <v>6922</v>
      </c>
      <c r="F145" s="40">
        <v>1140</v>
      </c>
      <c r="G145" s="40">
        <v>33</v>
      </c>
    </row>
    <row r="146" spans="1:7" x14ac:dyDescent="0.3">
      <c r="A146" s="40">
        <v>190</v>
      </c>
      <c r="B146" s="39" t="s">
        <v>2500</v>
      </c>
      <c r="C146" s="39" t="s">
        <v>2501</v>
      </c>
      <c r="D146" s="39" t="s">
        <v>2214</v>
      </c>
      <c r="E146" s="40">
        <v>2700</v>
      </c>
      <c r="F146" s="40">
        <v>2054</v>
      </c>
      <c r="G146" s="40">
        <v>52</v>
      </c>
    </row>
    <row r="147" spans="1:7" x14ac:dyDescent="0.3">
      <c r="A147" s="40">
        <v>190</v>
      </c>
      <c r="B147" s="39" t="s">
        <v>2502</v>
      </c>
      <c r="C147" s="39" t="s">
        <v>2503</v>
      </c>
      <c r="D147" s="39" t="s">
        <v>2214</v>
      </c>
      <c r="E147" s="40">
        <v>13268</v>
      </c>
      <c r="F147" s="40">
        <v>2209</v>
      </c>
      <c r="G147" s="40">
        <v>52</v>
      </c>
    </row>
    <row r="148" spans="1:7" x14ac:dyDescent="0.3">
      <c r="A148" s="40">
        <v>190</v>
      </c>
      <c r="B148" s="39" t="s">
        <v>2504</v>
      </c>
      <c r="C148" s="39" t="s">
        <v>2505</v>
      </c>
      <c r="D148" s="39" t="s">
        <v>2214</v>
      </c>
      <c r="E148" s="40">
        <v>12000</v>
      </c>
      <c r="F148" s="40">
        <v>2261</v>
      </c>
      <c r="G148" s="40">
        <v>52</v>
      </c>
    </row>
    <row r="149" spans="1:7" x14ac:dyDescent="0.3">
      <c r="A149" s="40">
        <v>190</v>
      </c>
      <c r="B149" s="39" t="s">
        <v>2506</v>
      </c>
      <c r="C149" s="39" t="s">
        <v>2507</v>
      </c>
      <c r="D149" s="39" t="s">
        <v>2214</v>
      </c>
      <c r="E149" s="40">
        <v>7247</v>
      </c>
      <c r="F149" s="40">
        <v>2207</v>
      </c>
      <c r="G149" s="40">
        <v>52</v>
      </c>
    </row>
    <row r="150" spans="1:7" x14ac:dyDescent="0.3">
      <c r="A150" s="40">
        <v>190</v>
      </c>
      <c r="B150" s="39" t="s">
        <v>2508</v>
      </c>
      <c r="C150" s="39" t="s">
        <v>2509</v>
      </c>
      <c r="D150" s="39" t="s">
        <v>2214</v>
      </c>
      <c r="E150" s="40">
        <v>42000</v>
      </c>
      <c r="F150" s="40">
        <v>2654</v>
      </c>
      <c r="G150" s="40">
        <v>52</v>
      </c>
    </row>
    <row r="151" spans="1:7" x14ac:dyDescent="0.3">
      <c r="A151" s="40">
        <v>190</v>
      </c>
      <c r="B151" s="39" t="s">
        <v>2510</v>
      </c>
      <c r="C151" s="39" t="s">
        <v>2511</v>
      </c>
      <c r="D151" s="39" t="s">
        <v>2214</v>
      </c>
      <c r="E151" s="40">
        <v>9500</v>
      </c>
      <c r="F151" s="40">
        <v>2362</v>
      </c>
      <c r="G151" s="40">
        <v>52</v>
      </c>
    </row>
    <row r="152" spans="1:7" x14ac:dyDescent="0.3">
      <c r="A152" s="40">
        <v>190</v>
      </c>
      <c r="B152" s="39" t="s">
        <v>2512</v>
      </c>
      <c r="C152" s="39" t="s">
        <v>2513</v>
      </c>
      <c r="D152" s="39" t="s">
        <v>2214</v>
      </c>
      <c r="E152" s="40">
        <v>5883</v>
      </c>
      <c r="F152" s="40">
        <v>2012</v>
      </c>
      <c r="G152" s="40">
        <v>52</v>
      </c>
    </row>
    <row r="153" spans="1:7" x14ac:dyDescent="0.3">
      <c r="A153" s="40">
        <v>190</v>
      </c>
      <c r="B153" s="39" t="s">
        <v>2514</v>
      </c>
      <c r="C153" s="39" t="s">
        <v>2515</v>
      </c>
      <c r="D153" s="39" t="s">
        <v>2214</v>
      </c>
      <c r="E153" s="40">
        <v>10500</v>
      </c>
      <c r="F153" s="40">
        <v>2357</v>
      </c>
      <c r="G153" s="40">
        <v>52</v>
      </c>
    </row>
    <row r="154" spans="1:7" x14ac:dyDescent="0.3">
      <c r="A154" s="40">
        <v>190</v>
      </c>
      <c r="B154" s="39" t="s">
        <v>2516</v>
      </c>
      <c r="C154" s="39" t="s">
        <v>2517</v>
      </c>
      <c r="D154" s="39" t="s">
        <v>2214</v>
      </c>
      <c r="E154" s="40">
        <v>6100</v>
      </c>
      <c r="F154" s="40">
        <v>2150</v>
      </c>
      <c r="G154" s="40">
        <v>52</v>
      </c>
    </row>
    <row r="155" spans="1:7" x14ac:dyDescent="0.3">
      <c r="A155" s="40">
        <v>190</v>
      </c>
      <c r="B155" s="39" t="s">
        <v>2518</v>
      </c>
      <c r="C155" s="39" t="s">
        <v>2519</v>
      </c>
      <c r="D155" s="39" t="s">
        <v>2214</v>
      </c>
      <c r="E155" s="40">
        <v>14000</v>
      </c>
      <c r="F155" s="40">
        <v>2463</v>
      </c>
      <c r="G155" s="40">
        <v>52</v>
      </c>
    </row>
    <row r="156" spans="1:7" x14ac:dyDescent="0.3">
      <c r="A156" s="40">
        <v>190</v>
      </c>
      <c r="B156" s="39" t="s">
        <v>2520</v>
      </c>
      <c r="C156" s="39" t="s">
        <v>2521</v>
      </c>
      <c r="D156" s="39" t="s">
        <v>2214</v>
      </c>
      <c r="E156" s="40">
        <v>20000</v>
      </c>
      <c r="F156" s="40">
        <v>1960</v>
      </c>
      <c r="G156" s="40">
        <v>52</v>
      </c>
    </row>
    <row r="157" spans="1:7" x14ac:dyDescent="0.3">
      <c r="A157" s="40">
        <v>190</v>
      </c>
      <c r="B157" s="39" t="s">
        <v>2522</v>
      </c>
      <c r="C157" s="39" t="s">
        <v>2523</v>
      </c>
      <c r="D157" s="39" t="s">
        <v>2214</v>
      </c>
      <c r="E157" s="40">
        <v>10137</v>
      </c>
      <c r="F157" s="40">
        <v>2159</v>
      </c>
      <c r="G157" s="40">
        <v>52</v>
      </c>
    </row>
    <row r="158" spans="1:7" x14ac:dyDescent="0.3">
      <c r="A158" s="40">
        <v>190</v>
      </c>
      <c r="B158" s="39" t="s">
        <v>2524</v>
      </c>
      <c r="C158" s="39" t="s">
        <v>2525</v>
      </c>
      <c r="D158" s="39" t="s">
        <v>2214</v>
      </c>
      <c r="E158" s="40">
        <v>15000</v>
      </c>
      <c r="F158" s="40">
        <v>2215</v>
      </c>
      <c r="G158" s="40">
        <v>52</v>
      </c>
    </row>
    <row r="159" spans="1:7" x14ac:dyDescent="0.3">
      <c r="A159" s="40">
        <v>190</v>
      </c>
      <c r="B159" s="39" t="s">
        <v>2526</v>
      </c>
      <c r="C159" s="39" t="s">
        <v>2527</v>
      </c>
      <c r="D159" s="39" t="s">
        <v>2214</v>
      </c>
      <c r="E159" s="40">
        <v>15000</v>
      </c>
      <c r="F159" s="40">
        <v>2254</v>
      </c>
      <c r="G159" s="40">
        <v>52</v>
      </c>
    </row>
    <row r="160" spans="1:7" x14ac:dyDescent="0.3">
      <c r="A160" s="40">
        <v>190</v>
      </c>
      <c r="B160" s="39" t="s">
        <v>2528</v>
      </c>
      <c r="C160" s="39" t="s">
        <v>2529</v>
      </c>
      <c r="D160" s="39" t="s">
        <v>2214</v>
      </c>
      <c r="E160" s="40">
        <v>12300</v>
      </c>
      <c r="F160" s="40">
        <v>2357</v>
      </c>
      <c r="G160" s="40">
        <v>52</v>
      </c>
    </row>
    <row r="161" spans="1:7" x14ac:dyDescent="0.3">
      <c r="A161" s="40">
        <v>190</v>
      </c>
      <c r="B161" s="39" t="s">
        <v>2530</v>
      </c>
      <c r="C161" s="39" t="s">
        <v>2531</v>
      </c>
      <c r="D161" s="39" t="s">
        <v>2214</v>
      </c>
      <c r="E161" s="40">
        <v>30000</v>
      </c>
      <c r="F161" s="40">
        <v>2667</v>
      </c>
      <c r="G161" s="40">
        <v>52</v>
      </c>
    </row>
    <row r="162" spans="1:7" x14ac:dyDescent="0.3">
      <c r="A162" s="40">
        <v>190</v>
      </c>
      <c r="B162" s="39" t="s">
        <v>2532</v>
      </c>
      <c r="C162" s="39" t="s">
        <v>2533</v>
      </c>
      <c r="D162" s="39" t="s">
        <v>2214</v>
      </c>
      <c r="E162" s="40">
        <v>23357</v>
      </c>
      <c r="F162" s="40">
        <v>2359</v>
      </c>
      <c r="G162" s="40">
        <v>52</v>
      </c>
    </row>
    <row r="163" spans="1:7" x14ac:dyDescent="0.3">
      <c r="A163" s="40">
        <v>190</v>
      </c>
      <c r="B163" s="39" t="s">
        <v>2534</v>
      </c>
      <c r="C163" s="39" t="s">
        <v>2535</v>
      </c>
      <c r="D163" s="39" t="s">
        <v>2214</v>
      </c>
      <c r="E163" s="40">
        <v>21100</v>
      </c>
      <c r="F163" s="40">
        <v>2354</v>
      </c>
      <c r="G163" s="40">
        <v>52</v>
      </c>
    </row>
    <row r="164" spans="1:7" x14ac:dyDescent="0.3">
      <c r="A164" s="40">
        <v>190</v>
      </c>
      <c r="B164" s="39" t="s">
        <v>2536</v>
      </c>
      <c r="C164" s="39" t="s">
        <v>2537</v>
      </c>
      <c r="D164" s="39" t="s">
        <v>2214</v>
      </c>
      <c r="E164" s="40">
        <v>6910</v>
      </c>
      <c r="F164" s="40">
        <v>1909</v>
      </c>
      <c r="G164" s="40">
        <v>52</v>
      </c>
    </row>
    <row r="165" spans="1:7" x14ac:dyDescent="0.3">
      <c r="A165" s="40">
        <v>190</v>
      </c>
      <c r="B165" s="39" t="s">
        <v>2538</v>
      </c>
      <c r="C165" s="39" t="s">
        <v>2539</v>
      </c>
      <c r="D165" s="39" t="s">
        <v>2214</v>
      </c>
      <c r="E165" s="40">
        <v>32000</v>
      </c>
      <c r="F165" s="40">
        <v>2660</v>
      </c>
      <c r="G165" s="40">
        <v>52</v>
      </c>
    </row>
    <row r="166" spans="1:7" x14ac:dyDescent="0.3">
      <c r="A166" s="40">
        <v>190</v>
      </c>
      <c r="B166" s="39" t="s">
        <v>2540</v>
      </c>
      <c r="C166" s="39" t="s">
        <v>2541</v>
      </c>
      <c r="D166" s="39" t="s">
        <v>2214</v>
      </c>
      <c r="E166" s="40">
        <v>72000</v>
      </c>
      <c r="F166" s="40">
        <v>3557</v>
      </c>
      <c r="G166" s="40">
        <v>52</v>
      </c>
    </row>
    <row r="167" spans="1:7" x14ac:dyDescent="0.3">
      <c r="A167" s="40">
        <v>190</v>
      </c>
      <c r="B167" s="39" t="s">
        <v>2542</v>
      </c>
      <c r="C167" s="39" t="s">
        <v>2543</v>
      </c>
      <c r="D167" s="39" t="s">
        <v>2214</v>
      </c>
      <c r="E167" s="40">
        <v>12000</v>
      </c>
      <c r="F167" s="40">
        <v>2357</v>
      </c>
      <c r="G167" s="40">
        <v>52</v>
      </c>
    </row>
    <row r="168" spans="1:7" x14ac:dyDescent="0.3">
      <c r="A168" s="40">
        <v>190</v>
      </c>
      <c r="B168" s="39" t="s">
        <v>2544</v>
      </c>
      <c r="C168" s="39" t="s">
        <v>2545</v>
      </c>
      <c r="D168" s="39" t="s">
        <v>2214</v>
      </c>
      <c r="E168" s="40">
        <v>78500</v>
      </c>
      <c r="F168" s="40">
        <v>4270</v>
      </c>
      <c r="G168" s="40">
        <v>52</v>
      </c>
    </row>
    <row r="169" spans="1:7" x14ac:dyDescent="0.3">
      <c r="A169" s="40">
        <v>190</v>
      </c>
      <c r="B169" s="39" t="s">
        <v>2546</v>
      </c>
      <c r="C169" s="39" t="s">
        <v>2547</v>
      </c>
      <c r="D169" s="39" t="s">
        <v>2214</v>
      </c>
      <c r="E169" s="40">
        <v>552</v>
      </c>
      <c r="F169" s="40">
        <v>2000</v>
      </c>
      <c r="G169" s="40">
        <v>52</v>
      </c>
    </row>
    <row r="170" spans="1:7" x14ac:dyDescent="0.3">
      <c r="A170" s="40">
        <v>190</v>
      </c>
      <c r="B170" s="39" t="s">
        <v>2548</v>
      </c>
      <c r="C170" s="39" t="s">
        <v>2549</v>
      </c>
      <c r="D170" s="39" t="s">
        <v>2214</v>
      </c>
      <c r="E170" s="40">
        <v>275</v>
      </c>
      <c r="F170" s="40">
        <v>2000</v>
      </c>
      <c r="G170" s="40">
        <v>52</v>
      </c>
    </row>
    <row r="171" spans="1:7" x14ac:dyDescent="0.3">
      <c r="A171" s="40">
        <v>198</v>
      </c>
      <c r="B171" s="39" t="s">
        <v>2550</v>
      </c>
      <c r="C171" s="39" t="s">
        <v>2551</v>
      </c>
      <c r="D171" s="39" t="s">
        <v>2214</v>
      </c>
      <c r="E171" s="40">
        <v>25000</v>
      </c>
      <c r="F171" s="40">
        <v>2744</v>
      </c>
      <c r="G171" s="40">
        <v>52</v>
      </c>
    </row>
    <row r="172" spans="1:7" x14ac:dyDescent="0.3">
      <c r="A172" s="40">
        <v>198</v>
      </c>
      <c r="B172" s="39" t="s">
        <v>2552</v>
      </c>
      <c r="C172" s="39" t="s">
        <v>2553</v>
      </c>
      <c r="D172" s="39" t="s">
        <v>2214</v>
      </c>
      <c r="E172" s="40">
        <v>5700</v>
      </c>
      <c r="F172" s="40">
        <v>1600</v>
      </c>
      <c r="G172" s="40">
        <v>52</v>
      </c>
    </row>
    <row r="173" spans="1:7" x14ac:dyDescent="0.3">
      <c r="A173" s="40">
        <v>198</v>
      </c>
      <c r="B173" s="39" t="s">
        <v>2554</v>
      </c>
      <c r="C173" s="39" t="s">
        <v>2555</v>
      </c>
      <c r="D173" s="39" t="s">
        <v>2214</v>
      </c>
      <c r="E173" s="40">
        <v>26000</v>
      </c>
      <c r="F173" s="40">
        <v>2312</v>
      </c>
      <c r="G173" s="40">
        <v>44</v>
      </c>
    </row>
    <row r="174" spans="1:7" x14ac:dyDescent="0.3">
      <c r="A174" s="40">
        <v>2</v>
      </c>
      <c r="B174" s="39" t="s">
        <v>2556</v>
      </c>
      <c r="C174" s="39" t="s">
        <v>2557</v>
      </c>
      <c r="D174" s="39" t="s">
        <v>2214</v>
      </c>
      <c r="E174" s="40">
        <v>5600</v>
      </c>
      <c r="F174" s="40">
        <v>3077</v>
      </c>
      <c r="G174" s="40">
        <v>52</v>
      </c>
    </row>
    <row r="175" spans="1:7" x14ac:dyDescent="0.3">
      <c r="A175" s="40">
        <v>2</v>
      </c>
      <c r="B175" s="39" t="s">
        <v>2558</v>
      </c>
      <c r="C175" s="39" t="s">
        <v>2559</v>
      </c>
      <c r="D175" s="39" t="s">
        <v>2214</v>
      </c>
      <c r="E175" s="40">
        <v>11880</v>
      </c>
      <c r="F175" s="40">
        <v>3158</v>
      </c>
      <c r="G175" s="40">
        <v>52</v>
      </c>
    </row>
    <row r="176" spans="1:7" x14ac:dyDescent="0.3">
      <c r="A176" s="40">
        <v>20</v>
      </c>
      <c r="B176" s="39" t="s">
        <v>2560</v>
      </c>
      <c r="C176" s="39" t="s">
        <v>2561</v>
      </c>
      <c r="D176" s="39" t="s">
        <v>2214</v>
      </c>
      <c r="E176" s="40">
        <v>36176</v>
      </c>
      <c r="F176" s="40">
        <v>2346</v>
      </c>
      <c r="G176" s="40">
        <v>52</v>
      </c>
    </row>
    <row r="177" spans="1:7" x14ac:dyDescent="0.3">
      <c r="A177" s="40">
        <v>20</v>
      </c>
      <c r="B177" s="39" t="s">
        <v>2562</v>
      </c>
      <c r="C177" s="39" t="s">
        <v>2563</v>
      </c>
      <c r="D177" s="39" t="s">
        <v>2214</v>
      </c>
      <c r="E177" s="40">
        <v>14967</v>
      </c>
      <c r="F177" s="40">
        <v>2526</v>
      </c>
      <c r="G177" s="40">
        <v>52</v>
      </c>
    </row>
    <row r="178" spans="1:7" x14ac:dyDescent="0.3">
      <c r="A178" s="40">
        <v>20</v>
      </c>
      <c r="B178" s="39" t="s">
        <v>2564</v>
      </c>
      <c r="C178" s="39" t="s">
        <v>2565</v>
      </c>
      <c r="D178" s="39" t="s">
        <v>2214</v>
      </c>
      <c r="E178" s="40">
        <v>8266</v>
      </c>
      <c r="F178" s="40">
        <v>2542</v>
      </c>
      <c r="G178" s="40">
        <v>52</v>
      </c>
    </row>
    <row r="179" spans="1:7" x14ac:dyDescent="0.3">
      <c r="A179" s="40">
        <v>20</v>
      </c>
      <c r="B179" s="39" t="s">
        <v>2566</v>
      </c>
      <c r="C179" s="39" t="s">
        <v>2567</v>
      </c>
      <c r="D179" s="39" t="s">
        <v>2214</v>
      </c>
      <c r="E179" s="40">
        <v>8580</v>
      </c>
      <c r="F179" s="40">
        <v>2392</v>
      </c>
      <c r="G179" s="40">
        <v>52</v>
      </c>
    </row>
    <row r="180" spans="1:7" x14ac:dyDescent="0.3">
      <c r="A180" s="40">
        <v>20</v>
      </c>
      <c r="B180" s="39" t="s">
        <v>2568</v>
      </c>
      <c r="C180" s="39" t="s">
        <v>2569</v>
      </c>
      <c r="D180" s="39" t="s">
        <v>2214</v>
      </c>
      <c r="E180" s="40">
        <v>8110</v>
      </c>
      <c r="F180" s="40">
        <v>2542</v>
      </c>
      <c r="G180" s="40">
        <v>52</v>
      </c>
    </row>
    <row r="181" spans="1:7" x14ac:dyDescent="0.3">
      <c r="A181" s="40">
        <v>20</v>
      </c>
      <c r="B181" s="39" t="s">
        <v>2570</v>
      </c>
      <c r="C181" s="39" t="s">
        <v>2571</v>
      </c>
      <c r="D181" s="39" t="s">
        <v>2214</v>
      </c>
      <c r="E181" s="40">
        <v>6700</v>
      </c>
      <c r="F181" s="40">
        <v>2392</v>
      </c>
      <c r="G181" s="40">
        <v>52</v>
      </c>
    </row>
    <row r="182" spans="1:7" x14ac:dyDescent="0.3">
      <c r="A182" s="40">
        <v>20</v>
      </c>
      <c r="B182" s="39" t="s">
        <v>2572</v>
      </c>
      <c r="C182" s="39" t="s">
        <v>2573</v>
      </c>
      <c r="D182" s="39" t="s">
        <v>2214</v>
      </c>
      <c r="E182" s="40">
        <v>11000</v>
      </c>
      <c r="F182" s="40">
        <v>2746</v>
      </c>
      <c r="G182" s="40">
        <v>52</v>
      </c>
    </row>
    <row r="183" spans="1:7" x14ac:dyDescent="0.3">
      <c r="A183" s="40">
        <v>20</v>
      </c>
      <c r="B183" s="39" t="s">
        <v>2574</v>
      </c>
      <c r="C183" s="39" t="s">
        <v>2575</v>
      </c>
      <c r="D183" s="39" t="s">
        <v>2214</v>
      </c>
      <c r="E183" s="40">
        <v>14500</v>
      </c>
      <c r="F183" s="40">
        <v>2746</v>
      </c>
      <c r="G183" s="40">
        <v>52</v>
      </c>
    </row>
    <row r="184" spans="1:7" x14ac:dyDescent="0.3">
      <c r="A184" s="40">
        <v>20</v>
      </c>
      <c r="B184" s="39" t="s">
        <v>2576</v>
      </c>
      <c r="C184" s="39" t="s">
        <v>2577</v>
      </c>
      <c r="D184" s="39" t="s">
        <v>2214</v>
      </c>
      <c r="E184" s="40">
        <v>15120</v>
      </c>
      <c r="F184" s="40">
        <v>2542</v>
      </c>
      <c r="G184" s="40">
        <v>52</v>
      </c>
    </row>
    <row r="185" spans="1:7" x14ac:dyDescent="0.3">
      <c r="A185" s="40">
        <v>20</v>
      </c>
      <c r="B185" s="39" t="s">
        <v>2578</v>
      </c>
      <c r="C185" s="39" t="s">
        <v>2579</v>
      </c>
      <c r="D185" s="39" t="s">
        <v>2214</v>
      </c>
      <c r="E185" s="40">
        <v>7536</v>
      </c>
      <c r="F185" s="40">
        <v>2340</v>
      </c>
      <c r="G185" s="40">
        <v>52</v>
      </c>
    </row>
    <row r="186" spans="1:7" x14ac:dyDescent="0.3">
      <c r="A186" s="40">
        <v>20</v>
      </c>
      <c r="B186" s="39" t="s">
        <v>2580</v>
      </c>
      <c r="C186" s="39" t="s">
        <v>2581</v>
      </c>
      <c r="D186" s="39" t="s">
        <v>2214</v>
      </c>
      <c r="E186" s="40">
        <v>10738</v>
      </c>
      <c r="F186" s="40">
        <v>2392</v>
      </c>
      <c r="G186" s="40">
        <v>52</v>
      </c>
    </row>
    <row r="187" spans="1:7" x14ac:dyDescent="0.3">
      <c r="A187" s="40">
        <v>20</v>
      </c>
      <c r="B187" s="39" t="s">
        <v>2582</v>
      </c>
      <c r="C187" s="39" t="s">
        <v>2583</v>
      </c>
      <c r="D187" s="39" t="s">
        <v>2214</v>
      </c>
      <c r="E187" s="40">
        <v>10000</v>
      </c>
      <c r="F187" s="40">
        <v>2392</v>
      </c>
      <c r="G187" s="40">
        <v>52</v>
      </c>
    </row>
    <row r="188" spans="1:7" x14ac:dyDescent="0.3">
      <c r="A188" s="40">
        <v>20</v>
      </c>
      <c r="B188" s="39" t="s">
        <v>2584</v>
      </c>
      <c r="C188" s="39" t="s">
        <v>2585</v>
      </c>
      <c r="D188" s="39" t="s">
        <v>2214</v>
      </c>
      <c r="E188" s="40">
        <v>9017</v>
      </c>
      <c r="F188" s="40">
        <v>2542</v>
      </c>
      <c r="G188" s="40">
        <v>52</v>
      </c>
    </row>
    <row r="189" spans="1:7" x14ac:dyDescent="0.3">
      <c r="A189" s="40">
        <v>20</v>
      </c>
      <c r="B189" s="39" t="s">
        <v>2586</v>
      </c>
      <c r="C189" s="39" t="s">
        <v>2587</v>
      </c>
      <c r="D189" s="39" t="s">
        <v>2214</v>
      </c>
      <c r="E189" s="40">
        <v>9017</v>
      </c>
      <c r="F189" s="40">
        <v>2542</v>
      </c>
      <c r="G189" s="40">
        <v>52</v>
      </c>
    </row>
    <row r="190" spans="1:7" x14ac:dyDescent="0.3">
      <c r="A190" s="40">
        <v>20</v>
      </c>
      <c r="B190" s="39" t="s">
        <v>2588</v>
      </c>
      <c r="C190" s="39" t="s">
        <v>2589</v>
      </c>
      <c r="D190" s="39" t="s">
        <v>2214</v>
      </c>
      <c r="E190" s="40">
        <v>16000</v>
      </c>
      <c r="F190" s="40">
        <v>2746</v>
      </c>
      <c r="G190" s="40">
        <v>52</v>
      </c>
    </row>
    <row r="191" spans="1:7" x14ac:dyDescent="0.3">
      <c r="A191" s="40">
        <v>20</v>
      </c>
      <c r="B191" s="39" t="s">
        <v>2590</v>
      </c>
      <c r="C191" s="39" t="s">
        <v>2591</v>
      </c>
      <c r="D191" s="39" t="s">
        <v>2214</v>
      </c>
      <c r="E191" s="40">
        <v>13257</v>
      </c>
      <c r="F191" s="40">
        <v>2392</v>
      </c>
      <c r="G191" s="40">
        <v>52</v>
      </c>
    </row>
    <row r="192" spans="1:7" x14ac:dyDescent="0.3">
      <c r="A192" s="40">
        <v>20</v>
      </c>
      <c r="B192" s="39" t="s">
        <v>2592</v>
      </c>
      <c r="C192" s="39" t="s">
        <v>2593</v>
      </c>
      <c r="D192" s="39" t="s">
        <v>2214</v>
      </c>
      <c r="E192" s="40">
        <v>10827</v>
      </c>
      <c r="F192" s="40">
        <v>2392</v>
      </c>
      <c r="G192" s="40">
        <v>52</v>
      </c>
    </row>
    <row r="193" spans="1:7" x14ac:dyDescent="0.3">
      <c r="A193" s="40">
        <v>20</v>
      </c>
      <c r="B193" s="39" t="s">
        <v>2594</v>
      </c>
      <c r="C193" s="39" t="s">
        <v>2595</v>
      </c>
      <c r="D193" s="39" t="s">
        <v>2214</v>
      </c>
      <c r="E193" s="40">
        <v>10120</v>
      </c>
      <c r="F193" s="40">
        <v>2392</v>
      </c>
      <c r="G193" s="40">
        <v>52</v>
      </c>
    </row>
    <row r="194" spans="1:7" x14ac:dyDescent="0.3">
      <c r="A194" s="40">
        <v>20</v>
      </c>
      <c r="B194" s="39" t="s">
        <v>2596</v>
      </c>
      <c r="C194" s="39" t="s">
        <v>2597</v>
      </c>
      <c r="D194" s="39" t="s">
        <v>2214</v>
      </c>
      <c r="E194" s="40">
        <v>8000</v>
      </c>
      <c r="F194" s="40">
        <v>2542</v>
      </c>
      <c r="G194" s="40">
        <v>52</v>
      </c>
    </row>
    <row r="195" spans="1:7" x14ac:dyDescent="0.3">
      <c r="A195" s="40">
        <v>20</v>
      </c>
      <c r="B195" s="39" t="s">
        <v>2598</v>
      </c>
      <c r="C195" s="39" t="s">
        <v>2599</v>
      </c>
      <c r="D195" s="39" t="s">
        <v>2214</v>
      </c>
      <c r="E195" s="40">
        <v>8630</v>
      </c>
      <c r="F195" s="40">
        <v>2392</v>
      </c>
      <c r="G195" s="40">
        <v>52</v>
      </c>
    </row>
    <row r="196" spans="1:7" x14ac:dyDescent="0.3">
      <c r="A196" s="40">
        <v>20</v>
      </c>
      <c r="B196" s="39" t="s">
        <v>2600</v>
      </c>
      <c r="C196" s="39" t="s">
        <v>2601</v>
      </c>
      <c r="D196" s="39" t="s">
        <v>2214</v>
      </c>
      <c r="E196" s="40">
        <v>8320</v>
      </c>
      <c r="F196" s="40">
        <v>2392</v>
      </c>
      <c r="G196" s="40">
        <v>52</v>
      </c>
    </row>
    <row r="197" spans="1:7" x14ac:dyDescent="0.3">
      <c r="A197" s="40">
        <v>212</v>
      </c>
      <c r="B197" s="39" t="s">
        <v>2602</v>
      </c>
      <c r="C197" s="39" t="s">
        <v>2603</v>
      </c>
      <c r="D197" s="39" t="s">
        <v>2214</v>
      </c>
      <c r="E197" s="40">
        <v>9606</v>
      </c>
      <c r="F197" s="40">
        <v>1560</v>
      </c>
      <c r="G197" s="40">
        <v>52</v>
      </c>
    </row>
    <row r="198" spans="1:7" x14ac:dyDescent="0.3">
      <c r="A198" s="40">
        <v>213</v>
      </c>
      <c r="B198" s="39" t="s">
        <v>2604</v>
      </c>
      <c r="C198" s="39" t="s">
        <v>2605</v>
      </c>
      <c r="D198" s="39" t="s">
        <v>2214</v>
      </c>
      <c r="E198" s="40">
        <v>1795</v>
      </c>
      <c r="F198" s="40">
        <v>1296</v>
      </c>
      <c r="G198" s="40">
        <v>49</v>
      </c>
    </row>
    <row r="199" spans="1:7" x14ac:dyDescent="0.3">
      <c r="A199" s="40">
        <v>215</v>
      </c>
      <c r="B199" s="39" t="s">
        <v>2606</v>
      </c>
      <c r="C199" s="39" t="s">
        <v>2607</v>
      </c>
      <c r="D199" s="39" t="s">
        <v>2214</v>
      </c>
      <c r="E199" s="40">
        <v>9800</v>
      </c>
      <c r="F199" s="40">
        <v>2598</v>
      </c>
      <c r="G199" s="40">
        <v>52</v>
      </c>
    </row>
    <row r="200" spans="1:7" x14ac:dyDescent="0.3">
      <c r="A200" s="40">
        <v>228</v>
      </c>
      <c r="B200" s="39" t="s">
        <v>2608</v>
      </c>
      <c r="C200" s="39" t="s">
        <v>2609</v>
      </c>
      <c r="D200" s="39" t="s">
        <v>2214</v>
      </c>
      <c r="E200" s="40">
        <v>5051</v>
      </c>
      <c r="F200" s="40">
        <v>2216</v>
      </c>
      <c r="G200" s="40">
        <v>50</v>
      </c>
    </row>
    <row r="201" spans="1:7" x14ac:dyDescent="0.3">
      <c r="A201" s="40">
        <v>228</v>
      </c>
      <c r="B201" s="39" t="s">
        <v>2610</v>
      </c>
      <c r="C201" s="39" t="s">
        <v>2611</v>
      </c>
      <c r="D201" s="39" t="s">
        <v>2221</v>
      </c>
      <c r="E201" s="40">
        <v>240</v>
      </c>
      <c r="F201" s="40">
        <v>100</v>
      </c>
      <c r="G201" s="40">
        <v>3</v>
      </c>
    </row>
    <row r="202" spans="1:7" x14ac:dyDescent="0.3">
      <c r="A202" s="40">
        <v>228</v>
      </c>
      <c r="B202" s="39" t="s">
        <v>2612</v>
      </c>
      <c r="C202" s="39" t="s">
        <v>2613</v>
      </c>
      <c r="D202" s="39" t="s">
        <v>2214</v>
      </c>
      <c r="E202" s="40">
        <v>15151</v>
      </c>
      <c r="F202" s="40">
        <v>2307</v>
      </c>
      <c r="G202" s="40">
        <v>51</v>
      </c>
    </row>
    <row r="203" spans="1:7" x14ac:dyDescent="0.3">
      <c r="A203" s="40">
        <v>228</v>
      </c>
      <c r="B203" s="39" t="s">
        <v>2614</v>
      </c>
      <c r="C203" s="39" t="s">
        <v>2615</v>
      </c>
      <c r="D203" s="39" t="s">
        <v>2214</v>
      </c>
      <c r="E203" s="40">
        <v>1073</v>
      </c>
      <c r="F203" s="40">
        <v>962</v>
      </c>
      <c r="G203" s="40">
        <v>48</v>
      </c>
    </row>
    <row r="204" spans="1:7" x14ac:dyDescent="0.3">
      <c r="A204" s="40">
        <v>228</v>
      </c>
      <c r="B204" s="39" t="s">
        <v>2616</v>
      </c>
      <c r="C204" s="39" t="s">
        <v>2617</v>
      </c>
      <c r="D204" s="39" t="s">
        <v>2214</v>
      </c>
      <c r="E204" s="40">
        <v>8034</v>
      </c>
      <c r="F204" s="40">
        <v>1231</v>
      </c>
      <c r="G204" s="40">
        <v>29</v>
      </c>
    </row>
    <row r="205" spans="1:7" x14ac:dyDescent="0.3">
      <c r="A205" s="40">
        <v>228</v>
      </c>
      <c r="B205" s="39" t="s">
        <v>2618</v>
      </c>
      <c r="C205" s="39" t="s">
        <v>2619</v>
      </c>
      <c r="D205" s="39" t="s">
        <v>2214</v>
      </c>
      <c r="E205" s="40">
        <v>0</v>
      </c>
      <c r="F205" s="40">
        <v>0</v>
      </c>
      <c r="G205" s="40">
        <v>0</v>
      </c>
    </row>
    <row r="206" spans="1:7" x14ac:dyDescent="0.3">
      <c r="A206" s="40">
        <v>231</v>
      </c>
      <c r="B206" s="39" t="s">
        <v>2620</v>
      </c>
      <c r="C206" s="39" t="s">
        <v>2621</v>
      </c>
      <c r="D206" s="39" t="s">
        <v>2214</v>
      </c>
      <c r="E206" s="40">
        <v>1287</v>
      </c>
      <c r="F206" s="40">
        <v>1912</v>
      </c>
      <c r="G206" s="40">
        <v>50</v>
      </c>
    </row>
    <row r="207" spans="1:7" x14ac:dyDescent="0.3">
      <c r="A207" s="40">
        <v>236</v>
      </c>
      <c r="B207" s="39" t="s">
        <v>2622</v>
      </c>
      <c r="C207" s="39" t="s">
        <v>2623</v>
      </c>
      <c r="D207" s="39" t="s">
        <v>2214</v>
      </c>
      <c r="E207" s="40">
        <v>3433</v>
      </c>
      <c r="F207" s="40">
        <v>1970</v>
      </c>
      <c r="G207" s="40">
        <v>52</v>
      </c>
    </row>
    <row r="208" spans="1:7" x14ac:dyDescent="0.3">
      <c r="A208" s="40">
        <v>236</v>
      </c>
      <c r="B208" s="39" t="s">
        <v>2624</v>
      </c>
      <c r="C208" s="39" t="s">
        <v>2625</v>
      </c>
      <c r="D208" s="39" t="s">
        <v>2214</v>
      </c>
      <c r="E208" s="40">
        <v>9200</v>
      </c>
      <c r="F208" s="40">
        <v>2265</v>
      </c>
      <c r="G208" s="40">
        <v>52</v>
      </c>
    </row>
    <row r="209" spans="1:7" x14ac:dyDescent="0.3">
      <c r="A209" s="40">
        <v>238</v>
      </c>
      <c r="B209" s="39" t="s">
        <v>2626</v>
      </c>
      <c r="C209" s="39" t="s">
        <v>2627</v>
      </c>
      <c r="D209" s="39" t="s">
        <v>2214</v>
      </c>
      <c r="E209" s="40">
        <v>500</v>
      </c>
      <c r="F209" s="40">
        <v>1005</v>
      </c>
      <c r="G209" s="40">
        <v>52</v>
      </c>
    </row>
    <row r="210" spans="1:7" x14ac:dyDescent="0.3">
      <c r="A210" s="40">
        <v>240</v>
      </c>
      <c r="B210" s="39" t="s">
        <v>2628</v>
      </c>
      <c r="C210" s="39" t="s">
        <v>2629</v>
      </c>
      <c r="D210" s="39" t="s">
        <v>2214</v>
      </c>
      <c r="E210" s="40">
        <v>12630</v>
      </c>
      <c r="F210" s="40">
        <v>2727</v>
      </c>
      <c r="G210" s="40">
        <v>52</v>
      </c>
    </row>
    <row r="211" spans="1:7" x14ac:dyDescent="0.3">
      <c r="A211" s="40">
        <v>240</v>
      </c>
      <c r="B211" s="39" t="s">
        <v>2630</v>
      </c>
      <c r="C211" s="39" t="s">
        <v>2631</v>
      </c>
      <c r="D211" s="39" t="s">
        <v>2214</v>
      </c>
      <c r="E211" s="40">
        <v>10426</v>
      </c>
      <c r="F211" s="40">
        <v>2727</v>
      </c>
      <c r="G211" s="40">
        <v>52</v>
      </c>
    </row>
    <row r="212" spans="1:7" x14ac:dyDescent="0.3">
      <c r="A212" s="40">
        <v>240</v>
      </c>
      <c r="B212" s="39" t="s">
        <v>2632</v>
      </c>
      <c r="C212" s="39" t="s">
        <v>2633</v>
      </c>
      <c r="D212" s="39" t="s">
        <v>2214</v>
      </c>
      <c r="E212" s="40">
        <v>10426</v>
      </c>
      <c r="F212" s="40">
        <v>2727</v>
      </c>
      <c r="G212" s="40">
        <v>52</v>
      </c>
    </row>
    <row r="213" spans="1:7" x14ac:dyDescent="0.3">
      <c r="A213" s="40">
        <v>254</v>
      </c>
      <c r="B213" s="39" t="s">
        <v>2634</v>
      </c>
      <c r="C213" s="39" t="s">
        <v>2635</v>
      </c>
      <c r="D213" s="39" t="s">
        <v>2214</v>
      </c>
      <c r="E213" s="40">
        <v>11000</v>
      </c>
      <c r="F213" s="40">
        <v>3322</v>
      </c>
      <c r="G213" s="40">
        <v>52</v>
      </c>
    </row>
    <row r="214" spans="1:7" x14ac:dyDescent="0.3">
      <c r="A214" s="40">
        <v>254</v>
      </c>
      <c r="B214" s="39" t="s">
        <v>2636</v>
      </c>
      <c r="C214" s="39" t="s">
        <v>2637</v>
      </c>
      <c r="D214" s="39" t="s">
        <v>2214</v>
      </c>
      <c r="E214" s="40">
        <v>11000</v>
      </c>
      <c r="F214" s="40">
        <v>3322</v>
      </c>
      <c r="G214" s="40">
        <v>52</v>
      </c>
    </row>
    <row r="215" spans="1:7" x14ac:dyDescent="0.3">
      <c r="A215" s="40">
        <v>256</v>
      </c>
      <c r="B215" s="39" t="s">
        <v>2638</v>
      </c>
      <c r="C215" s="39" t="s">
        <v>2639</v>
      </c>
      <c r="D215" s="39" t="s">
        <v>2214</v>
      </c>
      <c r="E215" s="40">
        <v>20000</v>
      </c>
      <c r="F215" s="40">
        <v>3136</v>
      </c>
      <c r="G215" s="40">
        <v>52</v>
      </c>
    </row>
    <row r="216" spans="1:7" x14ac:dyDescent="0.3">
      <c r="A216" s="40">
        <v>262</v>
      </c>
      <c r="B216" s="39" t="s">
        <v>2640</v>
      </c>
      <c r="C216" s="39" t="s">
        <v>2641</v>
      </c>
      <c r="D216" s="39" t="s">
        <v>2214</v>
      </c>
      <c r="E216" s="40">
        <v>10000</v>
      </c>
      <c r="F216" s="40">
        <v>2730</v>
      </c>
      <c r="G216" s="40">
        <v>52</v>
      </c>
    </row>
    <row r="217" spans="1:7" x14ac:dyDescent="0.3">
      <c r="A217" s="40">
        <v>264</v>
      </c>
      <c r="B217" s="39" t="s">
        <v>2642</v>
      </c>
      <c r="C217" s="39" t="s">
        <v>2643</v>
      </c>
      <c r="D217" s="39" t="s">
        <v>2214</v>
      </c>
      <c r="E217" s="40">
        <v>32956</v>
      </c>
      <c r="F217" s="40">
        <v>3000</v>
      </c>
      <c r="G217" s="40">
        <v>49</v>
      </c>
    </row>
    <row r="218" spans="1:7" x14ac:dyDescent="0.3">
      <c r="A218" s="40">
        <v>266</v>
      </c>
      <c r="B218" s="39" t="s">
        <v>2644</v>
      </c>
      <c r="C218" s="39" t="s">
        <v>2645</v>
      </c>
      <c r="D218" s="39" t="s">
        <v>2221</v>
      </c>
      <c r="E218" s="40">
        <v>0</v>
      </c>
      <c r="F218" s="40">
        <v>212</v>
      </c>
      <c r="G218" s="40">
        <v>48</v>
      </c>
    </row>
    <row r="219" spans="1:7" x14ac:dyDescent="0.3">
      <c r="A219" s="40">
        <v>269</v>
      </c>
      <c r="B219" s="39" t="s">
        <v>2646</v>
      </c>
      <c r="C219" s="39" t="s">
        <v>2647</v>
      </c>
      <c r="D219" s="39" t="s">
        <v>2214</v>
      </c>
      <c r="E219" s="40">
        <v>480</v>
      </c>
      <c r="F219" s="40">
        <v>900</v>
      </c>
      <c r="G219" s="40">
        <v>52</v>
      </c>
    </row>
    <row r="220" spans="1:7" x14ac:dyDescent="0.3">
      <c r="A220" s="40">
        <v>269</v>
      </c>
      <c r="B220" s="39" t="s">
        <v>2648</v>
      </c>
      <c r="C220" s="39" t="s">
        <v>2649</v>
      </c>
      <c r="D220" s="39" t="s">
        <v>2214</v>
      </c>
      <c r="E220" s="40">
        <v>2030</v>
      </c>
      <c r="F220" s="40">
        <v>2223</v>
      </c>
      <c r="G220" s="40">
        <v>52</v>
      </c>
    </row>
    <row r="221" spans="1:7" x14ac:dyDescent="0.3">
      <c r="A221" s="40">
        <v>28</v>
      </c>
      <c r="B221" s="39" t="s">
        <v>2650</v>
      </c>
      <c r="C221" s="39" t="s">
        <v>2651</v>
      </c>
      <c r="D221" s="39" t="s">
        <v>2214</v>
      </c>
      <c r="E221" s="40">
        <v>500</v>
      </c>
      <c r="F221" s="40">
        <v>896</v>
      </c>
      <c r="G221" s="40">
        <v>46</v>
      </c>
    </row>
    <row r="222" spans="1:7" x14ac:dyDescent="0.3">
      <c r="A222" s="40">
        <v>283</v>
      </c>
      <c r="B222" s="39" t="s">
        <v>2652</v>
      </c>
      <c r="C222" s="39" t="s">
        <v>2653</v>
      </c>
      <c r="D222" s="39" t="s">
        <v>2214</v>
      </c>
      <c r="E222" s="40">
        <v>805</v>
      </c>
      <c r="F222" s="40">
        <v>1000</v>
      </c>
      <c r="G222" s="40">
        <v>50</v>
      </c>
    </row>
    <row r="223" spans="1:7" x14ac:dyDescent="0.3">
      <c r="A223" s="40">
        <v>284</v>
      </c>
      <c r="B223" s="39" t="s">
        <v>2654</v>
      </c>
      <c r="C223" s="39" t="s">
        <v>2655</v>
      </c>
      <c r="D223" s="39" t="s">
        <v>2214</v>
      </c>
      <c r="E223" s="40">
        <v>736</v>
      </c>
      <c r="F223" s="40">
        <v>1378</v>
      </c>
      <c r="G223" s="40">
        <v>50</v>
      </c>
    </row>
    <row r="224" spans="1:7" x14ac:dyDescent="0.3">
      <c r="A224" s="40">
        <v>295</v>
      </c>
      <c r="B224" s="39" t="s">
        <v>2656</v>
      </c>
      <c r="C224" s="39" t="s">
        <v>2657</v>
      </c>
      <c r="D224" s="39" t="s">
        <v>2214</v>
      </c>
      <c r="E224" s="40">
        <v>1099</v>
      </c>
      <c r="F224" s="40">
        <v>1030</v>
      </c>
      <c r="G224" s="40">
        <v>52</v>
      </c>
    </row>
    <row r="225" spans="1:7" x14ac:dyDescent="0.3">
      <c r="A225" s="40">
        <v>298</v>
      </c>
      <c r="B225" s="39" t="s">
        <v>2658</v>
      </c>
      <c r="C225" s="39" t="s">
        <v>2659</v>
      </c>
      <c r="D225" s="39" t="s">
        <v>2214</v>
      </c>
      <c r="E225" s="40">
        <v>1000</v>
      </c>
      <c r="F225" s="40">
        <v>880</v>
      </c>
      <c r="G225" s="40">
        <v>47</v>
      </c>
    </row>
    <row r="226" spans="1:7" x14ac:dyDescent="0.3">
      <c r="A226" s="40">
        <v>298</v>
      </c>
      <c r="B226" s="39" t="s">
        <v>2660</v>
      </c>
      <c r="C226" s="39" t="s">
        <v>2661</v>
      </c>
      <c r="D226" s="39" t="s">
        <v>2214</v>
      </c>
      <c r="E226" s="40">
        <v>3444</v>
      </c>
      <c r="F226" s="40">
        <v>988</v>
      </c>
      <c r="G226" s="40">
        <v>52</v>
      </c>
    </row>
    <row r="227" spans="1:7" x14ac:dyDescent="0.3">
      <c r="A227" s="40">
        <v>298</v>
      </c>
      <c r="B227" s="39" t="s">
        <v>2662</v>
      </c>
      <c r="C227" s="39" t="s">
        <v>2663</v>
      </c>
      <c r="D227" s="39" t="s">
        <v>2214</v>
      </c>
      <c r="E227" s="40">
        <v>1200</v>
      </c>
      <c r="F227" s="40">
        <v>988</v>
      </c>
      <c r="G227" s="40">
        <v>52</v>
      </c>
    </row>
    <row r="228" spans="1:7" x14ac:dyDescent="0.3">
      <c r="A228" s="40">
        <v>30</v>
      </c>
      <c r="B228" s="39" t="s">
        <v>2664</v>
      </c>
      <c r="C228" s="39" t="s">
        <v>2665</v>
      </c>
      <c r="D228" s="39" t="s">
        <v>2214</v>
      </c>
      <c r="E228" s="40">
        <v>11500</v>
      </c>
      <c r="F228" s="40">
        <v>3132</v>
      </c>
      <c r="G228" s="40">
        <v>52</v>
      </c>
    </row>
    <row r="229" spans="1:7" x14ac:dyDescent="0.3">
      <c r="A229" s="40">
        <v>30</v>
      </c>
      <c r="B229" s="39" t="s">
        <v>2666</v>
      </c>
      <c r="C229" s="39" t="s">
        <v>2667</v>
      </c>
      <c r="D229" s="39" t="s">
        <v>2214</v>
      </c>
      <c r="E229" s="40">
        <v>1400</v>
      </c>
      <c r="F229" s="40">
        <v>2617</v>
      </c>
      <c r="G229" s="40">
        <v>52</v>
      </c>
    </row>
    <row r="230" spans="1:7" x14ac:dyDescent="0.3">
      <c r="A230" s="40">
        <v>30</v>
      </c>
      <c r="B230" s="39" t="s">
        <v>2668</v>
      </c>
      <c r="C230" s="39" t="s">
        <v>2669</v>
      </c>
      <c r="D230" s="39" t="s">
        <v>2214</v>
      </c>
      <c r="E230" s="40">
        <v>16030</v>
      </c>
      <c r="F230" s="40">
        <v>3132</v>
      </c>
      <c r="G230" s="40">
        <v>52</v>
      </c>
    </row>
    <row r="231" spans="1:7" x14ac:dyDescent="0.3">
      <c r="A231" s="40">
        <v>30</v>
      </c>
      <c r="B231" s="39" t="s">
        <v>2670</v>
      </c>
      <c r="C231" s="39" t="s">
        <v>2671</v>
      </c>
      <c r="D231" s="39" t="s">
        <v>2214</v>
      </c>
      <c r="E231" s="40">
        <v>24008</v>
      </c>
      <c r="F231" s="40">
        <v>3124</v>
      </c>
      <c r="G231" s="40">
        <v>52</v>
      </c>
    </row>
    <row r="232" spans="1:7" x14ac:dyDescent="0.3">
      <c r="A232" s="40">
        <v>30</v>
      </c>
      <c r="B232" s="39" t="s">
        <v>2672</v>
      </c>
      <c r="C232" s="39" t="s">
        <v>2673</v>
      </c>
      <c r="D232" s="39" t="s">
        <v>2214</v>
      </c>
      <c r="E232" s="40">
        <v>11970</v>
      </c>
      <c r="F232" s="40">
        <v>3132</v>
      </c>
      <c r="G232" s="40">
        <v>52</v>
      </c>
    </row>
    <row r="233" spans="1:7" x14ac:dyDescent="0.3">
      <c r="A233" s="40">
        <v>300</v>
      </c>
      <c r="B233" s="39" t="s">
        <v>2674</v>
      </c>
      <c r="C233" s="39" t="s">
        <v>2675</v>
      </c>
      <c r="D233" s="39" t="s">
        <v>2214</v>
      </c>
      <c r="E233" s="40">
        <v>10300</v>
      </c>
      <c r="F233" s="40">
        <v>2416</v>
      </c>
      <c r="G233" s="40">
        <v>52</v>
      </c>
    </row>
    <row r="234" spans="1:7" x14ac:dyDescent="0.3">
      <c r="A234" s="40">
        <v>311</v>
      </c>
      <c r="B234" s="39" t="s">
        <v>2676</v>
      </c>
      <c r="C234" s="39" t="s">
        <v>2677</v>
      </c>
      <c r="D234" s="39" t="s">
        <v>2214</v>
      </c>
      <c r="E234" s="40">
        <v>30000</v>
      </c>
      <c r="F234" s="40">
        <v>3421</v>
      </c>
      <c r="G234" s="40">
        <v>52</v>
      </c>
    </row>
    <row r="235" spans="1:7" x14ac:dyDescent="0.3">
      <c r="A235" s="40">
        <v>311</v>
      </c>
      <c r="B235" s="39" t="s">
        <v>2678</v>
      </c>
      <c r="C235" s="39" t="s">
        <v>2679</v>
      </c>
      <c r="D235" s="39" t="s">
        <v>2214</v>
      </c>
      <c r="E235" s="40">
        <v>30000</v>
      </c>
      <c r="F235" s="40">
        <v>3433</v>
      </c>
      <c r="G235" s="40">
        <v>52</v>
      </c>
    </row>
    <row r="236" spans="1:7" x14ac:dyDescent="0.3">
      <c r="A236" s="40">
        <v>311</v>
      </c>
      <c r="B236" s="39" t="s">
        <v>2680</v>
      </c>
      <c r="C236" s="39" t="s">
        <v>2681</v>
      </c>
      <c r="D236" s="39" t="s">
        <v>2214</v>
      </c>
      <c r="E236" s="40">
        <v>30000</v>
      </c>
      <c r="F236" s="40">
        <v>3352</v>
      </c>
      <c r="G236" s="40">
        <v>52</v>
      </c>
    </row>
    <row r="237" spans="1:7" x14ac:dyDescent="0.3">
      <c r="A237" s="40">
        <v>311</v>
      </c>
      <c r="B237" s="39" t="s">
        <v>2682</v>
      </c>
      <c r="C237" s="39" t="s">
        <v>2683</v>
      </c>
      <c r="D237" s="39" t="s">
        <v>2214</v>
      </c>
      <c r="E237" s="40">
        <v>30000</v>
      </c>
      <c r="F237" s="40">
        <v>3356</v>
      </c>
      <c r="G237" s="40">
        <v>52</v>
      </c>
    </row>
    <row r="238" spans="1:7" x14ac:dyDescent="0.3">
      <c r="A238" s="40">
        <v>315</v>
      </c>
      <c r="B238" s="39" t="s">
        <v>2684</v>
      </c>
      <c r="C238" s="39" t="s">
        <v>2685</v>
      </c>
      <c r="D238" s="39" t="s">
        <v>2214</v>
      </c>
      <c r="E238" s="40">
        <v>500</v>
      </c>
      <c r="F238" s="40">
        <v>877</v>
      </c>
      <c r="G238" s="40">
        <v>52</v>
      </c>
    </row>
    <row r="239" spans="1:7" x14ac:dyDescent="0.3">
      <c r="A239" s="40">
        <v>316</v>
      </c>
      <c r="B239" s="39" t="s">
        <v>2686</v>
      </c>
      <c r="C239" s="39" t="s">
        <v>2687</v>
      </c>
      <c r="D239" s="39" t="s">
        <v>2214</v>
      </c>
      <c r="E239" s="40">
        <v>3867</v>
      </c>
      <c r="F239" s="40">
        <v>1593</v>
      </c>
      <c r="G239" s="40">
        <v>50</v>
      </c>
    </row>
    <row r="240" spans="1:7" x14ac:dyDescent="0.3">
      <c r="A240" s="40">
        <v>316</v>
      </c>
      <c r="B240" s="39" t="s">
        <v>2688</v>
      </c>
      <c r="C240" s="39" t="s">
        <v>2689</v>
      </c>
      <c r="D240" s="39" t="s">
        <v>2214</v>
      </c>
      <c r="E240" s="40">
        <v>1786</v>
      </c>
      <c r="F240" s="40">
        <v>1503</v>
      </c>
      <c r="G240" s="40">
        <v>51</v>
      </c>
    </row>
    <row r="241" spans="1:7" x14ac:dyDescent="0.3">
      <c r="A241" s="40">
        <v>316</v>
      </c>
      <c r="B241" s="39" t="s">
        <v>2690</v>
      </c>
      <c r="C241" s="39" t="s">
        <v>2691</v>
      </c>
      <c r="D241" s="39" t="s">
        <v>2214</v>
      </c>
      <c r="E241" s="40">
        <v>7560</v>
      </c>
      <c r="F241" s="40">
        <v>1505</v>
      </c>
      <c r="G241" s="40">
        <v>51</v>
      </c>
    </row>
    <row r="242" spans="1:7" x14ac:dyDescent="0.3">
      <c r="A242" s="40">
        <v>324</v>
      </c>
      <c r="B242" s="39" t="s">
        <v>2692</v>
      </c>
      <c r="C242" s="39" t="s">
        <v>2693</v>
      </c>
      <c r="D242" s="39" t="s">
        <v>2214</v>
      </c>
      <c r="E242" s="40">
        <v>888</v>
      </c>
      <c r="F242" s="40">
        <v>714</v>
      </c>
      <c r="G242" s="40">
        <v>52</v>
      </c>
    </row>
    <row r="243" spans="1:7" x14ac:dyDescent="0.3">
      <c r="A243" s="40">
        <v>329</v>
      </c>
      <c r="B243" s="39" t="s">
        <v>2694</v>
      </c>
      <c r="C243" s="39" t="s">
        <v>2695</v>
      </c>
      <c r="D243" s="39" t="s">
        <v>2214</v>
      </c>
      <c r="E243" s="40">
        <v>18600</v>
      </c>
      <c r="F243" s="40">
        <v>2537</v>
      </c>
      <c r="G243" s="40">
        <v>52</v>
      </c>
    </row>
    <row r="244" spans="1:7" x14ac:dyDescent="0.3">
      <c r="A244" s="40">
        <v>329</v>
      </c>
      <c r="B244" s="39" t="s">
        <v>2696</v>
      </c>
      <c r="C244" s="39" t="s">
        <v>2697</v>
      </c>
      <c r="D244" s="39" t="s">
        <v>2214</v>
      </c>
      <c r="E244" s="40">
        <v>6280</v>
      </c>
      <c r="F244" s="40">
        <v>2136</v>
      </c>
      <c r="G244" s="40">
        <v>52</v>
      </c>
    </row>
    <row r="245" spans="1:7" x14ac:dyDescent="0.3">
      <c r="A245" s="40">
        <v>329</v>
      </c>
      <c r="B245" s="39" t="s">
        <v>2698</v>
      </c>
      <c r="C245" s="39" t="s">
        <v>2699</v>
      </c>
      <c r="D245" s="39" t="s">
        <v>2214</v>
      </c>
      <c r="E245" s="40">
        <v>77000</v>
      </c>
      <c r="F245" s="40">
        <v>2840</v>
      </c>
      <c r="G245" s="40">
        <v>52</v>
      </c>
    </row>
    <row r="246" spans="1:7" x14ac:dyDescent="0.3">
      <c r="A246" s="40">
        <v>329</v>
      </c>
      <c r="B246" s="39" t="s">
        <v>2700</v>
      </c>
      <c r="C246" s="39" t="s">
        <v>2701</v>
      </c>
      <c r="D246" s="39" t="s">
        <v>2214</v>
      </c>
      <c r="E246" s="40">
        <v>1535</v>
      </c>
      <c r="F246" s="40">
        <v>2241</v>
      </c>
      <c r="G246" s="40">
        <v>52</v>
      </c>
    </row>
    <row r="247" spans="1:7" x14ac:dyDescent="0.3">
      <c r="A247" s="40">
        <v>329</v>
      </c>
      <c r="B247" s="39" t="s">
        <v>2702</v>
      </c>
      <c r="C247" s="39" t="s">
        <v>2703</v>
      </c>
      <c r="D247" s="39" t="s">
        <v>2214</v>
      </c>
      <c r="E247" s="40">
        <v>10500</v>
      </c>
      <c r="F247" s="40">
        <v>2169</v>
      </c>
      <c r="G247" s="40">
        <v>52</v>
      </c>
    </row>
    <row r="248" spans="1:7" x14ac:dyDescent="0.3">
      <c r="A248" s="40">
        <v>329</v>
      </c>
      <c r="B248" s="39" t="s">
        <v>2704</v>
      </c>
      <c r="C248" s="39" t="s">
        <v>2705</v>
      </c>
      <c r="D248" s="39" t="s">
        <v>2214</v>
      </c>
      <c r="E248" s="40">
        <v>4800</v>
      </c>
      <c r="F248" s="40">
        <v>1991</v>
      </c>
      <c r="G248" s="40">
        <v>52</v>
      </c>
    </row>
    <row r="249" spans="1:7" x14ac:dyDescent="0.3">
      <c r="A249" s="40">
        <v>329</v>
      </c>
      <c r="B249" s="39" t="s">
        <v>2706</v>
      </c>
      <c r="C249" s="39" t="s">
        <v>2707</v>
      </c>
      <c r="D249" s="39" t="s">
        <v>2214</v>
      </c>
      <c r="E249" s="40">
        <v>19400</v>
      </c>
      <c r="F249" s="40">
        <v>2537</v>
      </c>
      <c r="G249" s="40">
        <v>52</v>
      </c>
    </row>
    <row r="250" spans="1:7" x14ac:dyDescent="0.3">
      <c r="A250" s="40">
        <v>329</v>
      </c>
      <c r="B250" s="39" t="s">
        <v>2708</v>
      </c>
      <c r="C250" s="39" t="s">
        <v>2709</v>
      </c>
      <c r="D250" s="39" t="s">
        <v>2214</v>
      </c>
      <c r="E250" s="40">
        <v>33500</v>
      </c>
      <c r="F250" s="40">
        <v>2536</v>
      </c>
      <c r="G250" s="40">
        <v>52</v>
      </c>
    </row>
    <row r="251" spans="1:7" x14ac:dyDescent="0.3">
      <c r="A251" s="40">
        <v>329</v>
      </c>
      <c r="B251" s="39" t="s">
        <v>2710</v>
      </c>
      <c r="C251" s="39" t="s">
        <v>2711</v>
      </c>
      <c r="D251" s="39" t="s">
        <v>2214</v>
      </c>
      <c r="E251" s="40">
        <v>21300</v>
      </c>
      <c r="F251" s="40">
        <v>2523</v>
      </c>
      <c r="G251" s="40">
        <v>52</v>
      </c>
    </row>
    <row r="252" spans="1:7" x14ac:dyDescent="0.3">
      <c r="A252" s="40">
        <v>329</v>
      </c>
      <c r="B252" s="39" t="s">
        <v>2712</v>
      </c>
      <c r="C252" s="39" t="s">
        <v>2713</v>
      </c>
      <c r="D252" s="39" t="s">
        <v>2214</v>
      </c>
      <c r="E252" s="40">
        <v>44989</v>
      </c>
      <c r="F252" s="40">
        <v>3493</v>
      </c>
      <c r="G252" s="40">
        <v>52</v>
      </c>
    </row>
    <row r="253" spans="1:7" x14ac:dyDescent="0.3">
      <c r="A253" s="40">
        <v>329</v>
      </c>
      <c r="B253" s="39" t="s">
        <v>2714</v>
      </c>
      <c r="C253" s="39" t="s">
        <v>2715</v>
      </c>
      <c r="D253" s="39" t="s">
        <v>2214</v>
      </c>
      <c r="E253" s="40">
        <v>40193</v>
      </c>
      <c r="F253" s="40">
        <v>2541</v>
      </c>
      <c r="G253" s="40">
        <v>52</v>
      </c>
    </row>
    <row r="254" spans="1:7" x14ac:dyDescent="0.3">
      <c r="A254" s="40">
        <v>334</v>
      </c>
      <c r="B254" s="39" t="s">
        <v>2716</v>
      </c>
      <c r="C254" s="39" t="s">
        <v>2717</v>
      </c>
      <c r="D254" s="39" t="s">
        <v>2214</v>
      </c>
      <c r="E254" s="40">
        <v>1424</v>
      </c>
      <c r="F254" s="40">
        <v>917</v>
      </c>
      <c r="G254" s="40">
        <v>46</v>
      </c>
    </row>
    <row r="255" spans="1:7" x14ac:dyDescent="0.3">
      <c r="A255" s="40">
        <v>343</v>
      </c>
      <c r="B255" s="39" t="s">
        <v>2718</v>
      </c>
      <c r="C255" s="39" t="s">
        <v>2719</v>
      </c>
      <c r="D255" s="39" t="s">
        <v>2214</v>
      </c>
      <c r="E255" s="40">
        <v>5096</v>
      </c>
      <c r="F255" s="40">
        <v>1932</v>
      </c>
      <c r="G255" s="40">
        <v>52</v>
      </c>
    </row>
    <row r="256" spans="1:7" x14ac:dyDescent="0.3">
      <c r="A256" s="40">
        <v>343</v>
      </c>
      <c r="B256" s="39" t="s">
        <v>2720</v>
      </c>
      <c r="C256" s="39" t="s">
        <v>2721</v>
      </c>
      <c r="D256" s="39" t="s">
        <v>2214</v>
      </c>
      <c r="E256" s="40">
        <v>2680</v>
      </c>
      <c r="F256" s="40">
        <v>1684</v>
      </c>
      <c r="G256" s="40">
        <v>52</v>
      </c>
    </row>
    <row r="257" spans="1:7" x14ac:dyDescent="0.3">
      <c r="A257" s="40">
        <v>344</v>
      </c>
      <c r="B257" s="39" t="s">
        <v>2722</v>
      </c>
      <c r="C257" s="39" t="s">
        <v>2723</v>
      </c>
      <c r="D257" s="39" t="s">
        <v>2214</v>
      </c>
      <c r="E257" s="40">
        <v>10336</v>
      </c>
      <c r="F257" s="40">
        <v>2912</v>
      </c>
      <c r="G257" s="40">
        <v>52</v>
      </c>
    </row>
    <row r="258" spans="1:7" x14ac:dyDescent="0.3">
      <c r="A258" s="40">
        <v>344</v>
      </c>
      <c r="B258" s="39" t="s">
        <v>2724</v>
      </c>
      <c r="C258" s="39" t="s">
        <v>2725</v>
      </c>
      <c r="D258" s="39" t="s">
        <v>2214</v>
      </c>
      <c r="E258" s="40">
        <v>14470</v>
      </c>
      <c r="F258" s="40">
        <v>2912</v>
      </c>
      <c r="G258" s="40">
        <v>52</v>
      </c>
    </row>
    <row r="259" spans="1:7" x14ac:dyDescent="0.3">
      <c r="A259" s="40">
        <v>344</v>
      </c>
      <c r="B259" s="39" t="s">
        <v>2562</v>
      </c>
      <c r="C259" s="39" t="s">
        <v>2726</v>
      </c>
      <c r="D259" s="39" t="s">
        <v>2214</v>
      </c>
      <c r="E259" s="40">
        <v>10770</v>
      </c>
      <c r="F259" s="40">
        <v>2912</v>
      </c>
      <c r="G259" s="40">
        <v>52</v>
      </c>
    </row>
    <row r="260" spans="1:7" x14ac:dyDescent="0.3">
      <c r="A260" s="40">
        <v>344</v>
      </c>
      <c r="B260" s="39" t="s">
        <v>2727</v>
      </c>
      <c r="C260" s="39" t="s">
        <v>2728</v>
      </c>
      <c r="D260" s="39" t="s">
        <v>2214</v>
      </c>
      <c r="E260" s="40">
        <v>13617</v>
      </c>
      <c r="F260" s="40">
        <v>2912</v>
      </c>
      <c r="G260" s="40">
        <v>52</v>
      </c>
    </row>
    <row r="261" spans="1:7" x14ac:dyDescent="0.3">
      <c r="A261" s="40">
        <v>344</v>
      </c>
      <c r="B261" s="39" t="s">
        <v>2729</v>
      </c>
      <c r="C261" s="39" t="s">
        <v>2730</v>
      </c>
      <c r="D261" s="39" t="s">
        <v>2214</v>
      </c>
      <c r="E261" s="40">
        <v>9234</v>
      </c>
      <c r="F261" s="40">
        <v>2912</v>
      </c>
      <c r="G261" s="40">
        <v>52</v>
      </c>
    </row>
    <row r="262" spans="1:7" x14ac:dyDescent="0.3">
      <c r="A262" s="40">
        <v>344</v>
      </c>
      <c r="B262" s="39" t="s">
        <v>2731</v>
      </c>
      <c r="C262" s="39" t="s">
        <v>2732</v>
      </c>
      <c r="D262" s="39" t="s">
        <v>2214</v>
      </c>
      <c r="E262" s="40">
        <v>13065</v>
      </c>
      <c r="F262" s="40">
        <v>2912</v>
      </c>
      <c r="G262" s="40">
        <v>52</v>
      </c>
    </row>
    <row r="263" spans="1:7" x14ac:dyDescent="0.3">
      <c r="A263" s="40">
        <v>344</v>
      </c>
      <c r="B263" s="39" t="s">
        <v>2733</v>
      </c>
      <c r="C263" s="39" t="s">
        <v>2734</v>
      </c>
      <c r="D263" s="39" t="s">
        <v>2214</v>
      </c>
      <c r="E263" s="40">
        <v>11428</v>
      </c>
      <c r="F263" s="40">
        <v>2912</v>
      </c>
      <c r="G263" s="40">
        <v>52</v>
      </c>
    </row>
    <row r="264" spans="1:7" x14ac:dyDescent="0.3">
      <c r="A264" s="40">
        <v>344</v>
      </c>
      <c r="B264" s="39" t="s">
        <v>2735</v>
      </c>
      <c r="C264" s="39" t="s">
        <v>2736</v>
      </c>
      <c r="D264" s="39" t="s">
        <v>2214</v>
      </c>
      <c r="E264" s="40">
        <v>5252</v>
      </c>
      <c r="F264" s="40">
        <v>2912</v>
      </c>
      <c r="G264" s="40">
        <v>52</v>
      </c>
    </row>
    <row r="265" spans="1:7" x14ac:dyDescent="0.3">
      <c r="A265" s="40">
        <v>344</v>
      </c>
      <c r="B265" s="39" t="s">
        <v>2737</v>
      </c>
      <c r="C265" s="39" t="s">
        <v>2738</v>
      </c>
      <c r="D265" s="39" t="s">
        <v>2214</v>
      </c>
      <c r="E265" s="40">
        <v>13792</v>
      </c>
      <c r="F265" s="40">
        <v>2912</v>
      </c>
      <c r="G265" s="40">
        <v>52</v>
      </c>
    </row>
    <row r="266" spans="1:7" x14ac:dyDescent="0.3">
      <c r="A266" s="40">
        <v>344</v>
      </c>
      <c r="B266" s="39" t="s">
        <v>2739</v>
      </c>
      <c r="C266" s="39" t="s">
        <v>2740</v>
      </c>
      <c r="D266" s="39" t="s">
        <v>2214</v>
      </c>
      <c r="E266" s="40">
        <v>12677</v>
      </c>
      <c r="F266" s="40">
        <v>2912</v>
      </c>
      <c r="G266" s="40">
        <v>52</v>
      </c>
    </row>
    <row r="267" spans="1:7" x14ac:dyDescent="0.3">
      <c r="A267" s="40">
        <v>344</v>
      </c>
      <c r="B267" s="39" t="s">
        <v>2741</v>
      </c>
      <c r="C267" s="39" t="s">
        <v>2742</v>
      </c>
      <c r="D267" s="39" t="s">
        <v>2214</v>
      </c>
      <c r="E267" s="40">
        <v>9999</v>
      </c>
      <c r="F267" s="40">
        <v>2912</v>
      </c>
      <c r="G267" s="40">
        <v>52</v>
      </c>
    </row>
    <row r="268" spans="1:7" x14ac:dyDescent="0.3">
      <c r="A268" s="40">
        <v>344</v>
      </c>
      <c r="B268" s="39" t="s">
        <v>2743</v>
      </c>
      <c r="C268" s="39" t="s">
        <v>2744</v>
      </c>
      <c r="D268" s="39" t="s">
        <v>2214</v>
      </c>
      <c r="E268" s="40">
        <v>13060</v>
      </c>
      <c r="F268" s="40">
        <v>2912</v>
      </c>
      <c r="G268" s="40">
        <v>52</v>
      </c>
    </row>
    <row r="269" spans="1:7" x14ac:dyDescent="0.3">
      <c r="A269" s="40">
        <v>344</v>
      </c>
      <c r="B269" s="39" t="s">
        <v>2745</v>
      </c>
      <c r="C269" s="39" t="s">
        <v>2746</v>
      </c>
      <c r="D269" s="39" t="s">
        <v>2214</v>
      </c>
      <c r="E269" s="40">
        <v>11322</v>
      </c>
      <c r="F269" s="40">
        <v>2912</v>
      </c>
      <c r="G269" s="40">
        <v>52</v>
      </c>
    </row>
    <row r="270" spans="1:7" x14ac:dyDescent="0.3">
      <c r="A270" s="40">
        <v>344</v>
      </c>
      <c r="B270" s="39" t="s">
        <v>2747</v>
      </c>
      <c r="C270" s="39" t="s">
        <v>2748</v>
      </c>
      <c r="D270" s="39" t="s">
        <v>2214</v>
      </c>
      <c r="E270" s="40">
        <v>4450</v>
      </c>
      <c r="F270" s="40">
        <v>2912</v>
      </c>
      <c r="G270" s="40">
        <v>52</v>
      </c>
    </row>
    <row r="271" spans="1:7" x14ac:dyDescent="0.3">
      <c r="A271" s="40">
        <v>344</v>
      </c>
      <c r="B271" s="39" t="s">
        <v>2749</v>
      </c>
      <c r="C271" s="39" t="s">
        <v>2750</v>
      </c>
      <c r="D271" s="39" t="s">
        <v>2214</v>
      </c>
      <c r="E271" s="40">
        <v>12304</v>
      </c>
      <c r="F271" s="40">
        <v>2912</v>
      </c>
      <c r="G271" s="40">
        <v>52</v>
      </c>
    </row>
    <row r="272" spans="1:7" x14ac:dyDescent="0.3">
      <c r="A272" s="40">
        <v>344</v>
      </c>
      <c r="B272" s="39" t="s">
        <v>2751</v>
      </c>
      <c r="C272" s="39" t="s">
        <v>2752</v>
      </c>
      <c r="D272" s="39" t="s">
        <v>2214</v>
      </c>
      <c r="E272" s="40">
        <v>12035</v>
      </c>
      <c r="F272" s="40">
        <v>2912</v>
      </c>
      <c r="G272" s="40">
        <v>52</v>
      </c>
    </row>
    <row r="273" spans="1:7" x14ac:dyDescent="0.3">
      <c r="A273" s="40">
        <v>344</v>
      </c>
      <c r="B273" s="39" t="s">
        <v>2753</v>
      </c>
      <c r="C273" s="39" t="s">
        <v>2754</v>
      </c>
      <c r="D273" s="39" t="s">
        <v>2214</v>
      </c>
      <c r="E273" s="40">
        <v>11350</v>
      </c>
      <c r="F273" s="40">
        <v>2912</v>
      </c>
      <c r="G273" s="40">
        <v>52</v>
      </c>
    </row>
    <row r="274" spans="1:7" x14ac:dyDescent="0.3">
      <c r="A274" s="40">
        <v>344</v>
      </c>
      <c r="B274" s="39" t="s">
        <v>2755</v>
      </c>
      <c r="C274" s="39" t="s">
        <v>2756</v>
      </c>
      <c r="D274" s="39" t="s">
        <v>2214</v>
      </c>
      <c r="E274" s="40">
        <v>17032</v>
      </c>
      <c r="F274" s="40">
        <v>2912</v>
      </c>
      <c r="G274" s="40">
        <v>52</v>
      </c>
    </row>
    <row r="275" spans="1:7" x14ac:dyDescent="0.3">
      <c r="A275" s="40">
        <v>344</v>
      </c>
      <c r="B275" s="39" t="s">
        <v>2757</v>
      </c>
      <c r="C275" s="39" t="s">
        <v>2758</v>
      </c>
      <c r="D275" s="39" t="s">
        <v>2214</v>
      </c>
      <c r="E275" s="40">
        <v>14452</v>
      </c>
      <c r="F275" s="40">
        <v>2912</v>
      </c>
      <c r="G275" s="40">
        <v>52</v>
      </c>
    </row>
    <row r="276" spans="1:7" x14ac:dyDescent="0.3">
      <c r="A276" s="40">
        <v>344</v>
      </c>
      <c r="B276" s="39" t="s">
        <v>2759</v>
      </c>
      <c r="C276" s="39" t="s">
        <v>2760</v>
      </c>
      <c r="D276" s="39" t="s">
        <v>2214</v>
      </c>
      <c r="E276" s="40">
        <v>15975</v>
      </c>
      <c r="F276" s="40">
        <v>2912</v>
      </c>
      <c r="G276" s="40">
        <v>52</v>
      </c>
    </row>
    <row r="277" spans="1:7" x14ac:dyDescent="0.3">
      <c r="A277" s="40">
        <v>344</v>
      </c>
      <c r="B277" s="39" t="s">
        <v>2761</v>
      </c>
      <c r="C277" s="39" t="s">
        <v>2762</v>
      </c>
      <c r="D277" s="39" t="s">
        <v>2214</v>
      </c>
      <c r="E277" s="40">
        <v>15525</v>
      </c>
      <c r="F277" s="40">
        <v>2912</v>
      </c>
      <c r="G277" s="40">
        <v>52</v>
      </c>
    </row>
    <row r="278" spans="1:7" x14ac:dyDescent="0.3">
      <c r="A278" s="40">
        <v>344</v>
      </c>
      <c r="B278" s="39" t="s">
        <v>2763</v>
      </c>
      <c r="C278" s="39" t="s">
        <v>2764</v>
      </c>
      <c r="D278" s="39" t="s">
        <v>2214</v>
      </c>
      <c r="E278" s="40">
        <v>16554</v>
      </c>
      <c r="F278" s="40">
        <v>2912</v>
      </c>
      <c r="G278" s="40">
        <v>52</v>
      </c>
    </row>
    <row r="279" spans="1:7" x14ac:dyDescent="0.3">
      <c r="A279" s="40">
        <v>344</v>
      </c>
      <c r="B279" s="39" t="s">
        <v>2765</v>
      </c>
      <c r="C279" s="39" t="s">
        <v>2766</v>
      </c>
      <c r="D279" s="39" t="s">
        <v>2221</v>
      </c>
      <c r="E279" s="40">
        <v>0</v>
      </c>
      <c r="F279" s="40">
        <v>478</v>
      </c>
      <c r="G279" s="40">
        <v>52</v>
      </c>
    </row>
    <row r="280" spans="1:7" x14ac:dyDescent="0.3">
      <c r="A280" s="40">
        <v>344</v>
      </c>
      <c r="B280" s="39" t="s">
        <v>2767</v>
      </c>
      <c r="C280" s="39" t="s">
        <v>2768</v>
      </c>
      <c r="D280" s="39" t="s">
        <v>2214</v>
      </c>
      <c r="E280" s="40">
        <v>14288</v>
      </c>
      <c r="F280" s="40">
        <v>2912</v>
      </c>
      <c r="G280" s="40">
        <v>52</v>
      </c>
    </row>
    <row r="281" spans="1:7" x14ac:dyDescent="0.3">
      <c r="A281" s="40">
        <v>344</v>
      </c>
      <c r="B281" s="39" t="s">
        <v>2769</v>
      </c>
      <c r="C281" s="39" t="s">
        <v>2770</v>
      </c>
      <c r="D281" s="39" t="s">
        <v>2214</v>
      </c>
      <c r="E281" s="40">
        <v>16450</v>
      </c>
      <c r="F281" s="40">
        <v>2912</v>
      </c>
      <c r="G281" s="40">
        <v>52</v>
      </c>
    </row>
    <row r="282" spans="1:7" x14ac:dyDescent="0.3">
      <c r="A282" s="40">
        <v>344</v>
      </c>
      <c r="B282" s="39" t="s">
        <v>2771</v>
      </c>
      <c r="C282" s="39" t="s">
        <v>2772</v>
      </c>
      <c r="D282" s="39" t="s">
        <v>2214</v>
      </c>
      <c r="E282" s="40">
        <v>16684</v>
      </c>
      <c r="F282" s="40">
        <v>2912</v>
      </c>
      <c r="G282" s="40">
        <v>52</v>
      </c>
    </row>
    <row r="283" spans="1:7" x14ac:dyDescent="0.3">
      <c r="A283" s="40">
        <v>344</v>
      </c>
      <c r="B283" s="39" t="s">
        <v>2773</v>
      </c>
      <c r="C283" s="39" t="s">
        <v>2774</v>
      </c>
      <c r="D283" s="39" t="s">
        <v>2214</v>
      </c>
      <c r="E283" s="40">
        <v>830</v>
      </c>
      <c r="F283" s="40">
        <v>2080</v>
      </c>
      <c r="G283" s="40">
        <v>52</v>
      </c>
    </row>
    <row r="284" spans="1:7" x14ac:dyDescent="0.3">
      <c r="A284" s="40">
        <v>344</v>
      </c>
      <c r="B284" s="39" t="s">
        <v>2775</v>
      </c>
      <c r="C284" s="39" t="s">
        <v>2776</v>
      </c>
      <c r="D284" s="39" t="s">
        <v>2214</v>
      </c>
      <c r="E284" s="40">
        <v>8000</v>
      </c>
      <c r="F284" s="40">
        <v>0</v>
      </c>
      <c r="G284" s="40">
        <v>0</v>
      </c>
    </row>
    <row r="285" spans="1:7" x14ac:dyDescent="0.3">
      <c r="A285" s="40">
        <v>357</v>
      </c>
      <c r="B285" s="39" t="s">
        <v>2777</v>
      </c>
      <c r="C285" s="39" t="s">
        <v>2778</v>
      </c>
      <c r="D285" s="39" t="s">
        <v>2214</v>
      </c>
      <c r="E285" s="40">
        <v>890</v>
      </c>
      <c r="F285" s="40">
        <v>1946</v>
      </c>
      <c r="G285" s="40">
        <v>52</v>
      </c>
    </row>
    <row r="286" spans="1:7" x14ac:dyDescent="0.3">
      <c r="A286" s="40">
        <v>384</v>
      </c>
      <c r="B286" s="39" t="s">
        <v>2779</v>
      </c>
      <c r="C286" s="39" t="s">
        <v>2780</v>
      </c>
      <c r="D286" s="39" t="s">
        <v>2221</v>
      </c>
      <c r="E286" s="40">
        <v>0</v>
      </c>
      <c r="F286" s="40">
        <v>420</v>
      </c>
      <c r="G286" s="40">
        <v>52</v>
      </c>
    </row>
    <row r="287" spans="1:7" x14ac:dyDescent="0.3">
      <c r="A287" s="40">
        <v>398</v>
      </c>
      <c r="B287" s="39" t="s">
        <v>2781</v>
      </c>
      <c r="C287" s="39" t="s">
        <v>2782</v>
      </c>
      <c r="D287" s="39" t="s">
        <v>2214</v>
      </c>
      <c r="E287" s="40">
        <v>7000</v>
      </c>
      <c r="F287" s="40">
        <v>2630</v>
      </c>
      <c r="G287" s="40">
        <v>52</v>
      </c>
    </row>
    <row r="288" spans="1:7" x14ac:dyDescent="0.3">
      <c r="A288" s="40">
        <v>398</v>
      </c>
      <c r="B288" s="39" t="s">
        <v>2783</v>
      </c>
      <c r="C288" s="39" t="s">
        <v>2784</v>
      </c>
      <c r="D288" s="39" t="s">
        <v>2214</v>
      </c>
      <c r="E288" s="40">
        <v>11200</v>
      </c>
      <c r="F288" s="40">
        <v>2642</v>
      </c>
      <c r="G288" s="40">
        <v>52</v>
      </c>
    </row>
    <row r="289" spans="1:7" x14ac:dyDescent="0.3">
      <c r="A289" s="40">
        <v>398</v>
      </c>
      <c r="B289" s="39" t="s">
        <v>2785</v>
      </c>
      <c r="C289" s="39" t="s">
        <v>2786</v>
      </c>
      <c r="D289" s="39" t="s">
        <v>2214</v>
      </c>
      <c r="E289" s="40">
        <v>32293</v>
      </c>
      <c r="F289" s="40">
        <v>2774</v>
      </c>
      <c r="G289" s="40">
        <v>52</v>
      </c>
    </row>
    <row r="290" spans="1:7" x14ac:dyDescent="0.3">
      <c r="A290" s="40">
        <v>400</v>
      </c>
      <c r="B290" s="39" t="s">
        <v>2787</v>
      </c>
      <c r="C290" s="39" t="s">
        <v>2788</v>
      </c>
      <c r="D290" s="39" t="s">
        <v>2214</v>
      </c>
      <c r="E290" s="40">
        <v>1300</v>
      </c>
      <c r="F290" s="40">
        <v>1487</v>
      </c>
      <c r="G290" s="40">
        <v>52</v>
      </c>
    </row>
    <row r="291" spans="1:7" x14ac:dyDescent="0.3">
      <c r="A291" s="40">
        <v>400</v>
      </c>
      <c r="B291" s="39" t="s">
        <v>2789</v>
      </c>
      <c r="C291" s="39" t="s">
        <v>2790</v>
      </c>
      <c r="D291" s="39" t="s">
        <v>2214</v>
      </c>
      <c r="E291" s="40">
        <v>2025</v>
      </c>
      <c r="F291" s="40">
        <v>1487</v>
      </c>
      <c r="G291" s="40">
        <v>52</v>
      </c>
    </row>
    <row r="292" spans="1:7" x14ac:dyDescent="0.3">
      <c r="A292" s="40">
        <v>408</v>
      </c>
      <c r="B292" s="39" t="s">
        <v>2791</v>
      </c>
      <c r="C292" s="39" t="s">
        <v>2792</v>
      </c>
      <c r="D292" s="39" t="s">
        <v>2214</v>
      </c>
      <c r="E292" s="40">
        <v>5000</v>
      </c>
      <c r="F292" s="40">
        <v>1331</v>
      </c>
      <c r="G292" s="40">
        <v>52</v>
      </c>
    </row>
    <row r="293" spans="1:7" x14ac:dyDescent="0.3">
      <c r="A293" s="40">
        <v>408</v>
      </c>
      <c r="B293" s="39" t="s">
        <v>2793</v>
      </c>
      <c r="C293" s="39" t="s">
        <v>2794</v>
      </c>
      <c r="D293" s="39" t="s">
        <v>2214</v>
      </c>
      <c r="E293" s="40">
        <v>14300</v>
      </c>
      <c r="F293" s="40">
        <v>2203</v>
      </c>
      <c r="G293" s="40">
        <v>52</v>
      </c>
    </row>
    <row r="294" spans="1:7" x14ac:dyDescent="0.3">
      <c r="A294" s="40">
        <v>408</v>
      </c>
      <c r="B294" s="39" t="s">
        <v>2795</v>
      </c>
      <c r="C294" s="39" t="s">
        <v>2796</v>
      </c>
      <c r="D294" s="39" t="s">
        <v>2214</v>
      </c>
      <c r="E294" s="40">
        <v>1676</v>
      </c>
      <c r="F294" s="40">
        <v>618</v>
      </c>
      <c r="G294" s="40">
        <v>52</v>
      </c>
    </row>
    <row r="295" spans="1:7" x14ac:dyDescent="0.3">
      <c r="A295" s="40">
        <v>41</v>
      </c>
      <c r="B295" s="39" t="s">
        <v>2797</v>
      </c>
      <c r="C295" s="39" t="s">
        <v>2798</v>
      </c>
      <c r="D295" s="39" t="s">
        <v>2214</v>
      </c>
      <c r="E295" s="40">
        <v>1388</v>
      </c>
      <c r="F295" s="40">
        <v>1728</v>
      </c>
      <c r="G295" s="40">
        <v>52</v>
      </c>
    </row>
    <row r="296" spans="1:7" x14ac:dyDescent="0.3">
      <c r="A296" s="40">
        <v>41</v>
      </c>
      <c r="B296" s="39" t="s">
        <v>2799</v>
      </c>
      <c r="C296" s="39" t="s">
        <v>2800</v>
      </c>
      <c r="D296" s="39" t="s">
        <v>2214</v>
      </c>
      <c r="E296" s="40">
        <v>1684</v>
      </c>
      <c r="F296" s="40">
        <v>1525</v>
      </c>
      <c r="G296" s="40">
        <v>52</v>
      </c>
    </row>
    <row r="297" spans="1:7" x14ac:dyDescent="0.3">
      <c r="A297" s="40">
        <v>432</v>
      </c>
      <c r="B297" s="39" t="s">
        <v>2801</v>
      </c>
      <c r="C297" s="39" t="s">
        <v>2802</v>
      </c>
      <c r="D297" s="39" t="s">
        <v>2214</v>
      </c>
      <c r="E297" s="40">
        <v>1680</v>
      </c>
      <c r="F297" s="40">
        <v>332</v>
      </c>
      <c r="G297" s="40">
        <v>52</v>
      </c>
    </row>
    <row r="298" spans="1:7" x14ac:dyDescent="0.3">
      <c r="A298" s="40">
        <v>452</v>
      </c>
      <c r="B298" s="39" t="s">
        <v>2803</v>
      </c>
      <c r="C298" s="39" t="s">
        <v>2804</v>
      </c>
      <c r="D298" s="39" t="s">
        <v>2214</v>
      </c>
      <c r="E298" s="40">
        <v>14229</v>
      </c>
      <c r="F298" s="40">
        <v>2834</v>
      </c>
      <c r="G298" s="40">
        <v>52</v>
      </c>
    </row>
    <row r="299" spans="1:7" x14ac:dyDescent="0.3">
      <c r="A299" s="40">
        <v>49</v>
      </c>
      <c r="B299" s="39" t="s">
        <v>2805</v>
      </c>
      <c r="C299" s="39" t="s">
        <v>2806</v>
      </c>
      <c r="D299" s="39" t="s">
        <v>2214</v>
      </c>
      <c r="E299" s="40">
        <v>20000</v>
      </c>
      <c r="F299" s="40">
        <v>2602</v>
      </c>
      <c r="G299" s="40">
        <v>52</v>
      </c>
    </row>
    <row r="300" spans="1:7" x14ac:dyDescent="0.3">
      <c r="A300" s="40">
        <v>5</v>
      </c>
      <c r="B300" s="39" t="s">
        <v>2807</v>
      </c>
      <c r="C300" s="39" t="s">
        <v>2808</v>
      </c>
      <c r="D300" s="39" t="s">
        <v>2214</v>
      </c>
      <c r="E300" s="40">
        <v>5234</v>
      </c>
      <c r="F300" s="40">
        <v>1600</v>
      </c>
      <c r="G300" s="40">
        <v>48</v>
      </c>
    </row>
    <row r="301" spans="1:7" x14ac:dyDescent="0.3">
      <c r="A301" s="40">
        <v>5</v>
      </c>
      <c r="B301" s="39" t="s">
        <v>2809</v>
      </c>
      <c r="C301" s="39" t="s">
        <v>2810</v>
      </c>
      <c r="D301" s="39" t="s">
        <v>2214</v>
      </c>
      <c r="E301" s="40">
        <v>1500</v>
      </c>
      <c r="F301" s="40">
        <v>1091</v>
      </c>
      <c r="G301" s="40">
        <v>50</v>
      </c>
    </row>
    <row r="302" spans="1:7" x14ac:dyDescent="0.3">
      <c r="A302" s="40">
        <v>50</v>
      </c>
      <c r="B302" s="39" t="s">
        <v>2811</v>
      </c>
      <c r="C302" s="39" t="s">
        <v>2812</v>
      </c>
      <c r="D302" s="39" t="s">
        <v>2214</v>
      </c>
      <c r="E302" s="40">
        <v>1550</v>
      </c>
      <c r="F302" s="40">
        <v>1611</v>
      </c>
      <c r="G302" s="40">
        <v>45</v>
      </c>
    </row>
    <row r="303" spans="1:7" x14ac:dyDescent="0.3">
      <c r="A303" s="40">
        <v>502</v>
      </c>
      <c r="B303" s="39" t="s">
        <v>2813</v>
      </c>
      <c r="C303" s="39" t="s">
        <v>2814</v>
      </c>
      <c r="D303" s="39" t="s">
        <v>2214</v>
      </c>
      <c r="E303" s="40">
        <v>1081</v>
      </c>
      <c r="F303" s="40">
        <v>976</v>
      </c>
      <c r="G303" s="40">
        <v>48</v>
      </c>
    </row>
    <row r="304" spans="1:7" x14ac:dyDescent="0.3">
      <c r="A304" s="40">
        <v>502</v>
      </c>
      <c r="B304" s="39" t="s">
        <v>2815</v>
      </c>
      <c r="C304" s="39" t="s">
        <v>2816</v>
      </c>
      <c r="D304" s="39" t="s">
        <v>2214</v>
      </c>
      <c r="E304" s="40">
        <v>2500</v>
      </c>
      <c r="F304" s="40">
        <v>956</v>
      </c>
      <c r="G304" s="40">
        <v>48</v>
      </c>
    </row>
    <row r="305" spans="1:7" x14ac:dyDescent="0.3">
      <c r="A305" s="40">
        <v>51</v>
      </c>
      <c r="B305" s="39" t="s">
        <v>2817</v>
      </c>
      <c r="C305" s="39" t="s">
        <v>2818</v>
      </c>
      <c r="D305" s="39" t="s">
        <v>2214</v>
      </c>
      <c r="E305" s="40">
        <v>6000</v>
      </c>
      <c r="F305" s="40">
        <v>1672</v>
      </c>
      <c r="G305" s="40">
        <v>52</v>
      </c>
    </row>
    <row r="306" spans="1:7" x14ac:dyDescent="0.3">
      <c r="A306" s="40">
        <v>51</v>
      </c>
      <c r="B306" s="39" t="s">
        <v>2819</v>
      </c>
      <c r="C306" s="39" t="s">
        <v>2820</v>
      </c>
      <c r="D306" s="39" t="s">
        <v>2214</v>
      </c>
      <c r="E306" s="40">
        <v>25500</v>
      </c>
      <c r="F306" s="40">
        <v>2920</v>
      </c>
      <c r="G306" s="40">
        <v>52</v>
      </c>
    </row>
    <row r="307" spans="1:7" x14ac:dyDescent="0.3">
      <c r="A307" s="40">
        <v>51</v>
      </c>
      <c r="B307" s="39" t="s">
        <v>2821</v>
      </c>
      <c r="C307" s="39" t="s">
        <v>2822</v>
      </c>
      <c r="D307" s="39" t="s">
        <v>2214</v>
      </c>
      <c r="E307" s="40">
        <v>16000</v>
      </c>
      <c r="F307" s="40">
        <v>3336</v>
      </c>
      <c r="G307" s="40">
        <v>52</v>
      </c>
    </row>
    <row r="308" spans="1:7" x14ac:dyDescent="0.3">
      <c r="A308" s="40">
        <v>517</v>
      </c>
      <c r="B308" s="39" t="s">
        <v>1572</v>
      </c>
      <c r="C308" s="39" t="s">
        <v>2823</v>
      </c>
      <c r="D308" s="39" t="s">
        <v>2214</v>
      </c>
      <c r="E308" s="40">
        <v>3000</v>
      </c>
      <c r="F308" s="40">
        <v>2930</v>
      </c>
      <c r="G308" s="40">
        <v>48</v>
      </c>
    </row>
    <row r="309" spans="1:7" x14ac:dyDescent="0.3">
      <c r="A309" s="40">
        <v>552</v>
      </c>
      <c r="B309" s="39" t="s">
        <v>2824</v>
      </c>
      <c r="C309" s="39" t="s">
        <v>2825</v>
      </c>
      <c r="D309" s="39" t="s">
        <v>2214</v>
      </c>
      <c r="E309" s="40">
        <v>1468</v>
      </c>
      <c r="F309" s="40">
        <v>2193</v>
      </c>
      <c r="G309" s="40">
        <v>51</v>
      </c>
    </row>
    <row r="310" spans="1:7" x14ac:dyDescent="0.3">
      <c r="A310" s="40">
        <v>56</v>
      </c>
      <c r="B310" s="39" t="s">
        <v>2826</v>
      </c>
      <c r="C310" s="39" t="s">
        <v>2827</v>
      </c>
      <c r="D310" s="39" t="s">
        <v>2214</v>
      </c>
      <c r="E310" s="40">
        <v>8550</v>
      </c>
      <c r="F310" s="40">
        <v>1968</v>
      </c>
      <c r="G310" s="40">
        <v>52</v>
      </c>
    </row>
    <row r="311" spans="1:7" x14ac:dyDescent="0.3">
      <c r="A311" s="40">
        <v>56</v>
      </c>
      <c r="B311" s="39" t="s">
        <v>2828</v>
      </c>
      <c r="C311" s="39" t="s">
        <v>2829</v>
      </c>
      <c r="D311" s="39" t="s">
        <v>2214</v>
      </c>
      <c r="E311" s="40">
        <v>800</v>
      </c>
      <c r="F311" s="40">
        <v>676</v>
      </c>
      <c r="G311" s="40">
        <v>52</v>
      </c>
    </row>
    <row r="312" spans="1:7" x14ac:dyDescent="0.3">
      <c r="A312" s="40">
        <v>56</v>
      </c>
      <c r="B312" s="39" t="s">
        <v>2830</v>
      </c>
      <c r="C312" s="39" t="s">
        <v>2831</v>
      </c>
      <c r="D312" s="39" t="s">
        <v>2214</v>
      </c>
      <c r="E312" s="40">
        <v>10231</v>
      </c>
      <c r="F312" s="40">
        <v>1984</v>
      </c>
      <c r="G312" s="40">
        <v>52</v>
      </c>
    </row>
    <row r="313" spans="1:7" x14ac:dyDescent="0.3">
      <c r="A313" s="40">
        <v>56</v>
      </c>
      <c r="B313" s="39" t="s">
        <v>2832</v>
      </c>
      <c r="C313" s="39" t="s">
        <v>2833</v>
      </c>
      <c r="D313" s="39" t="s">
        <v>2214</v>
      </c>
      <c r="E313" s="40">
        <v>15200</v>
      </c>
      <c r="F313" s="40">
        <v>1976</v>
      </c>
      <c r="G313" s="40">
        <v>52</v>
      </c>
    </row>
    <row r="314" spans="1:7" x14ac:dyDescent="0.3">
      <c r="A314" s="40">
        <v>64</v>
      </c>
      <c r="B314" s="39" t="s">
        <v>2834</v>
      </c>
      <c r="C314" s="39" t="s">
        <v>2835</v>
      </c>
      <c r="D314" s="39" t="s">
        <v>2214</v>
      </c>
      <c r="E314" s="40">
        <v>37000</v>
      </c>
      <c r="F314" s="40">
        <v>2475</v>
      </c>
      <c r="G314" s="40">
        <v>52</v>
      </c>
    </row>
    <row r="315" spans="1:7" x14ac:dyDescent="0.3">
      <c r="A315" s="40">
        <v>649</v>
      </c>
      <c r="B315" s="39" t="s">
        <v>2836</v>
      </c>
      <c r="C315" s="39" t="s">
        <v>2837</v>
      </c>
      <c r="D315" s="39" t="s">
        <v>2214</v>
      </c>
      <c r="E315" s="40">
        <v>170</v>
      </c>
      <c r="F315" s="40">
        <v>800</v>
      </c>
      <c r="G315" s="40">
        <v>50</v>
      </c>
    </row>
    <row r="316" spans="1:7" x14ac:dyDescent="0.3">
      <c r="A316" s="40">
        <v>86</v>
      </c>
      <c r="B316" s="39" t="s">
        <v>2838</v>
      </c>
      <c r="C316" s="39" t="s">
        <v>2839</v>
      </c>
      <c r="D316" s="39" t="s">
        <v>2214</v>
      </c>
      <c r="E316" s="40">
        <v>30116</v>
      </c>
      <c r="F316" s="40">
        <v>3130</v>
      </c>
      <c r="G316" s="40">
        <v>52</v>
      </c>
    </row>
    <row r="317" spans="1:7" x14ac:dyDescent="0.3">
      <c r="A317" s="40">
        <v>86</v>
      </c>
      <c r="B317" s="39" t="s">
        <v>2840</v>
      </c>
      <c r="C317" s="39" t="s">
        <v>2841</v>
      </c>
      <c r="D317" s="39" t="s">
        <v>2214</v>
      </c>
      <c r="E317" s="40">
        <v>7200</v>
      </c>
      <c r="F317" s="40">
        <v>2451</v>
      </c>
      <c r="G317" s="40">
        <v>52</v>
      </c>
    </row>
    <row r="318" spans="1:7" x14ac:dyDescent="0.3">
      <c r="A318" s="40">
        <v>86</v>
      </c>
      <c r="B318" s="39" t="s">
        <v>2842</v>
      </c>
      <c r="C318" s="39" t="s">
        <v>2843</v>
      </c>
      <c r="D318" s="39" t="s">
        <v>2214</v>
      </c>
      <c r="E318" s="40">
        <v>14560</v>
      </c>
      <c r="F318" s="40">
        <v>2847</v>
      </c>
      <c r="G318" s="40">
        <v>52</v>
      </c>
    </row>
    <row r="319" spans="1:7" x14ac:dyDescent="0.3">
      <c r="A319" s="40">
        <v>86</v>
      </c>
      <c r="B319" s="39" t="s">
        <v>2844</v>
      </c>
      <c r="C319" s="39" t="s">
        <v>2845</v>
      </c>
      <c r="D319" s="39" t="s">
        <v>2214</v>
      </c>
      <c r="E319" s="40">
        <v>29600</v>
      </c>
      <c r="F319" s="40">
        <v>3014</v>
      </c>
      <c r="G319" s="40">
        <v>52</v>
      </c>
    </row>
    <row r="320" spans="1:7" x14ac:dyDescent="0.3">
      <c r="A320" s="40">
        <v>86</v>
      </c>
      <c r="B320" s="39" t="s">
        <v>2846</v>
      </c>
      <c r="C320" s="39" t="s">
        <v>2847</v>
      </c>
      <c r="D320" s="39" t="s">
        <v>2214</v>
      </c>
      <c r="E320" s="40">
        <v>30000</v>
      </c>
      <c r="F320" s="40">
        <v>3128</v>
      </c>
      <c r="G320" s="40">
        <v>52</v>
      </c>
    </row>
    <row r="321" spans="1:7" x14ac:dyDescent="0.3">
      <c r="A321" s="40">
        <v>86</v>
      </c>
      <c r="B321" s="39" t="s">
        <v>2848</v>
      </c>
      <c r="C321" s="39" t="s">
        <v>2849</v>
      </c>
      <c r="D321" s="39" t="s">
        <v>2214</v>
      </c>
      <c r="E321" s="40">
        <v>6000</v>
      </c>
      <c r="F321" s="40">
        <v>2698</v>
      </c>
      <c r="G321" s="40">
        <v>52</v>
      </c>
    </row>
    <row r="322" spans="1:7" x14ac:dyDescent="0.3">
      <c r="A322" s="40">
        <v>88</v>
      </c>
      <c r="B322" s="39" t="s">
        <v>2850</v>
      </c>
      <c r="C322" s="39" t="s">
        <v>2851</v>
      </c>
      <c r="D322" s="39" t="s">
        <v>2214</v>
      </c>
      <c r="E322" s="40">
        <v>12000</v>
      </c>
      <c r="F322" s="40">
        <v>3092</v>
      </c>
      <c r="G322" s="40">
        <v>52</v>
      </c>
    </row>
    <row r="323" spans="1:7" x14ac:dyDescent="0.3">
      <c r="A323" s="40">
        <v>88</v>
      </c>
      <c r="B323" s="39" t="s">
        <v>2852</v>
      </c>
      <c r="C323" s="39" t="s">
        <v>2853</v>
      </c>
      <c r="D323" s="39" t="s">
        <v>2214</v>
      </c>
      <c r="E323" s="40">
        <v>17000</v>
      </c>
      <c r="F323" s="40">
        <v>2742</v>
      </c>
      <c r="G323" s="40">
        <v>52</v>
      </c>
    </row>
    <row r="324" spans="1:7" x14ac:dyDescent="0.3">
      <c r="A324" s="40">
        <v>88</v>
      </c>
      <c r="B324" s="39" t="s">
        <v>2854</v>
      </c>
      <c r="C324" s="39" t="s">
        <v>2855</v>
      </c>
      <c r="D324" s="39" t="s">
        <v>2214</v>
      </c>
      <c r="E324" s="40">
        <v>13000</v>
      </c>
      <c r="F324" s="40">
        <v>2742</v>
      </c>
      <c r="G324" s="40">
        <v>52</v>
      </c>
    </row>
    <row r="325" spans="1:7" x14ac:dyDescent="0.3">
      <c r="A325" s="40">
        <v>88</v>
      </c>
      <c r="B325" s="39" t="s">
        <v>2856</v>
      </c>
      <c r="C325" s="39" t="s">
        <v>2857</v>
      </c>
      <c r="D325" s="39" t="s">
        <v>2214</v>
      </c>
      <c r="E325" s="40">
        <v>12771</v>
      </c>
      <c r="F325" s="40">
        <v>2742</v>
      </c>
      <c r="G325" s="40">
        <v>52</v>
      </c>
    </row>
    <row r="326" spans="1:7" x14ac:dyDescent="0.3">
      <c r="A326" s="40">
        <v>88</v>
      </c>
      <c r="B326" s="39" t="s">
        <v>2858</v>
      </c>
      <c r="C326" s="39" t="s">
        <v>2859</v>
      </c>
      <c r="D326" s="39" t="s">
        <v>2214</v>
      </c>
      <c r="E326" s="40">
        <v>13500</v>
      </c>
      <c r="F326" s="40">
        <v>3116</v>
      </c>
      <c r="G326" s="40">
        <v>52</v>
      </c>
    </row>
    <row r="327" spans="1:7" x14ac:dyDescent="0.3">
      <c r="A327" s="40">
        <v>9</v>
      </c>
      <c r="B327" s="39" t="s">
        <v>2374</v>
      </c>
      <c r="C327" s="39" t="s">
        <v>2860</v>
      </c>
      <c r="D327" s="39" t="s">
        <v>2214</v>
      </c>
      <c r="E327" s="40">
        <v>15536</v>
      </c>
      <c r="F327" s="40">
        <v>3226</v>
      </c>
      <c r="G327" s="40">
        <v>52</v>
      </c>
    </row>
    <row r="328" spans="1:7" x14ac:dyDescent="0.3">
      <c r="A328" s="40">
        <v>9</v>
      </c>
      <c r="B328" s="39" t="s">
        <v>2396</v>
      </c>
      <c r="C328" s="39" t="s">
        <v>2861</v>
      </c>
      <c r="D328" s="39" t="s">
        <v>2214</v>
      </c>
      <c r="E328" s="40">
        <v>20000</v>
      </c>
      <c r="F328" s="40">
        <v>3533</v>
      </c>
      <c r="G328" s="40">
        <v>52</v>
      </c>
    </row>
    <row r="329" spans="1:7" x14ac:dyDescent="0.3">
      <c r="A329" s="40">
        <v>9</v>
      </c>
      <c r="B329" s="39" t="s">
        <v>2862</v>
      </c>
      <c r="C329" s="39" t="s">
        <v>2863</v>
      </c>
      <c r="D329" s="39" t="s">
        <v>2214</v>
      </c>
      <c r="E329" s="40">
        <v>10000</v>
      </c>
      <c r="F329" s="40">
        <v>3226</v>
      </c>
      <c r="G329" s="40">
        <v>52</v>
      </c>
    </row>
    <row r="330" spans="1:7" x14ac:dyDescent="0.3">
      <c r="A330" s="40">
        <v>9</v>
      </c>
      <c r="B330" s="39" t="s">
        <v>2552</v>
      </c>
      <c r="C330" s="39" t="s">
        <v>2864</v>
      </c>
      <c r="D330" s="39" t="s">
        <v>2214</v>
      </c>
      <c r="E330" s="40">
        <v>10000</v>
      </c>
      <c r="F330" s="40">
        <v>3226</v>
      </c>
      <c r="G330" s="40">
        <v>52</v>
      </c>
    </row>
    <row r="331" spans="1:7" x14ac:dyDescent="0.3">
      <c r="A331" s="40">
        <v>91</v>
      </c>
      <c r="B331" s="39" t="s">
        <v>2865</v>
      </c>
      <c r="C331" s="39" t="s">
        <v>2866</v>
      </c>
      <c r="D331" s="39" t="s">
        <v>2214</v>
      </c>
      <c r="E331" s="40">
        <v>1000</v>
      </c>
      <c r="F331" s="40">
        <v>880</v>
      </c>
      <c r="G331" s="40">
        <v>38</v>
      </c>
    </row>
    <row r="332" spans="1:7" x14ac:dyDescent="0.3">
      <c r="A332" s="40">
        <v>94</v>
      </c>
      <c r="B332" s="39" t="s">
        <v>2867</v>
      </c>
      <c r="C332" s="39" t="s">
        <v>2868</v>
      </c>
      <c r="D332" s="39" t="s">
        <v>2214</v>
      </c>
      <c r="E332" s="40">
        <v>1305</v>
      </c>
      <c r="F332" s="40">
        <v>803</v>
      </c>
      <c r="G332" s="40">
        <v>51</v>
      </c>
    </row>
    <row r="333" spans="1:7" x14ac:dyDescent="0.3">
      <c r="A333" s="40">
        <v>94</v>
      </c>
      <c r="B333" s="39" t="s">
        <v>2869</v>
      </c>
      <c r="C333" s="39" t="s">
        <v>2870</v>
      </c>
      <c r="D333" s="39" t="s">
        <v>2214</v>
      </c>
      <c r="E333" s="40">
        <v>4000</v>
      </c>
      <c r="F333" s="40">
        <v>1604</v>
      </c>
      <c r="G333" s="40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42"/>
  <sheetViews>
    <sheetView topLeftCell="A207" workbookViewId="0"/>
  </sheetViews>
  <sheetFormatPr defaultColWidth="8.77734375" defaultRowHeight="14.4" x14ac:dyDescent="0.3"/>
  <cols>
    <col min="5" max="5" width="6.109375" style="88" customWidth="1"/>
    <col min="6" max="6" width="11.109375" style="86" customWidth="1"/>
    <col min="7" max="7" width="7.44140625" style="86" customWidth="1"/>
  </cols>
  <sheetData>
    <row r="1" spans="1:7" x14ac:dyDescent="0.3">
      <c r="A1" s="76" t="s">
        <v>2196</v>
      </c>
      <c r="B1" s="85" t="s">
        <v>2945</v>
      </c>
      <c r="C1" s="76" t="s">
        <v>2943</v>
      </c>
      <c r="F1" s="88" t="s">
        <v>2948</v>
      </c>
    </row>
    <row r="2" spans="1:7" x14ac:dyDescent="0.3">
      <c r="A2" s="77">
        <v>10</v>
      </c>
      <c r="B2" s="86">
        <v>5529</v>
      </c>
      <c r="C2" s="78">
        <v>2368</v>
      </c>
      <c r="E2" s="91"/>
      <c r="F2" s="90" t="s">
        <v>2876</v>
      </c>
      <c r="G2" s="89"/>
    </row>
    <row r="3" spans="1:7" ht="28.8" x14ac:dyDescent="0.3">
      <c r="A3" s="77">
        <v>10</v>
      </c>
      <c r="B3" s="86">
        <v>12900</v>
      </c>
      <c r="C3" s="78">
        <v>2356</v>
      </c>
      <c r="E3" s="92" t="s">
        <v>2196</v>
      </c>
      <c r="F3" s="89" t="s">
        <v>2947</v>
      </c>
      <c r="G3" s="89" t="s">
        <v>2946</v>
      </c>
    </row>
    <row r="4" spans="1:7" x14ac:dyDescent="0.3">
      <c r="A4" s="77">
        <v>10</v>
      </c>
      <c r="B4" s="86">
        <v>3900</v>
      </c>
      <c r="C4" s="78">
        <v>2517</v>
      </c>
      <c r="E4" s="91">
        <v>2</v>
      </c>
      <c r="F4" s="89">
        <v>17480</v>
      </c>
      <c r="G4" s="89">
        <v>6103</v>
      </c>
    </row>
    <row r="5" spans="1:7" x14ac:dyDescent="0.3">
      <c r="A5" s="77">
        <v>100</v>
      </c>
      <c r="B5" s="86">
        <v>0</v>
      </c>
      <c r="C5" s="78">
        <v>610</v>
      </c>
      <c r="E5" s="91">
        <v>5</v>
      </c>
      <c r="F5" s="89">
        <v>6734</v>
      </c>
      <c r="G5" s="89">
        <v>2691</v>
      </c>
    </row>
    <row r="6" spans="1:7" x14ac:dyDescent="0.3">
      <c r="A6" s="77">
        <v>100</v>
      </c>
      <c r="B6" s="86">
        <v>19000</v>
      </c>
      <c r="C6" s="78">
        <v>2829</v>
      </c>
      <c r="E6" s="91">
        <v>9</v>
      </c>
      <c r="F6" s="89">
        <v>55536</v>
      </c>
      <c r="G6" s="89">
        <v>13211</v>
      </c>
    </row>
    <row r="7" spans="1:7" x14ac:dyDescent="0.3">
      <c r="A7" s="77">
        <v>100</v>
      </c>
      <c r="B7" s="86">
        <v>12500</v>
      </c>
      <c r="C7" s="78">
        <v>2040</v>
      </c>
      <c r="E7" s="91">
        <v>10</v>
      </c>
      <c r="F7" s="89">
        <v>22329</v>
      </c>
      <c r="G7" s="89">
        <v>7241</v>
      </c>
    </row>
    <row r="8" spans="1:7" x14ac:dyDescent="0.3">
      <c r="A8" s="77">
        <v>100</v>
      </c>
      <c r="B8" s="86">
        <v>18500</v>
      </c>
      <c r="C8" s="78">
        <v>2040</v>
      </c>
      <c r="E8" s="91">
        <v>12</v>
      </c>
      <c r="F8" s="89">
        <v>135815</v>
      </c>
      <c r="G8" s="89">
        <v>28026</v>
      </c>
    </row>
    <row r="9" spans="1:7" x14ac:dyDescent="0.3">
      <c r="A9" s="77">
        <v>100</v>
      </c>
      <c r="B9" s="86">
        <v>1990</v>
      </c>
      <c r="C9" s="78">
        <v>2040</v>
      </c>
      <c r="E9" s="91">
        <v>16</v>
      </c>
      <c r="F9" s="89">
        <v>64300</v>
      </c>
      <c r="G9" s="89">
        <v>16880</v>
      </c>
    </row>
    <row r="10" spans="1:7" x14ac:dyDescent="0.3">
      <c r="A10" s="77">
        <v>100</v>
      </c>
      <c r="B10" s="86">
        <v>0</v>
      </c>
      <c r="C10" s="78">
        <v>610</v>
      </c>
      <c r="E10" s="91">
        <v>20</v>
      </c>
      <c r="F10" s="89">
        <v>250881</v>
      </c>
      <c r="G10" s="89">
        <v>61412</v>
      </c>
    </row>
    <row r="11" spans="1:7" x14ac:dyDescent="0.3">
      <c r="A11" s="77">
        <v>100</v>
      </c>
      <c r="B11" s="86">
        <v>18000</v>
      </c>
      <c r="C11" s="78">
        <v>2040</v>
      </c>
      <c r="E11" s="91">
        <v>28</v>
      </c>
      <c r="F11" s="89">
        <v>500</v>
      </c>
      <c r="G11" s="89">
        <v>1000</v>
      </c>
    </row>
    <row r="12" spans="1:7" x14ac:dyDescent="0.3">
      <c r="A12" s="77">
        <v>100</v>
      </c>
      <c r="B12" s="86">
        <v>18000</v>
      </c>
      <c r="C12" s="78">
        <v>2548</v>
      </c>
      <c r="E12" s="91">
        <v>30</v>
      </c>
      <c r="F12" s="89">
        <v>64908</v>
      </c>
      <c r="G12" s="89">
        <v>15137</v>
      </c>
    </row>
    <row r="13" spans="1:7" x14ac:dyDescent="0.3">
      <c r="A13" s="77">
        <v>100</v>
      </c>
      <c r="B13" s="86">
        <v>17350</v>
      </c>
      <c r="C13" s="78">
        <v>2392</v>
      </c>
      <c r="E13" s="91">
        <v>41</v>
      </c>
      <c r="F13" s="89">
        <v>3072</v>
      </c>
      <c r="G13" s="89">
        <v>3540</v>
      </c>
    </row>
    <row r="14" spans="1:7" x14ac:dyDescent="0.3">
      <c r="A14" s="77">
        <v>100</v>
      </c>
      <c r="B14" s="86">
        <v>19500</v>
      </c>
      <c r="C14" s="78">
        <v>2040</v>
      </c>
      <c r="E14" s="91">
        <v>49</v>
      </c>
      <c r="F14" s="89">
        <v>20000</v>
      </c>
      <c r="G14" s="89">
        <v>2602</v>
      </c>
    </row>
    <row r="15" spans="1:7" x14ac:dyDescent="0.3">
      <c r="A15" s="77">
        <v>100</v>
      </c>
      <c r="B15" s="86">
        <v>9030</v>
      </c>
      <c r="C15" s="78">
        <v>2040</v>
      </c>
      <c r="E15" s="91">
        <v>50</v>
      </c>
      <c r="F15" s="89">
        <v>1550</v>
      </c>
      <c r="G15" s="89">
        <v>1872</v>
      </c>
    </row>
    <row r="16" spans="1:7" x14ac:dyDescent="0.3">
      <c r="A16" s="77">
        <v>100</v>
      </c>
      <c r="B16" s="86">
        <v>19707</v>
      </c>
      <c r="C16" s="78">
        <v>2116</v>
      </c>
      <c r="E16" s="91">
        <v>51</v>
      </c>
      <c r="F16" s="89">
        <v>47500</v>
      </c>
      <c r="G16" s="89">
        <v>7590</v>
      </c>
    </row>
    <row r="17" spans="1:7" x14ac:dyDescent="0.3">
      <c r="A17" s="77">
        <v>100</v>
      </c>
      <c r="B17" s="86">
        <v>23460</v>
      </c>
      <c r="C17" s="78">
        <v>3315</v>
      </c>
      <c r="E17" s="91">
        <v>56</v>
      </c>
      <c r="F17" s="89">
        <v>34781</v>
      </c>
      <c r="G17" s="89">
        <v>6456</v>
      </c>
    </row>
    <row r="18" spans="1:7" x14ac:dyDescent="0.3">
      <c r="A18" s="77">
        <v>100</v>
      </c>
      <c r="B18" s="86">
        <v>19570</v>
      </c>
      <c r="C18" s="78">
        <v>2392</v>
      </c>
      <c r="E18" s="91">
        <v>64</v>
      </c>
      <c r="F18" s="89">
        <v>37000</v>
      </c>
      <c r="G18" s="89">
        <v>2499</v>
      </c>
    </row>
    <row r="19" spans="1:7" x14ac:dyDescent="0.3">
      <c r="A19" s="77">
        <v>100</v>
      </c>
      <c r="B19" s="86">
        <v>10600</v>
      </c>
      <c r="C19" s="78">
        <v>2040</v>
      </c>
      <c r="E19" s="91">
        <v>86</v>
      </c>
      <c r="F19" s="89">
        <v>119876</v>
      </c>
      <c r="G19" s="89">
        <v>17243</v>
      </c>
    </row>
    <row r="20" spans="1:7" x14ac:dyDescent="0.3">
      <c r="A20" s="77">
        <v>100</v>
      </c>
      <c r="B20" s="86">
        <v>18500</v>
      </c>
      <c r="C20" s="78">
        <v>2392</v>
      </c>
      <c r="E20" s="91">
        <v>88</v>
      </c>
      <c r="F20" s="89">
        <v>68271</v>
      </c>
      <c r="G20" s="89">
        <v>14440</v>
      </c>
    </row>
    <row r="21" spans="1:7" x14ac:dyDescent="0.3">
      <c r="A21" s="77">
        <v>100</v>
      </c>
      <c r="B21" s="86">
        <v>13532</v>
      </c>
      <c r="C21" s="78">
        <v>2040</v>
      </c>
      <c r="E21" s="91">
        <v>91</v>
      </c>
      <c r="F21" s="89">
        <v>1000</v>
      </c>
      <c r="G21" s="89">
        <v>1066</v>
      </c>
    </row>
    <row r="22" spans="1:7" x14ac:dyDescent="0.3">
      <c r="A22" s="77">
        <v>100</v>
      </c>
      <c r="B22" s="86">
        <v>15562</v>
      </c>
      <c r="C22" s="78">
        <v>2392</v>
      </c>
      <c r="E22" s="91">
        <v>94</v>
      </c>
      <c r="F22" s="89">
        <v>5305</v>
      </c>
      <c r="G22" s="89">
        <v>2321</v>
      </c>
    </row>
    <row r="23" spans="1:7" x14ac:dyDescent="0.3">
      <c r="A23" s="77">
        <v>100</v>
      </c>
      <c r="B23" s="86">
        <v>12900</v>
      </c>
      <c r="C23" s="78">
        <v>2392</v>
      </c>
      <c r="E23" s="91">
        <v>100</v>
      </c>
      <c r="F23" s="89">
        <v>422693</v>
      </c>
      <c r="G23" s="89">
        <v>65484</v>
      </c>
    </row>
    <row r="24" spans="1:7" x14ac:dyDescent="0.3">
      <c r="A24" s="77">
        <v>100</v>
      </c>
      <c r="B24" s="86">
        <v>10984</v>
      </c>
      <c r="C24" s="78">
        <v>2040</v>
      </c>
      <c r="E24" s="91">
        <v>109</v>
      </c>
      <c r="F24" s="89">
        <v>54954</v>
      </c>
      <c r="G24" s="89">
        <v>6384</v>
      </c>
    </row>
    <row r="25" spans="1:7" x14ac:dyDescent="0.3">
      <c r="A25" s="77">
        <v>100</v>
      </c>
      <c r="B25" s="86">
        <v>19500</v>
      </c>
      <c r="C25" s="78">
        <v>2548</v>
      </c>
      <c r="E25" s="91">
        <v>117</v>
      </c>
      <c r="F25" s="89">
        <v>4700</v>
      </c>
      <c r="G25" s="89">
        <v>3803</v>
      </c>
    </row>
    <row r="26" spans="1:7" x14ac:dyDescent="0.3">
      <c r="A26" s="77">
        <v>100</v>
      </c>
      <c r="B26" s="86">
        <v>16800</v>
      </c>
      <c r="C26" s="78">
        <v>2548</v>
      </c>
      <c r="E26" s="91">
        <v>120</v>
      </c>
      <c r="F26" s="89">
        <v>4034</v>
      </c>
      <c r="G26" s="89">
        <v>1900</v>
      </c>
    </row>
    <row r="27" spans="1:7" x14ac:dyDescent="0.3">
      <c r="A27" s="77">
        <v>100</v>
      </c>
      <c r="B27" s="86">
        <v>12400</v>
      </c>
      <c r="C27" s="78">
        <v>2392</v>
      </c>
      <c r="E27" s="91">
        <v>125</v>
      </c>
      <c r="F27" s="89">
        <v>177578</v>
      </c>
      <c r="G27" s="89">
        <v>31749</v>
      </c>
    </row>
    <row r="28" spans="1:7" x14ac:dyDescent="0.3">
      <c r="A28" s="77">
        <v>100</v>
      </c>
      <c r="B28" s="86">
        <v>11193</v>
      </c>
      <c r="C28" s="78">
        <v>2548</v>
      </c>
      <c r="E28" s="91">
        <v>139</v>
      </c>
      <c r="F28" s="89">
        <v>2783</v>
      </c>
      <c r="G28" s="89">
        <v>4732</v>
      </c>
    </row>
    <row r="29" spans="1:7" x14ac:dyDescent="0.3">
      <c r="A29" s="77">
        <v>100</v>
      </c>
      <c r="B29" s="86">
        <v>12037</v>
      </c>
      <c r="C29" s="78">
        <v>2040</v>
      </c>
      <c r="E29" s="91">
        <v>140</v>
      </c>
      <c r="F29" s="89">
        <v>2950</v>
      </c>
      <c r="G29" s="89">
        <v>988</v>
      </c>
    </row>
    <row r="30" spans="1:7" x14ac:dyDescent="0.3">
      <c r="A30" s="77">
        <v>100</v>
      </c>
      <c r="B30" s="86">
        <v>20019</v>
      </c>
      <c r="C30" s="78">
        <v>2548</v>
      </c>
      <c r="E30" s="91">
        <v>143</v>
      </c>
      <c r="F30" s="89">
        <v>144976</v>
      </c>
      <c r="G30" s="89">
        <v>30518</v>
      </c>
    </row>
    <row r="31" spans="1:7" x14ac:dyDescent="0.3">
      <c r="A31" s="77">
        <v>100</v>
      </c>
      <c r="B31" s="86">
        <v>16605</v>
      </c>
      <c r="C31" s="78">
        <v>2392</v>
      </c>
      <c r="E31" s="91">
        <v>150</v>
      </c>
      <c r="F31" s="89">
        <v>61420</v>
      </c>
      <c r="G31" s="89">
        <v>6192</v>
      </c>
    </row>
    <row r="32" spans="1:7" x14ac:dyDescent="0.3">
      <c r="A32" s="77">
        <v>100</v>
      </c>
      <c r="B32" s="86">
        <v>12729</v>
      </c>
      <c r="C32" s="78">
        <v>2040</v>
      </c>
      <c r="E32" s="91">
        <v>153</v>
      </c>
      <c r="F32" s="89">
        <v>2064</v>
      </c>
      <c r="G32" s="89">
        <v>1651</v>
      </c>
    </row>
    <row r="33" spans="1:7" x14ac:dyDescent="0.3">
      <c r="A33" s="77">
        <v>100</v>
      </c>
      <c r="B33" s="86">
        <v>10700</v>
      </c>
      <c r="C33" s="78">
        <v>2040</v>
      </c>
      <c r="E33" s="91">
        <v>154</v>
      </c>
      <c r="F33" s="89">
        <v>135</v>
      </c>
      <c r="G33" s="89">
        <v>1960</v>
      </c>
    </row>
    <row r="34" spans="1:7" x14ac:dyDescent="0.3">
      <c r="A34" s="77">
        <v>100</v>
      </c>
      <c r="B34" s="86">
        <v>12025</v>
      </c>
      <c r="C34" s="78">
        <v>2040</v>
      </c>
      <c r="E34" s="91">
        <v>162</v>
      </c>
      <c r="F34" s="89">
        <v>12760</v>
      </c>
      <c r="G34" s="89">
        <v>5698</v>
      </c>
    </row>
    <row r="35" spans="1:7" x14ac:dyDescent="0.3">
      <c r="A35" s="77">
        <v>109</v>
      </c>
      <c r="B35" s="86">
        <v>21450</v>
      </c>
      <c r="C35" s="78">
        <v>3046</v>
      </c>
      <c r="E35" s="91">
        <v>180</v>
      </c>
      <c r="F35" s="89">
        <v>4400</v>
      </c>
      <c r="G35" s="89">
        <v>2288</v>
      </c>
    </row>
    <row r="36" spans="1:7" x14ac:dyDescent="0.3">
      <c r="A36" s="77">
        <v>109</v>
      </c>
      <c r="B36" s="86">
        <v>33504</v>
      </c>
      <c r="C36" s="78">
        <v>3338</v>
      </c>
      <c r="E36" s="91">
        <v>181</v>
      </c>
      <c r="F36" s="89">
        <v>43363</v>
      </c>
      <c r="G36" s="89">
        <v>8957</v>
      </c>
    </row>
    <row r="37" spans="1:7" x14ac:dyDescent="0.3">
      <c r="A37" s="77">
        <v>117</v>
      </c>
      <c r="B37" s="86">
        <v>2400</v>
      </c>
      <c r="C37" s="78">
        <v>1928</v>
      </c>
      <c r="E37" s="91">
        <v>189</v>
      </c>
      <c r="F37" s="89">
        <v>596042</v>
      </c>
      <c r="G37" s="89">
        <v>74283</v>
      </c>
    </row>
    <row r="38" spans="1:7" x14ac:dyDescent="0.3">
      <c r="A38" s="77">
        <v>117</v>
      </c>
      <c r="B38" s="86">
        <v>2300</v>
      </c>
      <c r="C38" s="78">
        <v>1875</v>
      </c>
      <c r="E38" s="91">
        <v>190</v>
      </c>
      <c r="F38" s="89">
        <v>501751</v>
      </c>
      <c r="G38" s="89">
        <v>64655</v>
      </c>
    </row>
    <row r="39" spans="1:7" x14ac:dyDescent="0.3">
      <c r="A39" s="77">
        <v>12</v>
      </c>
      <c r="B39" s="86">
        <v>18500</v>
      </c>
      <c r="C39" s="78">
        <v>2439</v>
      </c>
      <c r="E39" s="91">
        <v>198</v>
      </c>
      <c r="F39" s="89">
        <v>109270</v>
      </c>
      <c r="G39" s="89">
        <v>10128</v>
      </c>
    </row>
    <row r="40" spans="1:7" x14ac:dyDescent="0.3">
      <c r="A40" s="77">
        <v>12</v>
      </c>
      <c r="B40" s="86">
        <v>22000</v>
      </c>
      <c r="C40" s="78">
        <v>2774</v>
      </c>
      <c r="E40" s="91">
        <v>212</v>
      </c>
      <c r="F40" s="89">
        <v>9606</v>
      </c>
      <c r="G40" s="89">
        <v>1560</v>
      </c>
    </row>
    <row r="41" spans="1:7" x14ac:dyDescent="0.3">
      <c r="A41" s="77">
        <v>12</v>
      </c>
      <c r="B41" s="86">
        <v>12035</v>
      </c>
      <c r="C41" s="78">
        <v>2433</v>
      </c>
      <c r="E41" s="91">
        <v>213</v>
      </c>
      <c r="F41" s="89">
        <v>1795</v>
      </c>
      <c r="G41" s="89">
        <v>684</v>
      </c>
    </row>
    <row r="42" spans="1:7" x14ac:dyDescent="0.3">
      <c r="A42" s="77">
        <v>12</v>
      </c>
      <c r="B42" s="86">
        <v>8930</v>
      </c>
      <c r="C42" s="78">
        <v>2059</v>
      </c>
      <c r="E42" s="91">
        <v>215</v>
      </c>
      <c r="F42" s="89">
        <v>9800</v>
      </c>
      <c r="G42" s="89">
        <v>2808</v>
      </c>
    </row>
    <row r="43" spans="1:7" x14ac:dyDescent="0.3">
      <c r="A43" s="77">
        <v>12</v>
      </c>
      <c r="B43" s="86">
        <v>9750</v>
      </c>
      <c r="C43" s="78">
        <v>2064</v>
      </c>
      <c r="E43" s="91">
        <v>228</v>
      </c>
      <c r="F43" s="89">
        <v>49549</v>
      </c>
      <c r="G43" s="89">
        <v>9870</v>
      </c>
    </row>
    <row r="44" spans="1:7" x14ac:dyDescent="0.3">
      <c r="A44" s="77">
        <v>12</v>
      </c>
      <c r="B44" s="86">
        <v>21000</v>
      </c>
      <c r="C44" s="78">
        <v>2519</v>
      </c>
      <c r="E44" s="91">
        <v>231</v>
      </c>
      <c r="F44" s="89">
        <v>1287</v>
      </c>
      <c r="G44" s="89">
        <v>665</v>
      </c>
    </row>
    <row r="45" spans="1:7" x14ac:dyDescent="0.3">
      <c r="A45" s="77">
        <v>12</v>
      </c>
      <c r="B45" s="86">
        <v>3000</v>
      </c>
      <c r="C45" s="78">
        <v>2448</v>
      </c>
      <c r="E45" s="91">
        <v>236</v>
      </c>
      <c r="F45" s="89">
        <v>12633</v>
      </c>
      <c r="G45" s="89">
        <v>4310</v>
      </c>
    </row>
    <row r="46" spans="1:7" x14ac:dyDescent="0.3">
      <c r="A46" s="77">
        <v>12</v>
      </c>
      <c r="B46" s="86">
        <v>20000</v>
      </c>
      <c r="C46" s="78">
        <v>2796</v>
      </c>
      <c r="E46" s="91">
        <v>238</v>
      </c>
      <c r="F46" s="89">
        <v>500</v>
      </c>
      <c r="G46" s="89">
        <v>1005</v>
      </c>
    </row>
    <row r="47" spans="1:7" x14ac:dyDescent="0.3">
      <c r="A47" s="77">
        <v>12</v>
      </c>
      <c r="B47" s="86">
        <v>4000</v>
      </c>
      <c r="C47" s="78">
        <v>2572</v>
      </c>
      <c r="E47" s="91">
        <v>240</v>
      </c>
      <c r="F47" s="89">
        <v>33482</v>
      </c>
      <c r="G47" s="89">
        <v>8181</v>
      </c>
    </row>
    <row r="48" spans="1:7" x14ac:dyDescent="0.3">
      <c r="A48" s="77">
        <v>12</v>
      </c>
      <c r="B48" s="86">
        <v>5000</v>
      </c>
      <c r="C48" s="78">
        <v>2054</v>
      </c>
      <c r="E48" s="91">
        <v>254</v>
      </c>
      <c r="F48" s="89">
        <v>22000</v>
      </c>
      <c r="G48" s="89">
        <v>6644</v>
      </c>
    </row>
    <row r="49" spans="1:7" x14ac:dyDescent="0.3">
      <c r="A49" s="77">
        <v>12</v>
      </c>
      <c r="B49" s="86">
        <v>1600</v>
      </c>
      <c r="C49" s="78">
        <v>1797</v>
      </c>
      <c r="E49" s="91">
        <v>256</v>
      </c>
      <c r="F49" s="89">
        <v>20000</v>
      </c>
      <c r="G49" s="89">
        <v>3296</v>
      </c>
    </row>
    <row r="50" spans="1:7" x14ac:dyDescent="0.3">
      <c r="A50" s="77">
        <v>12</v>
      </c>
      <c r="B50" s="86">
        <v>10000</v>
      </c>
      <c r="C50" s="78">
        <v>2071</v>
      </c>
      <c r="E50" s="91">
        <v>262</v>
      </c>
      <c r="F50" s="89">
        <v>10000</v>
      </c>
      <c r="G50" s="89">
        <v>2735</v>
      </c>
    </row>
    <row r="51" spans="1:7" x14ac:dyDescent="0.3">
      <c r="A51" s="77">
        <v>120</v>
      </c>
      <c r="B51" s="86">
        <v>4034</v>
      </c>
      <c r="C51" s="78">
        <v>1900</v>
      </c>
      <c r="E51" s="91">
        <v>264</v>
      </c>
      <c r="F51" s="89">
        <v>33030</v>
      </c>
      <c r="G51" s="89">
        <v>3206</v>
      </c>
    </row>
    <row r="52" spans="1:7" x14ac:dyDescent="0.3">
      <c r="A52" s="77">
        <v>125</v>
      </c>
      <c r="B52" s="86">
        <v>15126</v>
      </c>
      <c r="C52" s="78">
        <v>2496</v>
      </c>
      <c r="E52" s="91">
        <v>266</v>
      </c>
      <c r="F52" s="89">
        <v>0</v>
      </c>
      <c r="G52" s="89">
        <v>212</v>
      </c>
    </row>
    <row r="53" spans="1:7" x14ac:dyDescent="0.3">
      <c r="A53" s="77">
        <v>125</v>
      </c>
      <c r="B53" s="86">
        <v>15000</v>
      </c>
      <c r="C53" s="78">
        <v>2496</v>
      </c>
      <c r="E53" s="91">
        <v>269</v>
      </c>
      <c r="F53" s="89">
        <v>2510</v>
      </c>
      <c r="G53" s="89">
        <v>2600</v>
      </c>
    </row>
    <row r="54" spans="1:7" x14ac:dyDescent="0.3">
      <c r="A54" s="77">
        <v>125</v>
      </c>
      <c r="B54" s="86">
        <v>9700</v>
      </c>
      <c r="C54" s="78">
        <v>2496</v>
      </c>
      <c r="E54" s="91">
        <v>283</v>
      </c>
      <c r="F54" s="89">
        <v>955</v>
      </c>
      <c r="G54" s="89">
        <v>2380</v>
      </c>
    </row>
    <row r="55" spans="1:7" x14ac:dyDescent="0.3">
      <c r="A55" s="77">
        <v>125</v>
      </c>
      <c r="B55" s="86">
        <v>8107</v>
      </c>
      <c r="C55" s="78">
        <v>2496</v>
      </c>
      <c r="E55" s="91">
        <v>284</v>
      </c>
      <c r="F55" s="89">
        <v>736</v>
      </c>
      <c r="G55" s="89">
        <v>1370</v>
      </c>
    </row>
    <row r="56" spans="1:7" x14ac:dyDescent="0.3">
      <c r="A56" s="77">
        <v>125</v>
      </c>
      <c r="B56" s="86">
        <v>15500</v>
      </c>
      <c r="C56" s="78">
        <v>2496</v>
      </c>
      <c r="E56" s="91">
        <v>295</v>
      </c>
      <c r="F56" s="89">
        <v>1099</v>
      </c>
      <c r="G56" s="89">
        <v>1030</v>
      </c>
    </row>
    <row r="57" spans="1:7" x14ac:dyDescent="0.3">
      <c r="A57" s="77">
        <v>125</v>
      </c>
      <c r="B57" s="86">
        <v>185</v>
      </c>
      <c r="C57" s="78">
        <v>891</v>
      </c>
      <c r="E57" s="91">
        <v>298</v>
      </c>
      <c r="F57" s="89">
        <v>5644</v>
      </c>
      <c r="G57" s="89">
        <v>2967</v>
      </c>
    </row>
    <row r="58" spans="1:7" x14ac:dyDescent="0.3">
      <c r="A58" s="77">
        <v>125</v>
      </c>
      <c r="B58" s="86">
        <v>15000</v>
      </c>
      <c r="C58" s="78">
        <v>2496</v>
      </c>
      <c r="E58" s="91">
        <v>300</v>
      </c>
      <c r="F58" s="89">
        <v>10300</v>
      </c>
      <c r="G58" s="89">
        <v>2713</v>
      </c>
    </row>
    <row r="59" spans="1:7" x14ac:dyDescent="0.3">
      <c r="A59" s="77">
        <v>125</v>
      </c>
      <c r="B59" s="86">
        <v>10358</v>
      </c>
      <c r="C59" s="78">
        <v>3402</v>
      </c>
      <c r="E59" s="91">
        <v>311</v>
      </c>
      <c r="F59" s="89">
        <v>120000</v>
      </c>
      <c r="G59" s="89">
        <v>13755</v>
      </c>
    </row>
    <row r="60" spans="1:7" x14ac:dyDescent="0.3">
      <c r="A60" s="77">
        <v>125</v>
      </c>
      <c r="B60" s="86">
        <v>22000</v>
      </c>
      <c r="C60" s="78">
        <v>2496</v>
      </c>
      <c r="E60" s="91">
        <v>315</v>
      </c>
      <c r="F60" s="89"/>
      <c r="G60" s="89">
        <v>0</v>
      </c>
    </row>
    <row r="61" spans="1:7" x14ac:dyDescent="0.3">
      <c r="A61" s="77">
        <v>125</v>
      </c>
      <c r="B61" s="86">
        <v>24665</v>
      </c>
      <c r="C61" s="78">
        <v>2496</v>
      </c>
      <c r="E61" s="91">
        <v>316</v>
      </c>
      <c r="F61" s="89">
        <v>13213</v>
      </c>
      <c r="G61" s="89">
        <v>4505</v>
      </c>
    </row>
    <row r="62" spans="1:7" x14ac:dyDescent="0.3">
      <c r="A62" s="77">
        <v>125</v>
      </c>
      <c r="B62" s="86">
        <v>9200</v>
      </c>
      <c r="C62" s="78">
        <v>2496</v>
      </c>
      <c r="E62" s="91">
        <v>324</v>
      </c>
      <c r="F62" s="89">
        <v>888</v>
      </c>
      <c r="G62" s="89">
        <v>714</v>
      </c>
    </row>
    <row r="63" spans="1:7" x14ac:dyDescent="0.3">
      <c r="A63" s="77">
        <v>125</v>
      </c>
      <c r="B63" s="86">
        <v>185</v>
      </c>
      <c r="C63" s="78">
        <v>0</v>
      </c>
      <c r="E63" s="91">
        <v>329</v>
      </c>
      <c r="F63" s="89">
        <v>278097</v>
      </c>
      <c r="G63" s="89">
        <v>27780</v>
      </c>
    </row>
    <row r="64" spans="1:7" x14ac:dyDescent="0.3">
      <c r="A64" s="77">
        <v>125</v>
      </c>
      <c r="B64" s="86">
        <v>12352</v>
      </c>
      <c r="C64" s="78">
        <v>2496</v>
      </c>
      <c r="E64" s="91">
        <v>334</v>
      </c>
      <c r="F64" s="89">
        <v>1430</v>
      </c>
      <c r="G64" s="89">
        <v>917</v>
      </c>
    </row>
    <row r="65" spans="1:7" x14ac:dyDescent="0.3">
      <c r="A65" s="77">
        <v>125</v>
      </c>
      <c r="B65" s="86">
        <v>20200</v>
      </c>
      <c r="C65" s="78">
        <v>2496</v>
      </c>
      <c r="E65" s="91">
        <v>343</v>
      </c>
      <c r="F65" s="89">
        <v>7776</v>
      </c>
      <c r="G65" s="89">
        <v>3616</v>
      </c>
    </row>
    <row r="66" spans="1:7" x14ac:dyDescent="0.3">
      <c r="A66" s="77">
        <v>139</v>
      </c>
      <c r="B66" s="86">
        <v>2100</v>
      </c>
      <c r="C66" s="78">
        <v>2080</v>
      </c>
      <c r="E66" s="91">
        <v>344</v>
      </c>
      <c r="F66" s="89">
        <v>346061</v>
      </c>
      <c r="G66" s="89">
        <v>77992</v>
      </c>
    </row>
    <row r="67" spans="1:7" x14ac:dyDescent="0.3">
      <c r="A67" s="77">
        <v>139</v>
      </c>
      <c r="B67" s="86">
        <v>103</v>
      </c>
      <c r="C67" s="78">
        <v>1040</v>
      </c>
      <c r="E67" s="91">
        <v>357</v>
      </c>
      <c r="F67" s="89">
        <v>890</v>
      </c>
      <c r="G67" s="89">
        <v>1930</v>
      </c>
    </row>
    <row r="68" spans="1:7" x14ac:dyDescent="0.3">
      <c r="A68" s="77">
        <v>139</v>
      </c>
      <c r="B68" s="86">
        <v>580</v>
      </c>
      <c r="C68" s="78">
        <v>1612</v>
      </c>
      <c r="E68" s="91">
        <v>384</v>
      </c>
      <c r="F68" s="89">
        <v>0</v>
      </c>
      <c r="G68" s="89">
        <v>495</v>
      </c>
    </row>
    <row r="69" spans="1:7" x14ac:dyDescent="0.3">
      <c r="A69" s="77">
        <v>140</v>
      </c>
      <c r="B69" s="86">
        <v>2950</v>
      </c>
      <c r="C69" s="78">
        <v>988</v>
      </c>
      <c r="E69" s="91">
        <v>398</v>
      </c>
      <c r="F69" s="89">
        <v>56875</v>
      </c>
      <c r="G69" s="89">
        <v>8058</v>
      </c>
    </row>
    <row r="70" spans="1:7" x14ac:dyDescent="0.3">
      <c r="A70" s="77">
        <v>143</v>
      </c>
      <c r="B70" s="86">
        <v>7527</v>
      </c>
      <c r="C70" s="78">
        <v>2000</v>
      </c>
      <c r="E70" s="91">
        <v>400</v>
      </c>
      <c r="F70" s="89">
        <v>3325</v>
      </c>
      <c r="G70" s="89">
        <v>2974</v>
      </c>
    </row>
    <row r="71" spans="1:7" x14ac:dyDescent="0.3">
      <c r="A71" s="77">
        <v>143</v>
      </c>
      <c r="B71" s="86">
        <v>5045</v>
      </c>
      <c r="C71" s="78">
        <v>2000</v>
      </c>
      <c r="E71" s="91">
        <v>408</v>
      </c>
      <c r="F71" s="89">
        <v>20976</v>
      </c>
      <c r="G71" s="89">
        <v>4152</v>
      </c>
    </row>
    <row r="72" spans="1:7" x14ac:dyDescent="0.3">
      <c r="A72" s="77">
        <v>143</v>
      </c>
      <c r="B72" s="86">
        <v>7072</v>
      </c>
      <c r="C72" s="78">
        <v>2000</v>
      </c>
      <c r="E72" s="91">
        <v>432</v>
      </c>
      <c r="F72" s="89">
        <v>1680</v>
      </c>
      <c r="G72" s="89">
        <v>0</v>
      </c>
    </row>
    <row r="73" spans="1:7" x14ac:dyDescent="0.3">
      <c r="A73" s="77">
        <v>143</v>
      </c>
      <c r="B73" s="86">
        <v>9585</v>
      </c>
      <c r="C73" s="78">
        <v>2000</v>
      </c>
      <c r="E73" s="91">
        <v>452</v>
      </c>
      <c r="F73" s="89">
        <v>14229</v>
      </c>
      <c r="G73" s="89">
        <v>2700</v>
      </c>
    </row>
    <row r="74" spans="1:7" x14ac:dyDescent="0.3">
      <c r="A74" s="77">
        <v>143</v>
      </c>
      <c r="B74" s="86">
        <v>6313</v>
      </c>
      <c r="C74" s="78">
        <v>2000</v>
      </c>
      <c r="E74" s="91">
        <v>502</v>
      </c>
      <c r="F74" s="89">
        <v>3581</v>
      </c>
      <c r="G74" s="89">
        <v>1769</v>
      </c>
    </row>
    <row r="75" spans="1:7" x14ac:dyDescent="0.3">
      <c r="A75" s="77">
        <v>143</v>
      </c>
      <c r="B75" s="86">
        <v>6834</v>
      </c>
      <c r="C75" s="78">
        <v>2000</v>
      </c>
      <c r="E75" s="91">
        <v>517</v>
      </c>
      <c r="F75" s="89">
        <v>3000</v>
      </c>
      <c r="G75" s="89">
        <v>2930</v>
      </c>
    </row>
    <row r="76" spans="1:7" x14ac:dyDescent="0.3">
      <c r="A76" s="77">
        <v>143</v>
      </c>
      <c r="B76" s="86">
        <v>13445</v>
      </c>
      <c r="C76" s="78">
        <v>2000</v>
      </c>
      <c r="E76" s="91">
        <v>552</v>
      </c>
      <c r="F76" s="89">
        <v>1468</v>
      </c>
      <c r="G76" s="89">
        <v>2984</v>
      </c>
    </row>
    <row r="77" spans="1:7" x14ac:dyDescent="0.3">
      <c r="A77" s="77">
        <v>143</v>
      </c>
      <c r="B77" s="86">
        <v>25661</v>
      </c>
      <c r="C77" s="78">
        <v>2000</v>
      </c>
      <c r="E77" s="91">
        <v>627</v>
      </c>
      <c r="F77" s="89">
        <v>15</v>
      </c>
      <c r="G77" s="89">
        <v>120</v>
      </c>
    </row>
    <row r="78" spans="1:7" x14ac:dyDescent="0.3">
      <c r="A78" s="77">
        <v>143</v>
      </c>
      <c r="B78" s="86">
        <v>4962</v>
      </c>
      <c r="C78" s="78">
        <v>2000</v>
      </c>
      <c r="E78" s="91">
        <v>649</v>
      </c>
      <c r="F78" s="89">
        <v>7153</v>
      </c>
      <c r="G78" s="89">
        <v>6456</v>
      </c>
    </row>
    <row r="79" spans="1:7" x14ac:dyDescent="0.3">
      <c r="A79" s="77">
        <v>143</v>
      </c>
      <c r="B79" s="86">
        <v>8121</v>
      </c>
      <c r="C79" s="78">
        <v>2000</v>
      </c>
      <c r="E79" s="91"/>
      <c r="F79" s="89">
        <v>0</v>
      </c>
      <c r="G79" s="89">
        <v>0</v>
      </c>
    </row>
    <row r="80" spans="1:7" ht="28.8" x14ac:dyDescent="0.3">
      <c r="A80" s="77">
        <v>143</v>
      </c>
      <c r="B80" s="86">
        <v>915</v>
      </c>
      <c r="C80" s="78">
        <v>2259</v>
      </c>
      <c r="E80" s="91" t="s">
        <v>2875</v>
      </c>
      <c r="F80" s="89">
        <v>4208294</v>
      </c>
      <c r="G80" s="89">
        <v>754783</v>
      </c>
    </row>
    <row r="81" spans="1:3" x14ac:dyDescent="0.3">
      <c r="A81" s="77">
        <v>143</v>
      </c>
      <c r="B81" s="86">
        <v>23990</v>
      </c>
      <c r="C81" s="78">
        <v>2000</v>
      </c>
    </row>
    <row r="82" spans="1:3" x14ac:dyDescent="0.3">
      <c r="A82" s="77">
        <v>143</v>
      </c>
      <c r="B82" s="86">
        <v>1400</v>
      </c>
      <c r="C82" s="78">
        <v>2259</v>
      </c>
    </row>
    <row r="83" spans="1:3" x14ac:dyDescent="0.3">
      <c r="A83" s="77">
        <v>143</v>
      </c>
      <c r="B83" s="86">
        <v>11068</v>
      </c>
      <c r="C83" s="78">
        <v>2000</v>
      </c>
    </row>
    <row r="84" spans="1:3" x14ac:dyDescent="0.3">
      <c r="A84" s="77">
        <v>143</v>
      </c>
      <c r="B84" s="86">
        <v>13038</v>
      </c>
      <c r="C84" s="78">
        <v>2000</v>
      </c>
    </row>
    <row r="85" spans="1:3" x14ac:dyDescent="0.3">
      <c r="A85" s="77">
        <v>150</v>
      </c>
      <c r="B85" s="86">
        <v>8000</v>
      </c>
      <c r="C85" s="78">
        <v>2064</v>
      </c>
    </row>
    <row r="86" spans="1:3" x14ac:dyDescent="0.3">
      <c r="A86" s="77">
        <v>150</v>
      </c>
      <c r="B86" s="86">
        <v>16500</v>
      </c>
      <c r="C86" s="78">
        <v>2064</v>
      </c>
    </row>
    <row r="87" spans="1:3" x14ac:dyDescent="0.3">
      <c r="A87" s="77">
        <v>150</v>
      </c>
      <c r="B87" s="86">
        <v>36920</v>
      </c>
      <c r="C87" s="78">
        <v>2064</v>
      </c>
    </row>
    <row r="88" spans="1:3" x14ac:dyDescent="0.3">
      <c r="A88" s="77">
        <v>153</v>
      </c>
      <c r="B88" s="86">
        <v>2064</v>
      </c>
      <c r="C88" s="78">
        <v>1651</v>
      </c>
    </row>
    <row r="89" spans="1:3" x14ac:dyDescent="0.3">
      <c r="A89" s="77">
        <v>154</v>
      </c>
      <c r="B89" s="86">
        <v>135</v>
      </c>
      <c r="C89" s="78">
        <v>1960</v>
      </c>
    </row>
    <row r="90" spans="1:3" x14ac:dyDescent="0.3">
      <c r="A90" s="77">
        <v>16</v>
      </c>
      <c r="B90" s="86">
        <v>10000</v>
      </c>
      <c r="C90" s="78">
        <v>2808</v>
      </c>
    </row>
    <row r="91" spans="1:3" x14ac:dyDescent="0.3">
      <c r="A91" s="77">
        <v>16</v>
      </c>
      <c r="B91" s="86">
        <v>10000</v>
      </c>
      <c r="C91" s="78">
        <v>2808</v>
      </c>
    </row>
    <row r="92" spans="1:3" x14ac:dyDescent="0.3">
      <c r="A92" s="77">
        <v>16</v>
      </c>
      <c r="B92" s="86">
        <v>8100</v>
      </c>
      <c r="C92" s="78">
        <v>2808</v>
      </c>
    </row>
    <row r="93" spans="1:3" x14ac:dyDescent="0.3">
      <c r="A93" s="77">
        <v>16</v>
      </c>
      <c r="B93" s="86">
        <v>10000</v>
      </c>
      <c r="C93" s="78">
        <v>2808</v>
      </c>
    </row>
    <row r="94" spans="1:3" x14ac:dyDescent="0.3">
      <c r="A94" s="77">
        <v>16</v>
      </c>
      <c r="B94" s="86">
        <v>15000</v>
      </c>
      <c r="C94" s="78">
        <v>2840</v>
      </c>
    </row>
    <row r="95" spans="1:3" x14ac:dyDescent="0.3">
      <c r="A95" s="77">
        <v>16</v>
      </c>
      <c r="B95" s="86">
        <v>11200</v>
      </c>
      <c r="C95" s="78">
        <v>2808</v>
      </c>
    </row>
    <row r="96" spans="1:3" x14ac:dyDescent="0.3">
      <c r="A96" s="77">
        <v>162</v>
      </c>
      <c r="B96" s="86">
        <v>10000</v>
      </c>
      <c r="C96" s="78">
        <v>2944</v>
      </c>
    </row>
    <row r="97" spans="1:3" x14ac:dyDescent="0.3">
      <c r="A97" s="77">
        <v>162</v>
      </c>
      <c r="B97" s="86">
        <v>2760</v>
      </c>
      <c r="C97" s="78">
        <v>2754</v>
      </c>
    </row>
    <row r="98" spans="1:3" x14ac:dyDescent="0.3">
      <c r="A98" s="77">
        <v>180</v>
      </c>
      <c r="B98" s="86">
        <v>4400</v>
      </c>
      <c r="C98" s="78">
        <v>2288</v>
      </c>
    </row>
    <row r="99" spans="1:3" x14ac:dyDescent="0.3">
      <c r="A99" s="77">
        <v>181</v>
      </c>
      <c r="B99" s="86">
        <v>8000</v>
      </c>
      <c r="C99" s="78">
        <v>2158</v>
      </c>
    </row>
    <row r="100" spans="1:3" x14ac:dyDescent="0.3">
      <c r="A100" s="77">
        <v>181</v>
      </c>
      <c r="B100" s="86">
        <v>11383</v>
      </c>
      <c r="C100" s="78">
        <v>2158</v>
      </c>
    </row>
    <row r="101" spans="1:3" x14ac:dyDescent="0.3">
      <c r="A101" s="77">
        <v>181</v>
      </c>
      <c r="B101" s="86">
        <v>3206</v>
      </c>
      <c r="C101" s="78">
        <v>2158</v>
      </c>
    </row>
    <row r="102" spans="1:3" x14ac:dyDescent="0.3">
      <c r="A102" s="77">
        <v>181</v>
      </c>
      <c r="B102" s="86">
        <v>20774</v>
      </c>
      <c r="C102" s="78">
        <v>2483</v>
      </c>
    </row>
    <row r="103" spans="1:3" x14ac:dyDescent="0.3">
      <c r="A103" s="77">
        <v>189</v>
      </c>
      <c r="B103" s="86">
        <v>8720</v>
      </c>
      <c r="C103" s="78">
        <v>2022</v>
      </c>
    </row>
    <row r="104" spans="1:3" x14ac:dyDescent="0.3">
      <c r="A104" s="77">
        <v>189</v>
      </c>
      <c r="B104" s="86">
        <v>19620</v>
      </c>
      <c r="C104" s="78">
        <v>212</v>
      </c>
    </row>
    <row r="105" spans="1:3" x14ac:dyDescent="0.3">
      <c r="A105" s="77">
        <v>189</v>
      </c>
      <c r="B105" s="86">
        <v>11979</v>
      </c>
      <c r="C105" s="78">
        <v>1812</v>
      </c>
    </row>
    <row r="106" spans="1:3" x14ac:dyDescent="0.3">
      <c r="A106" s="77">
        <v>189</v>
      </c>
      <c r="B106" s="86">
        <v>22365</v>
      </c>
      <c r="C106" s="78">
        <v>2754</v>
      </c>
    </row>
    <row r="107" spans="1:3" x14ac:dyDescent="0.3">
      <c r="A107" s="77">
        <v>189</v>
      </c>
      <c r="B107" s="86">
        <v>17440</v>
      </c>
      <c r="C107" s="78">
        <v>2148</v>
      </c>
    </row>
    <row r="108" spans="1:3" x14ac:dyDescent="0.3">
      <c r="A108" s="77">
        <v>189</v>
      </c>
      <c r="B108" s="86">
        <v>34936</v>
      </c>
      <c r="C108" s="78">
        <v>2014</v>
      </c>
    </row>
    <row r="109" spans="1:3" x14ac:dyDescent="0.3">
      <c r="A109" s="77">
        <v>189</v>
      </c>
      <c r="B109" s="86">
        <v>3270</v>
      </c>
      <c r="C109" s="78">
        <v>1771</v>
      </c>
    </row>
    <row r="110" spans="1:3" x14ac:dyDescent="0.3">
      <c r="A110" s="77">
        <v>189</v>
      </c>
      <c r="B110" s="86">
        <v>2000</v>
      </c>
      <c r="C110" s="78">
        <v>956</v>
      </c>
    </row>
    <row r="111" spans="1:3" x14ac:dyDescent="0.3">
      <c r="A111" s="77">
        <v>189</v>
      </c>
      <c r="B111" s="86">
        <v>9265</v>
      </c>
      <c r="C111" s="78">
        <v>1770</v>
      </c>
    </row>
    <row r="112" spans="1:3" x14ac:dyDescent="0.3">
      <c r="A112" s="77">
        <v>189</v>
      </c>
      <c r="B112" s="86">
        <v>10049</v>
      </c>
      <c r="C112" s="78">
        <v>2049</v>
      </c>
    </row>
    <row r="113" spans="1:3" x14ac:dyDescent="0.3">
      <c r="A113" s="77">
        <v>189</v>
      </c>
      <c r="B113" s="86">
        <v>15260</v>
      </c>
      <c r="C113" s="78">
        <v>2164</v>
      </c>
    </row>
    <row r="114" spans="1:3" x14ac:dyDescent="0.3">
      <c r="A114" s="77">
        <v>189</v>
      </c>
      <c r="B114" s="86">
        <v>10900</v>
      </c>
      <c r="C114" s="78">
        <v>1779</v>
      </c>
    </row>
    <row r="115" spans="1:3" x14ac:dyDescent="0.3">
      <c r="A115" s="77">
        <v>189</v>
      </c>
      <c r="B115" s="86">
        <v>12190</v>
      </c>
      <c r="C115" s="78">
        <v>1765</v>
      </c>
    </row>
    <row r="116" spans="1:3" x14ac:dyDescent="0.3">
      <c r="A116" s="77">
        <v>189</v>
      </c>
      <c r="B116" s="86">
        <v>18530</v>
      </c>
      <c r="C116" s="78">
        <v>0</v>
      </c>
    </row>
    <row r="117" spans="1:3" x14ac:dyDescent="0.3">
      <c r="A117" s="77">
        <v>189</v>
      </c>
      <c r="B117" s="86">
        <v>11178</v>
      </c>
      <c r="C117" s="78">
        <v>1758</v>
      </c>
    </row>
    <row r="118" spans="1:3" x14ac:dyDescent="0.3">
      <c r="A118" s="77">
        <v>189</v>
      </c>
      <c r="B118" s="86">
        <v>22365</v>
      </c>
      <c r="C118" s="78">
        <v>2151</v>
      </c>
    </row>
    <row r="119" spans="1:3" x14ac:dyDescent="0.3">
      <c r="A119" s="77">
        <v>189</v>
      </c>
      <c r="B119" s="86">
        <v>4524</v>
      </c>
      <c r="C119" s="78">
        <v>2059</v>
      </c>
    </row>
    <row r="120" spans="1:3" x14ac:dyDescent="0.3">
      <c r="A120" s="77">
        <v>189</v>
      </c>
      <c r="B120" s="86">
        <v>21175</v>
      </c>
      <c r="C120" s="78">
        <v>2036</v>
      </c>
    </row>
    <row r="121" spans="1:3" x14ac:dyDescent="0.3">
      <c r="A121" s="77">
        <v>189</v>
      </c>
      <c r="B121" s="86">
        <v>8930</v>
      </c>
      <c r="C121" s="78">
        <v>2066</v>
      </c>
    </row>
    <row r="122" spans="1:3" x14ac:dyDescent="0.3">
      <c r="A122" s="77">
        <v>189</v>
      </c>
      <c r="B122" s="86">
        <v>4578</v>
      </c>
      <c r="C122" s="78">
        <v>1608</v>
      </c>
    </row>
    <row r="123" spans="1:3" x14ac:dyDescent="0.3">
      <c r="A123" s="77">
        <v>189</v>
      </c>
      <c r="B123" s="86">
        <v>8339</v>
      </c>
      <c r="C123" s="78">
        <v>1795</v>
      </c>
    </row>
    <row r="124" spans="1:3" x14ac:dyDescent="0.3">
      <c r="A124" s="77">
        <v>189</v>
      </c>
      <c r="B124" s="86">
        <v>6213</v>
      </c>
      <c r="C124" s="78">
        <v>2063</v>
      </c>
    </row>
    <row r="125" spans="1:3" x14ac:dyDescent="0.3">
      <c r="A125" s="77">
        <v>189</v>
      </c>
      <c r="B125" s="86">
        <v>12116</v>
      </c>
      <c r="C125" s="78">
        <v>1772</v>
      </c>
    </row>
    <row r="126" spans="1:3" x14ac:dyDescent="0.3">
      <c r="A126" s="77">
        <v>189</v>
      </c>
      <c r="B126" s="86">
        <v>16000</v>
      </c>
      <c r="C126" s="78">
        <v>2162</v>
      </c>
    </row>
    <row r="127" spans="1:3" x14ac:dyDescent="0.3">
      <c r="A127" s="77">
        <v>189</v>
      </c>
      <c r="B127" s="86">
        <v>4360</v>
      </c>
      <c r="C127" s="78">
        <v>2017</v>
      </c>
    </row>
    <row r="128" spans="1:3" x14ac:dyDescent="0.3">
      <c r="A128" s="77">
        <v>189</v>
      </c>
      <c r="B128" s="86">
        <v>8391</v>
      </c>
      <c r="C128" s="78">
        <v>2049</v>
      </c>
    </row>
    <row r="129" spans="1:3" x14ac:dyDescent="0.3">
      <c r="A129" s="77">
        <v>189</v>
      </c>
      <c r="B129" s="86">
        <v>12252</v>
      </c>
      <c r="C129" s="78">
        <v>2094</v>
      </c>
    </row>
    <row r="130" spans="1:3" x14ac:dyDescent="0.3">
      <c r="A130" s="77">
        <v>189</v>
      </c>
      <c r="B130" s="86">
        <v>11445</v>
      </c>
      <c r="C130" s="78">
        <v>2052</v>
      </c>
    </row>
    <row r="131" spans="1:3" x14ac:dyDescent="0.3">
      <c r="A131" s="77">
        <v>189</v>
      </c>
      <c r="B131" s="86">
        <v>9045</v>
      </c>
      <c r="C131" s="78">
        <v>2062</v>
      </c>
    </row>
    <row r="132" spans="1:3" x14ac:dyDescent="0.3">
      <c r="A132" s="77">
        <v>189</v>
      </c>
      <c r="B132" s="86">
        <v>7722</v>
      </c>
      <c r="C132" s="78">
        <v>1765</v>
      </c>
    </row>
    <row r="133" spans="1:3" x14ac:dyDescent="0.3">
      <c r="A133" s="77">
        <v>189</v>
      </c>
      <c r="B133" s="86">
        <v>19864</v>
      </c>
      <c r="C133" s="78">
        <v>1781</v>
      </c>
    </row>
    <row r="134" spans="1:3" x14ac:dyDescent="0.3">
      <c r="A134" s="77">
        <v>189</v>
      </c>
      <c r="B134" s="86">
        <v>10400</v>
      </c>
      <c r="C134" s="78">
        <v>1759</v>
      </c>
    </row>
    <row r="135" spans="1:3" x14ac:dyDescent="0.3">
      <c r="A135" s="77">
        <v>189</v>
      </c>
      <c r="B135" s="86">
        <v>7922</v>
      </c>
      <c r="C135" s="78">
        <v>1776</v>
      </c>
    </row>
    <row r="136" spans="1:3" x14ac:dyDescent="0.3">
      <c r="A136" s="77">
        <v>189</v>
      </c>
      <c r="B136" s="86">
        <v>16459</v>
      </c>
      <c r="C136" s="78">
        <v>1771</v>
      </c>
    </row>
    <row r="137" spans="1:3" x14ac:dyDescent="0.3">
      <c r="A137" s="77">
        <v>189</v>
      </c>
      <c r="B137" s="86">
        <v>18094</v>
      </c>
      <c r="C137" s="78">
        <v>2055</v>
      </c>
    </row>
    <row r="138" spans="1:3" x14ac:dyDescent="0.3">
      <c r="A138" s="77">
        <v>189</v>
      </c>
      <c r="B138" s="86">
        <v>14660</v>
      </c>
      <c r="C138" s="78">
        <v>1592</v>
      </c>
    </row>
    <row r="139" spans="1:3" x14ac:dyDescent="0.3">
      <c r="A139" s="77">
        <v>189</v>
      </c>
      <c r="B139" s="86">
        <v>20393</v>
      </c>
      <c r="C139" s="78">
        <v>2160</v>
      </c>
    </row>
    <row r="140" spans="1:3" x14ac:dyDescent="0.3">
      <c r="A140" s="77">
        <v>189</v>
      </c>
      <c r="B140" s="86">
        <v>450</v>
      </c>
      <c r="C140" s="78">
        <v>669</v>
      </c>
    </row>
    <row r="141" spans="1:3" x14ac:dyDescent="0.3">
      <c r="A141" s="77">
        <v>189</v>
      </c>
      <c r="B141" s="86">
        <v>3636</v>
      </c>
      <c r="C141" s="78">
        <v>2014</v>
      </c>
    </row>
    <row r="142" spans="1:3" x14ac:dyDescent="0.3">
      <c r="A142" s="77">
        <v>189</v>
      </c>
      <c r="B142" s="86">
        <v>26007</v>
      </c>
      <c r="C142" s="78">
        <v>1936</v>
      </c>
    </row>
    <row r="143" spans="1:3" x14ac:dyDescent="0.3">
      <c r="A143" s="77">
        <v>189</v>
      </c>
      <c r="B143" s="86">
        <v>93000</v>
      </c>
      <c r="C143" s="78">
        <v>2045</v>
      </c>
    </row>
    <row r="144" spans="1:3" x14ac:dyDescent="0.3">
      <c r="A144" s="77">
        <v>190</v>
      </c>
      <c r="B144" s="86">
        <v>10500</v>
      </c>
      <c r="C144" s="78">
        <v>1799</v>
      </c>
    </row>
    <row r="145" spans="1:3" x14ac:dyDescent="0.3">
      <c r="A145" s="77">
        <v>190</v>
      </c>
      <c r="B145" s="86">
        <v>12000</v>
      </c>
      <c r="C145" s="78">
        <v>1909</v>
      </c>
    </row>
    <row r="146" spans="1:3" x14ac:dyDescent="0.3">
      <c r="A146" s="77">
        <v>190</v>
      </c>
      <c r="B146" s="86">
        <v>6922</v>
      </c>
      <c r="C146" s="78">
        <v>1140</v>
      </c>
    </row>
    <row r="147" spans="1:3" x14ac:dyDescent="0.3">
      <c r="A147" s="77">
        <v>190</v>
      </c>
      <c r="B147" s="86">
        <v>2700</v>
      </c>
      <c r="C147" s="78">
        <v>2054</v>
      </c>
    </row>
    <row r="148" spans="1:3" x14ac:dyDescent="0.3">
      <c r="A148" s="77">
        <v>190</v>
      </c>
      <c r="B148" s="86">
        <v>13268</v>
      </c>
      <c r="C148" s="78">
        <v>2209</v>
      </c>
    </row>
    <row r="149" spans="1:3" x14ac:dyDescent="0.3">
      <c r="A149" s="77">
        <v>190</v>
      </c>
      <c r="B149" s="86">
        <v>12000</v>
      </c>
      <c r="C149" s="78">
        <v>2261</v>
      </c>
    </row>
    <row r="150" spans="1:3" x14ac:dyDescent="0.3">
      <c r="A150" s="77">
        <v>190</v>
      </c>
      <c r="B150" s="86">
        <v>7247</v>
      </c>
      <c r="C150" s="78">
        <v>2207</v>
      </c>
    </row>
    <row r="151" spans="1:3" x14ac:dyDescent="0.3">
      <c r="A151" s="77">
        <v>190</v>
      </c>
      <c r="B151" s="86">
        <v>42000</v>
      </c>
      <c r="C151" s="78">
        <v>2654</v>
      </c>
    </row>
    <row r="152" spans="1:3" x14ac:dyDescent="0.3">
      <c r="A152" s="77">
        <v>190</v>
      </c>
      <c r="B152" s="86">
        <v>9500</v>
      </c>
      <c r="C152" s="78">
        <v>2362</v>
      </c>
    </row>
    <row r="153" spans="1:3" x14ac:dyDescent="0.3">
      <c r="A153" s="77">
        <v>190</v>
      </c>
      <c r="B153" s="86">
        <v>5883</v>
      </c>
      <c r="C153" s="78">
        <v>2012</v>
      </c>
    </row>
    <row r="154" spans="1:3" x14ac:dyDescent="0.3">
      <c r="A154" s="77">
        <v>190</v>
      </c>
      <c r="B154" s="86">
        <v>10500</v>
      </c>
      <c r="C154" s="78">
        <v>2357</v>
      </c>
    </row>
    <row r="155" spans="1:3" x14ac:dyDescent="0.3">
      <c r="A155" s="77">
        <v>190</v>
      </c>
      <c r="B155" s="86">
        <v>6100</v>
      </c>
      <c r="C155" s="78">
        <v>2150</v>
      </c>
    </row>
    <row r="156" spans="1:3" x14ac:dyDescent="0.3">
      <c r="A156" s="77">
        <v>190</v>
      </c>
      <c r="B156" s="86">
        <v>14000</v>
      </c>
      <c r="C156" s="78">
        <v>2463</v>
      </c>
    </row>
    <row r="157" spans="1:3" x14ac:dyDescent="0.3">
      <c r="A157" s="77">
        <v>190</v>
      </c>
      <c r="B157" s="86">
        <v>20000</v>
      </c>
      <c r="C157" s="78">
        <v>1960</v>
      </c>
    </row>
    <row r="158" spans="1:3" x14ac:dyDescent="0.3">
      <c r="A158" s="77">
        <v>190</v>
      </c>
      <c r="B158" s="86">
        <v>10137</v>
      </c>
      <c r="C158" s="78">
        <v>2159</v>
      </c>
    </row>
    <row r="159" spans="1:3" x14ac:dyDescent="0.3">
      <c r="A159" s="77">
        <v>190</v>
      </c>
      <c r="B159" s="86">
        <v>15000</v>
      </c>
      <c r="C159" s="78">
        <v>2215</v>
      </c>
    </row>
    <row r="160" spans="1:3" x14ac:dyDescent="0.3">
      <c r="A160" s="77">
        <v>190</v>
      </c>
      <c r="B160" s="86">
        <v>15000</v>
      </c>
      <c r="C160" s="78">
        <v>2254</v>
      </c>
    </row>
    <row r="161" spans="1:3" x14ac:dyDescent="0.3">
      <c r="A161" s="77">
        <v>190</v>
      </c>
      <c r="B161" s="86">
        <v>12300</v>
      </c>
      <c r="C161" s="78">
        <v>2357</v>
      </c>
    </row>
    <row r="162" spans="1:3" x14ac:dyDescent="0.3">
      <c r="A162" s="77">
        <v>190</v>
      </c>
      <c r="B162" s="86">
        <v>30000</v>
      </c>
      <c r="C162" s="78">
        <v>2667</v>
      </c>
    </row>
    <row r="163" spans="1:3" x14ac:dyDescent="0.3">
      <c r="A163" s="77">
        <v>190</v>
      </c>
      <c r="B163" s="86">
        <v>23357</v>
      </c>
      <c r="C163" s="78">
        <v>2359</v>
      </c>
    </row>
    <row r="164" spans="1:3" x14ac:dyDescent="0.3">
      <c r="A164" s="77">
        <v>190</v>
      </c>
      <c r="B164" s="86">
        <v>21100</v>
      </c>
      <c r="C164" s="78">
        <v>2354</v>
      </c>
    </row>
    <row r="165" spans="1:3" x14ac:dyDescent="0.3">
      <c r="A165" s="77">
        <v>190</v>
      </c>
      <c r="B165" s="86">
        <v>6910</v>
      </c>
      <c r="C165" s="78">
        <v>1909</v>
      </c>
    </row>
    <row r="166" spans="1:3" x14ac:dyDescent="0.3">
      <c r="A166" s="77">
        <v>190</v>
      </c>
      <c r="B166" s="86">
        <v>32000</v>
      </c>
      <c r="C166" s="78">
        <v>2660</v>
      </c>
    </row>
    <row r="167" spans="1:3" x14ac:dyDescent="0.3">
      <c r="A167" s="77">
        <v>190</v>
      </c>
      <c r="B167" s="86">
        <v>72000</v>
      </c>
      <c r="C167" s="78">
        <v>3557</v>
      </c>
    </row>
    <row r="168" spans="1:3" x14ac:dyDescent="0.3">
      <c r="A168" s="77">
        <v>190</v>
      </c>
      <c r="B168" s="86">
        <v>12000</v>
      </c>
      <c r="C168" s="78">
        <v>2357</v>
      </c>
    </row>
    <row r="169" spans="1:3" x14ac:dyDescent="0.3">
      <c r="A169" s="77">
        <v>190</v>
      </c>
      <c r="B169" s="86">
        <v>78500</v>
      </c>
      <c r="C169" s="78">
        <v>4270</v>
      </c>
    </row>
    <row r="170" spans="1:3" x14ac:dyDescent="0.3">
      <c r="A170" s="77">
        <v>190</v>
      </c>
      <c r="B170" s="86">
        <v>552</v>
      </c>
      <c r="C170" s="78">
        <v>2000</v>
      </c>
    </row>
    <row r="171" spans="1:3" x14ac:dyDescent="0.3">
      <c r="A171" s="77">
        <v>190</v>
      </c>
      <c r="B171" s="86">
        <v>275</v>
      </c>
      <c r="C171" s="78">
        <v>2000</v>
      </c>
    </row>
    <row r="172" spans="1:3" x14ac:dyDescent="0.3">
      <c r="A172" s="77">
        <v>198</v>
      </c>
      <c r="B172" s="86">
        <v>25000</v>
      </c>
      <c r="C172" s="78">
        <v>2818</v>
      </c>
    </row>
    <row r="173" spans="1:3" x14ac:dyDescent="0.3">
      <c r="A173" s="77">
        <v>198</v>
      </c>
      <c r="B173" s="86">
        <v>5700</v>
      </c>
      <c r="C173" s="78">
        <v>1694</v>
      </c>
    </row>
    <row r="174" spans="1:3" x14ac:dyDescent="0.3">
      <c r="A174" s="77">
        <v>198</v>
      </c>
      <c r="B174" s="86">
        <v>26000</v>
      </c>
      <c r="C174" s="78">
        <v>2792</v>
      </c>
    </row>
    <row r="175" spans="1:3" x14ac:dyDescent="0.3">
      <c r="A175" s="77">
        <v>198</v>
      </c>
      <c r="B175" s="86">
        <v>52570</v>
      </c>
      <c r="C175" s="78">
        <v>2824</v>
      </c>
    </row>
    <row r="176" spans="1:3" x14ac:dyDescent="0.3">
      <c r="A176" s="77">
        <v>2</v>
      </c>
      <c r="B176" s="86">
        <v>5600</v>
      </c>
      <c r="C176" s="78">
        <v>2950</v>
      </c>
    </row>
    <row r="177" spans="1:3" x14ac:dyDescent="0.3">
      <c r="A177" s="77">
        <v>2</v>
      </c>
      <c r="B177" s="86">
        <v>11880</v>
      </c>
      <c r="C177" s="78">
        <v>3153</v>
      </c>
    </row>
    <row r="178" spans="1:3" x14ac:dyDescent="0.3">
      <c r="A178" s="77">
        <v>20</v>
      </c>
      <c r="B178" s="86">
        <v>36176</v>
      </c>
      <c r="C178" s="78">
        <v>2392</v>
      </c>
    </row>
    <row r="179" spans="1:3" x14ac:dyDescent="0.3">
      <c r="A179" s="77">
        <v>20</v>
      </c>
      <c r="B179" s="86">
        <v>14967</v>
      </c>
      <c r="C179" s="78">
        <v>2912</v>
      </c>
    </row>
    <row r="180" spans="1:3" x14ac:dyDescent="0.3">
      <c r="A180" s="77">
        <v>20</v>
      </c>
      <c r="B180" s="86">
        <v>8266</v>
      </c>
      <c r="C180" s="78">
        <v>2912</v>
      </c>
    </row>
    <row r="181" spans="1:3" x14ac:dyDescent="0.3">
      <c r="A181" s="77">
        <v>20</v>
      </c>
      <c r="B181" s="86">
        <v>8580</v>
      </c>
      <c r="C181" s="78">
        <v>2912</v>
      </c>
    </row>
    <row r="182" spans="1:3" x14ac:dyDescent="0.3">
      <c r="A182" s="77">
        <v>20</v>
      </c>
      <c r="B182" s="86">
        <v>8110</v>
      </c>
      <c r="C182" s="78">
        <v>2912</v>
      </c>
    </row>
    <row r="183" spans="1:3" x14ac:dyDescent="0.3">
      <c r="A183" s="77">
        <v>20</v>
      </c>
      <c r="B183" s="86">
        <v>6700</v>
      </c>
      <c r="C183" s="78">
        <v>2912</v>
      </c>
    </row>
    <row r="184" spans="1:3" x14ac:dyDescent="0.3">
      <c r="A184" s="77">
        <v>20</v>
      </c>
      <c r="B184" s="86">
        <v>11000</v>
      </c>
      <c r="C184" s="78">
        <v>3120</v>
      </c>
    </row>
    <row r="185" spans="1:3" x14ac:dyDescent="0.3">
      <c r="A185" s="77">
        <v>20</v>
      </c>
      <c r="B185" s="86">
        <v>14500</v>
      </c>
      <c r="C185" s="78">
        <v>3120</v>
      </c>
    </row>
    <row r="186" spans="1:3" x14ac:dyDescent="0.3">
      <c r="A186" s="77">
        <v>20</v>
      </c>
      <c r="B186" s="86">
        <v>15120</v>
      </c>
      <c r="C186" s="78">
        <v>3120</v>
      </c>
    </row>
    <row r="187" spans="1:3" x14ac:dyDescent="0.3">
      <c r="A187" s="77">
        <v>20</v>
      </c>
      <c r="B187" s="86">
        <v>7536</v>
      </c>
      <c r="C187" s="78">
        <v>2860</v>
      </c>
    </row>
    <row r="188" spans="1:3" x14ac:dyDescent="0.3">
      <c r="A188" s="77">
        <v>20</v>
      </c>
      <c r="B188" s="86">
        <v>10738</v>
      </c>
      <c r="C188" s="78">
        <v>2912</v>
      </c>
    </row>
    <row r="189" spans="1:3" x14ac:dyDescent="0.3">
      <c r="A189" s="77">
        <v>20</v>
      </c>
      <c r="B189" s="86">
        <v>9017</v>
      </c>
      <c r="C189" s="78">
        <v>2912</v>
      </c>
    </row>
    <row r="190" spans="1:3" x14ac:dyDescent="0.3">
      <c r="A190" s="77">
        <v>20</v>
      </c>
      <c r="B190" s="86">
        <v>9017</v>
      </c>
      <c r="C190" s="78">
        <v>2912</v>
      </c>
    </row>
    <row r="191" spans="1:3" x14ac:dyDescent="0.3">
      <c r="A191" s="77">
        <v>20</v>
      </c>
      <c r="B191" s="86">
        <v>16000</v>
      </c>
      <c r="C191" s="78">
        <v>2912</v>
      </c>
    </row>
    <row r="192" spans="1:3" x14ac:dyDescent="0.3">
      <c r="A192" s="77">
        <v>20</v>
      </c>
      <c r="B192" s="86">
        <v>16000</v>
      </c>
      <c r="C192" s="78">
        <v>3120</v>
      </c>
    </row>
    <row r="193" spans="1:3" x14ac:dyDescent="0.3">
      <c r="A193" s="77">
        <v>20</v>
      </c>
      <c r="B193" s="86">
        <v>13257</v>
      </c>
      <c r="C193" s="78">
        <v>2912</v>
      </c>
    </row>
    <row r="194" spans="1:3" x14ac:dyDescent="0.3">
      <c r="A194" s="77">
        <v>20</v>
      </c>
      <c r="B194" s="86">
        <v>10827</v>
      </c>
      <c r="C194" s="78">
        <v>2912</v>
      </c>
    </row>
    <row r="195" spans="1:3" x14ac:dyDescent="0.3">
      <c r="A195" s="77">
        <v>20</v>
      </c>
      <c r="B195" s="86">
        <v>10120</v>
      </c>
      <c r="C195" s="78">
        <v>2912</v>
      </c>
    </row>
    <row r="196" spans="1:3" x14ac:dyDescent="0.3">
      <c r="A196" s="77">
        <v>20</v>
      </c>
      <c r="B196" s="86">
        <v>8000</v>
      </c>
      <c r="C196" s="78">
        <v>2912</v>
      </c>
    </row>
    <row r="197" spans="1:3" x14ac:dyDescent="0.3">
      <c r="A197" s="77">
        <v>20</v>
      </c>
      <c r="B197" s="86">
        <v>8630</v>
      </c>
      <c r="C197" s="78">
        <v>2912</v>
      </c>
    </row>
    <row r="198" spans="1:3" x14ac:dyDescent="0.3">
      <c r="A198" s="77">
        <v>20</v>
      </c>
      <c r="B198" s="86">
        <v>8320</v>
      </c>
      <c r="C198" s="78">
        <v>2912</v>
      </c>
    </row>
    <row r="199" spans="1:3" x14ac:dyDescent="0.3">
      <c r="A199" s="77">
        <v>212</v>
      </c>
      <c r="B199" s="86">
        <v>9606</v>
      </c>
      <c r="C199" s="78">
        <v>1560</v>
      </c>
    </row>
    <row r="200" spans="1:3" x14ac:dyDescent="0.3">
      <c r="A200" s="77">
        <v>213</v>
      </c>
      <c r="B200" s="86">
        <v>1795</v>
      </c>
      <c r="C200" s="78">
        <v>684</v>
      </c>
    </row>
    <row r="201" spans="1:3" x14ac:dyDescent="0.3">
      <c r="A201" s="77">
        <v>215</v>
      </c>
      <c r="B201" s="86">
        <v>9800</v>
      </c>
      <c r="C201" s="78">
        <v>2808</v>
      </c>
    </row>
    <row r="202" spans="1:3" x14ac:dyDescent="0.3">
      <c r="A202" s="77">
        <v>228</v>
      </c>
      <c r="B202" s="86">
        <v>5051</v>
      </c>
      <c r="C202" s="78">
        <v>2163</v>
      </c>
    </row>
    <row r="203" spans="1:3" x14ac:dyDescent="0.3">
      <c r="A203" s="77">
        <v>228</v>
      </c>
      <c r="B203" s="86">
        <v>240</v>
      </c>
      <c r="C203" s="78">
        <v>132</v>
      </c>
    </row>
    <row r="204" spans="1:3" x14ac:dyDescent="0.3">
      <c r="A204" s="77">
        <v>228</v>
      </c>
      <c r="B204" s="86">
        <v>15151</v>
      </c>
      <c r="C204" s="78">
        <v>2238</v>
      </c>
    </row>
    <row r="205" spans="1:3" x14ac:dyDescent="0.3">
      <c r="A205" s="77">
        <v>228</v>
      </c>
      <c r="B205" s="86">
        <v>1073</v>
      </c>
      <c r="C205" s="78">
        <v>753</v>
      </c>
    </row>
    <row r="206" spans="1:3" x14ac:dyDescent="0.3">
      <c r="A206" s="77">
        <v>228</v>
      </c>
      <c r="B206" s="86">
        <v>8034</v>
      </c>
      <c r="C206" s="78">
        <v>2354</v>
      </c>
    </row>
    <row r="207" spans="1:3" x14ac:dyDescent="0.3">
      <c r="A207" s="77">
        <v>228</v>
      </c>
      <c r="B207" s="86">
        <v>20000</v>
      </c>
      <c r="C207" s="78">
        <v>2230</v>
      </c>
    </row>
    <row r="208" spans="1:3" x14ac:dyDescent="0.3">
      <c r="A208" s="77">
        <v>231</v>
      </c>
      <c r="B208" s="86">
        <v>1287</v>
      </c>
      <c r="C208" s="78">
        <v>665</v>
      </c>
    </row>
    <row r="209" spans="1:3" x14ac:dyDescent="0.3">
      <c r="A209" s="77">
        <v>236</v>
      </c>
      <c r="B209" s="86">
        <v>3433</v>
      </c>
      <c r="C209" s="78">
        <v>2100</v>
      </c>
    </row>
    <row r="210" spans="1:3" x14ac:dyDescent="0.3">
      <c r="A210" s="77">
        <v>236</v>
      </c>
      <c r="B210" s="86">
        <v>9200</v>
      </c>
      <c r="C210" s="78">
        <v>2210</v>
      </c>
    </row>
    <row r="211" spans="1:3" x14ac:dyDescent="0.3">
      <c r="A211" s="77">
        <v>238</v>
      </c>
      <c r="B211" s="86">
        <v>500</v>
      </c>
      <c r="C211" s="78">
        <v>1005</v>
      </c>
    </row>
    <row r="212" spans="1:3" x14ac:dyDescent="0.3">
      <c r="A212" s="77">
        <v>240</v>
      </c>
      <c r="B212" s="86">
        <v>12630</v>
      </c>
      <c r="C212" s="78">
        <v>2727</v>
      </c>
    </row>
    <row r="213" spans="1:3" x14ac:dyDescent="0.3">
      <c r="A213" s="77">
        <v>240</v>
      </c>
      <c r="B213" s="86">
        <v>10426</v>
      </c>
      <c r="C213" s="78">
        <v>2727</v>
      </c>
    </row>
    <row r="214" spans="1:3" x14ac:dyDescent="0.3">
      <c r="A214" s="77">
        <v>240</v>
      </c>
      <c r="B214" s="86">
        <v>10426</v>
      </c>
      <c r="C214" s="78">
        <v>2727</v>
      </c>
    </row>
    <row r="215" spans="1:3" x14ac:dyDescent="0.3">
      <c r="A215" s="77">
        <v>254</v>
      </c>
      <c r="B215" s="86">
        <v>11000</v>
      </c>
      <c r="C215" s="78">
        <v>3322</v>
      </c>
    </row>
    <row r="216" spans="1:3" x14ac:dyDescent="0.3">
      <c r="A216" s="77">
        <v>254</v>
      </c>
      <c r="B216" s="86">
        <v>11000</v>
      </c>
      <c r="C216" s="78">
        <v>3322</v>
      </c>
    </row>
    <row r="217" spans="1:3" x14ac:dyDescent="0.3">
      <c r="A217" s="77">
        <v>256</v>
      </c>
      <c r="B217" s="86">
        <v>20000</v>
      </c>
      <c r="C217" s="78">
        <v>3296</v>
      </c>
    </row>
    <row r="218" spans="1:3" x14ac:dyDescent="0.3">
      <c r="A218" s="77">
        <v>262</v>
      </c>
      <c r="B218" s="86">
        <v>10000</v>
      </c>
      <c r="C218" s="78">
        <v>2735</v>
      </c>
    </row>
    <row r="219" spans="1:3" x14ac:dyDescent="0.3">
      <c r="A219" s="77">
        <v>264</v>
      </c>
      <c r="B219" s="86">
        <v>32956</v>
      </c>
      <c r="C219" s="78">
        <v>2965</v>
      </c>
    </row>
    <row r="220" spans="1:3" x14ac:dyDescent="0.3">
      <c r="A220" s="77">
        <v>264</v>
      </c>
      <c r="B220" s="86">
        <v>74</v>
      </c>
      <c r="C220" s="78">
        <v>241</v>
      </c>
    </row>
    <row r="221" spans="1:3" x14ac:dyDescent="0.3">
      <c r="A221" s="77">
        <v>266</v>
      </c>
      <c r="B221" s="86">
        <v>0</v>
      </c>
      <c r="C221" s="78">
        <v>212</v>
      </c>
    </row>
    <row r="222" spans="1:3" x14ac:dyDescent="0.3">
      <c r="A222" s="77">
        <v>269</v>
      </c>
      <c r="B222" s="86">
        <v>480</v>
      </c>
      <c r="C222" s="78">
        <v>936</v>
      </c>
    </row>
    <row r="223" spans="1:3" x14ac:dyDescent="0.3">
      <c r="A223" s="77">
        <v>269</v>
      </c>
      <c r="B223" s="86">
        <v>2030</v>
      </c>
      <c r="C223" s="78">
        <v>1664</v>
      </c>
    </row>
    <row r="224" spans="1:3" x14ac:dyDescent="0.3">
      <c r="A224" s="77">
        <v>28</v>
      </c>
      <c r="B224" s="86">
        <v>500</v>
      </c>
      <c r="C224" s="78">
        <v>1000</v>
      </c>
    </row>
    <row r="225" spans="1:3" x14ac:dyDescent="0.3">
      <c r="A225" s="77">
        <v>283</v>
      </c>
      <c r="B225" s="86">
        <v>805</v>
      </c>
      <c r="C225" s="78">
        <v>2080</v>
      </c>
    </row>
    <row r="226" spans="1:3" x14ac:dyDescent="0.3">
      <c r="A226" s="77">
        <v>283</v>
      </c>
      <c r="B226" s="86">
        <v>150</v>
      </c>
      <c r="C226" s="78">
        <v>300</v>
      </c>
    </row>
    <row r="227" spans="1:3" x14ac:dyDescent="0.3">
      <c r="A227" s="77">
        <v>284</v>
      </c>
      <c r="B227" s="86">
        <v>736</v>
      </c>
      <c r="C227" s="78">
        <v>1370</v>
      </c>
    </row>
    <row r="228" spans="1:3" x14ac:dyDescent="0.3">
      <c r="A228" s="77">
        <v>295</v>
      </c>
      <c r="B228" s="86">
        <v>1099</v>
      </c>
      <c r="C228" s="78">
        <v>1030</v>
      </c>
    </row>
    <row r="229" spans="1:3" x14ac:dyDescent="0.3">
      <c r="A229" s="77">
        <v>298</v>
      </c>
      <c r="B229" s="86">
        <v>1000</v>
      </c>
      <c r="C229" s="78">
        <v>992</v>
      </c>
    </row>
    <row r="230" spans="1:3" x14ac:dyDescent="0.3">
      <c r="A230" s="77">
        <v>298</v>
      </c>
      <c r="B230" s="86">
        <v>3444</v>
      </c>
      <c r="C230" s="78">
        <v>991</v>
      </c>
    </row>
    <row r="231" spans="1:3" x14ac:dyDescent="0.3">
      <c r="A231" s="77">
        <v>298</v>
      </c>
      <c r="B231" s="86">
        <v>1200</v>
      </c>
      <c r="C231" s="78">
        <v>984</v>
      </c>
    </row>
    <row r="232" spans="1:3" x14ac:dyDescent="0.3">
      <c r="A232" s="77">
        <v>30</v>
      </c>
      <c r="B232" s="86">
        <v>11500</v>
      </c>
      <c r="C232" s="78">
        <v>3132</v>
      </c>
    </row>
    <row r="233" spans="1:3" x14ac:dyDescent="0.3">
      <c r="A233" s="77">
        <v>30</v>
      </c>
      <c r="B233" s="86">
        <v>1400</v>
      </c>
      <c r="C233" s="78">
        <v>2617</v>
      </c>
    </row>
    <row r="234" spans="1:3" x14ac:dyDescent="0.3">
      <c r="A234" s="77">
        <v>30</v>
      </c>
      <c r="B234" s="86">
        <v>16030</v>
      </c>
      <c r="C234" s="78">
        <v>3132</v>
      </c>
    </row>
    <row r="235" spans="1:3" x14ac:dyDescent="0.3">
      <c r="A235" s="77">
        <v>30</v>
      </c>
      <c r="B235" s="86">
        <v>24008</v>
      </c>
      <c r="C235" s="78">
        <v>3124</v>
      </c>
    </row>
    <row r="236" spans="1:3" x14ac:dyDescent="0.3">
      <c r="A236" s="77">
        <v>30</v>
      </c>
      <c r="B236" s="86">
        <v>11970</v>
      </c>
      <c r="C236" s="78">
        <v>3132</v>
      </c>
    </row>
    <row r="237" spans="1:3" x14ac:dyDescent="0.3">
      <c r="A237" s="77">
        <v>300</v>
      </c>
      <c r="B237" s="86">
        <v>10300</v>
      </c>
      <c r="C237" s="78">
        <v>2713</v>
      </c>
    </row>
    <row r="238" spans="1:3" x14ac:dyDescent="0.3">
      <c r="A238" s="77">
        <v>311</v>
      </c>
      <c r="B238" s="86">
        <v>30000</v>
      </c>
      <c r="C238" s="78">
        <v>3444</v>
      </c>
    </row>
    <row r="239" spans="1:3" x14ac:dyDescent="0.3">
      <c r="A239" s="77">
        <v>311</v>
      </c>
      <c r="B239" s="86">
        <v>30000</v>
      </c>
      <c r="C239" s="78">
        <v>3444</v>
      </c>
    </row>
    <row r="240" spans="1:3" x14ac:dyDescent="0.3">
      <c r="A240" s="77">
        <v>311</v>
      </c>
      <c r="B240" s="86">
        <v>30000</v>
      </c>
      <c r="C240" s="78">
        <v>3444</v>
      </c>
    </row>
    <row r="241" spans="1:3" x14ac:dyDescent="0.3">
      <c r="A241" s="77">
        <v>311</v>
      </c>
      <c r="B241" s="86">
        <v>30000</v>
      </c>
      <c r="C241" s="78">
        <v>3423</v>
      </c>
    </row>
    <row r="242" spans="1:3" x14ac:dyDescent="0.3">
      <c r="A242" s="77">
        <v>315</v>
      </c>
      <c r="B242" s="87"/>
      <c r="C242" s="78">
        <v>0</v>
      </c>
    </row>
    <row r="243" spans="1:3" x14ac:dyDescent="0.3">
      <c r="A243" s="77">
        <v>316</v>
      </c>
      <c r="B243" s="86">
        <v>3867</v>
      </c>
      <c r="C243" s="78">
        <v>1470</v>
      </c>
    </row>
    <row r="244" spans="1:3" x14ac:dyDescent="0.3">
      <c r="A244" s="77">
        <v>316</v>
      </c>
      <c r="B244" s="86">
        <v>1786</v>
      </c>
      <c r="C244" s="78">
        <v>1504</v>
      </c>
    </row>
    <row r="245" spans="1:3" x14ac:dyDescent="0.3">
      <c r="A245" s="77">
        <v>316</v>
      </c>
      <c r="B245" s="86">
        <v>7560</v>
      </c>
      <c r="C245" s="78">
        <v>1531</v>
      </c>
    </row>
    <row r="246" spans="1:3" x14ac:dyDescent="0.3">
      <c r="A246" s="77">
        <v>324</v>
      </c>
      <c r="B246" s="86">
        <v>888</v>
      </c>
      <c r="C246" s="78">
        <v>714</v>
      </c>
    </row>
    <row r="247" spans="1:3" x14ac:dyDescent="0.3">
      <c r="A247" s="77">
        <v>329</v>
      </c>
      <c r="B247" s="86">
        <v>18600</v>
      </c>
      <c r="C247" s="78">
        <v>2531</v>
      </c>
    </row>
    <row r="248" spans="1:3" x14ac:dyDescent="0.3">
      <c r="A248" s="77">
        <v>329</v>
      </c>
      <c r="B248" s="86">
        <v>6280</v>
      </c>
      <c r="C248" s="78">
        <v>2134</v>
      </c>
    </row>
    <row r="249" spans="1:3" x14ac:dyDescent="0.3">
      <c r="A249" s="77">
        <v>329</v>
      </c>
      <c r="B249" s="86">
        <v>77000</v>
      </c>
      <c r="C249" s="78">
        <v>3397</v>
      </c>
    </row>
    <row r="250" spans="1:3" x14ac:dyDescent="0.3">
      <c r="A250" s="77">
        <v>329</v>
      </c>
      <c r="B250" s="86">
        <v>1535</v>
      </c>
      <c r="C250" s="78">
        <v>2232</v>
      </c>
    </row>
    <row r="251" spans="1:3" x14ac:dyDescent="0.3">
      <c r="A251" s="77">
        <v>329</v>
      </c>
      <c r="B251" s="86">
        <v>10500</v>
      </c>
      <c r="C251" s="78">
        <v>2130</v>
      </c>
    </row>
    <row r="252" spans="1:3" x14ac:dyDescent="0.3">
      <c r="A252" s="77">
        <v>329</v>
      </c>
      <c r="B252" s="86">
        <v>4800</v>
      </c>
      <c r="C252" s="78">
        <v>1842</v>
      </c>
    </row>
    <row r="253" spans="1:3" x14ac:dyDescent="0.3">
      <c r="A253" s="77">
        <v>329</v>
      </c>
      <c r="B253" s="86">
        <v>19400</v>
      </c>
      <c r="C253" s="78">
        <v>2390</v>
      </c>
    </row>
    <row r="254" spans="1:3" x14ac:dyDescent="0.3">
      <c r="A254" s="77">
        <v>329</v>
      </c>
      <c r="B254" s="86">
        <v>33500</v>
      </c>
      <c r="C254" s="78">
        <v>2521</v>
      </c>
    </row>
    <row r="255" spans="1:3" x14ac:dyDescent="0.3">
      <c r="A255" s="77">
        <v>329</v>
      </c>
      <c r="B255" s="86">
        <v>21300</v>
      </c>
      <c r="C255" s="78">
        <v>2528</v>
      </c>
    </row>
    <row r="256" spans="1:3" x14ac:dyDescent="0.3">
      <c r="A256" s="77">
        <v>329</v>
      </c>
      <c r="B256" s="86">
        <v>44989</v>
      </c>
      <c r="C256" s="78">
        <v>3206</v>
      </c>
    </row>
    <row r="257" spans="1:3" x14ac:dyDescent="0.3">
      <c r="A257" s="77">
        <v>329</v>
      </c>
      <c r="B257" s="86">
        <v>40193</v>
      </c>
      <c r="C257" s="78">
        <v>2869</v>
      </c>
    </row>
    <row r="258" spans="1:3" x14ac:dyDescent="0.3">
      <c r="A258" s="77">
        <v>334</v>
      </c>
      <c r="B258" s="86">
        <v>1430</v>
      </c>
      <c r="C258" s="78">
        <v>917</v>
      </c>
    </row>
    <row r="259" spans="1:3" x14ac:dyDescent="0.3">
      <c r="A259" s="77">
        <v>343</v>
      </c>
      <c r="B259" s="86">
        <v>5096</v>
      </c>
      <c r="C259" s="78">
        <v>1932</v>
      </c>
    </row>
    <row r="260" spans="1:3" x14ac:dyDescent="0.3">
      <c r="A260" s="77">
        <v>343</v>
      </c>
      <c r="B260" s="86">
        <v>2680</v>
      </c>
      <c r="C260" s="78">
        <v>1684</v>
      </c>
    </row>
    <row r="261" spans="1:3" x14ac:dyDescent="0.3">
      <c r="A261" s="77">
        <v>344</v>
      </c>
      <c r="B261" s="86">
        <v>12000</v>
      </c>
      <c r="C261" s="78">
        <v>2912</v>
      </c>
    </row>
    <row r="262" spans="1:3" x14ac:dyDescent="0.3">
      <c r="A262" s="77">
        <v>344</v>
      </c>
      <c r="B262" s="86">
        <v>14470</v>
      </c>
      <c r="C262" s="78">
        <v>2912</v>
      </c>
    </row>
    <row r="263" spans="1:3" x14ac:dyDescent="0.3">
      <c r="A263" s="77">
        <v>344</v>
      </c>
      <c r="B263" s="86">
        <v>10770</v>
      </c>
      <c r="C263" s="78">
        <v>2912</v>
      </c>
    </row>
    <row r="264" spans="1:3" x14ac:dyDescent="0.3">
      <c r="A264" s="77">
        <v>344</v>
      </c>
      <c r="B264" s="86">
        <v>13617</v>
      </c>
      <c r="C264" s="78">
        <v>2912</v>
      </c>
    </row>
    <row r="265" spans="1:3" x14ac:dyDescent="0.3">
      <c r="A265" s="77">
        <v>344</v>
      </c>
      <c r="B265" s="86">
        <v>10137</v>
      </c>
      <c r="C265" s="78">
        <v>2912</v>
      </c>
    </row>
    <row r="266" spans="1:3" x14ac:dyDescent="0.3">
      <c r="A266" s="77">
        <v>344</v>
      </c>
      <c r="B266" s="86">
        <v>13065</v>
      </c>
      <c r="C266" s="78">
        <v>2912</v>
      </c>
    </row>
    <row r="267" spans="1:3" x14ac:dyDescent="0.3">
      <c r="A267" s="77">
        <v>344</v>
      </c>
      <c r="B267" s="86">
        <v>11428</v>
      </c>
      <c r="C267" s="78">
        <v>2912</v>
      </c>
    </row>
    <row r="268" spans="1:3" x14ac:dyDescent="0.3">
      <c r="A268" s="77">
        <v>344</v>
      </c>
      <c r="B268" s="86">
        <v>5252</v>
      </c>
      <c r="C268" s="78">
        <v>2912</v>
      </c>
    </row>
    <row r="269" spans="1:3" x14ac:dyDescent="0.3">
      <c r="A269" s="77">
        <v>344</v>
      </c>
      <c r="B269" s="86">
        <v>13792</v>
      </c>
      <c r="C269" s="78">
        <v>2912</v>
      </c>
    </row>
    <row r="270" spans="1:3" x14ac:dyDescent="0.3">
      <c r="A270" s="77">
        <v>344</v>
      </c>
      <c r="B270" s="86">
        <v>12677</v>
      </c>
      <c r="C270" s="78">
        <v>2912</v>
      </c>
    </row>
    <row r="271" spans="1:3" x14ac:dyDescent="0.3">
      <c r="A271" s="77">
        <v>344</v>
      </c>
      <c r="B271" s="86">
        <v>9999</v>
      </c>
      <c r="C271" s="78">
        <v>2912</v>
      </c>
    </row>
    <row r="272" spans="1:3" x14ac:dyDescent="0.3">
      <c r="A272" s="77">
        <v>344</v>
      </c>
      <c r="B272" s="86">
        <v>13060</v>
      </c>
      <c r="C272" s="78">
        <v>2912</v>
      </c>
    </row>
    <row r="273" spans="1:3" x14ac:dyDescent="0.3">
      <c r="A273" s="77">
        <v>344</v>
      </c>
      <c r="B273" s="86">
        <v>11322</v>
      </c>
      <c r="C273" s="78">
        <v>2912</v>
      </c>
    </row>
    <row r="274" spans="1:3" x14ac:dyDescent="0.3">
      <c r="A274" s="77">
        <v>344</v>
      </c>
      <c r="B274" s="86">
        <v>4450</v>
      </c>
      <c r="C274" s="78">
        <v>2912</v>
      </c>
    </row>
    <row r="275" spans="1:3" x14ac:dyDescent="0.3">
      <c r="A275" s="77">
        <v>344</v>
      </c>
      <c r="B275" s="86">
        <v>12304</v>
      </c>
      <c r="C275" s="78">
        <v>2912</v>
      </c>
    </row>
    <row r="276" spans="1:3" x14ac:dyDescent="0.3">
      <c r="A276" s="77">
        <v>344</v>
      </c>
      <c r="B276" s="86">
        <v>12035</v>
      </c>
      <c r="C276" s="78">
        <v>2912</v>
      </c>
    </row>
    <row r="277" spans="1:3" x14ac:dyDescent="0.3">
      <c r="A277" s="77">
        <v>344</v>
      </c>
      <c r="B277" s="86">
        <v>11350</v>
      </c>
      <c r="C277" s="78">
        <v>2912</v>
      </c>
    </row>
    <row r="278" spans="1:3" x14ac:dyDescent="0.3">
      <c r="A278" s="77">
        <v>344</v>
      </c>
      <c r="B278" s="86">
        <v>17032</v>
      </c>
      <c r="C278" s="78">
        <v>2912</v>
      </c>
    </row>
    <row r="279" spans="1:3" x14ac:dyDescent="0.3">
      <c r="A279" s="77">
        <v>344</v>
      </c>
      <c r="B279" s="86">
        <v>14452</v>
      </c>
      <c r="C279" s="78">
        <v>2912</v>
      </c>
    </row>
    <row r="280" spans="1:3" x14ac:dyDescent="0.3">
      <c r="A280" s="77">
        <v>344</v>
      </c>
      <c r="B280" s="86">
        <v>15975</v>
      </c>
      <c r="C280" s="78">
        <v>2912</v>
      </c>
    </row>
    <row r="281" spans="1:3" x14ac:dyDescent="0.3">
      <c r="A281" s="77">
        <v>344</v>
      </c>
      <c r="B281" s="86">
        <v>15525</v>
      </c>
      <c r="C281" s="78">
        <v>2912</v>
      </c>
    </row>
    <row r="282" spans="1:3" x14ac:dyDescent="0.3">
      <c r="A282" s="77">
        <v>344</v>
      </c>
      <c r="B282" s="86">
        <v>16554</v>
      </c>
      <c r="C282" s="78">
        <v>2912</v>
      </c>
    </row>
    <row r="283" spans="1:3" x14ac:dyDescent="0.3">
      <c r="A283" s="77">
        <v>344</v>
      </c>
      <c r="B283" s="86">
        <v>14288</v>
      </c>
      <c r="C283" s="78">
        <v>2912</v>
      </c>
    </row>
    <row r="284" spans="1:3" x14ac:dyDescent="0.3">
      <c r="A284" s="77">
        <v>344</v>
      </c>
      <c r="B284" s="86">
        <v>16450</v>
      </c>
      <c r="C284" s="78">
        <v>2912</v>
      </c>
    </row>
    <row r="285" spans="1:3" x14ac:dyDescent="0.3">
      <c r="A285" s="77">
        <v>344</v>
      </c>
      <c r="B285" s="86">
        <v>16684</v>
      </c>
      <c r="C285" s="78">
        <v>2912</v>
      </c>
    </row>
    <row r="286" spans="1:3" x14ac:dyDescent="0.3">
      <c r="A286" s="77">
        <v>344</v>
      </c>
      <c r="B286" s="86">
        <v>830</v>
      </c>
      <c r="C286" s="78">
        <v>2280</v>
      </c>
    </row>
    <row r="287" spans="1:3" x14ac:dyDescent="0.3">
      <c r="A287" s="77">
        <v>344</v>
      </c>
      <c r="B287" s="86">
        <v>10177</v>
      </c>
      <c r="C287" s="78">
        <v>2912</v>
      </c>
    </row>
    <row r="288" spans="1:3" x14ac:dyDescent="0.3">
      <c r="A288" s="77">
        <v>344</v>
      </c>
      <c r="B288" s="86">
        <v>5000</v>
      </c>
      <c r="C288" s="78">
        <v>0</v>
      </c>
    </row>
    <row r="289" spans="1:3" x14ac:dyDescent="0.3">
      <c r="A289" s="77">
        <v>344</v>
      </c>
      <c r="B289" s="86">
        <v>11366</v>
      </c>
      <c r="C289" s="78">
        <v>0</v>
      </c>
    </row>
    <row r="290" spans="1:3" x14ac:dyDescent="0.3">
      <c r="A290" s="77">
        <v>357</v>
      </c>
      <c r="B290" s="86">
        <v>890</v>
      </c>
      <c r="C290" s="78">
        <v>1930</v>
      </c>
    </row>
    <row r="291" spans="1:3" x14ac:dyDescent="0.3">
      <c r="A291" s="77">
        <v>384</v>
      </c>
      <c r="B291" s="86">
        <v>0</v>
      </c>
      <c r="C291" s="78">
        <v>495</v>
      </c>
    </row>
    <row r="292" spans="1:3" x14ac:dyDescent="0.3">
      <c r="A292" s="77">
        <v>398</v>
      </c>
      <c r="B292" s="86">
        <v>13382</v>
      </c>
      <c r="C292" s="78">
        <v>2642</v>
      </c>
    </row>
    <row r="293" spans="1:3" x14ac:dyDescent="0.3">
      <c r="A293" s="77">
        <v>398</v>
      </c>
      <c r="B293" s="86">
        <v>11200</v>
      </c>
      <c r="C293" s="78">
        <v>2642</v>
      </c>
    </row>
    <row r="294" spans="1:3" x14ac:dyDescent="0.3">
      <c r="A294" s="77">
        <v>398</v>
      </c>
      <c r="B294" s="86">
        <v>32293</v>
      </c>
      <c r="C294" s="78">
        <v>2774</v>
      </c>
    </row>
    <row r="295" spans="1:3" x14ac:dyDescent="0.3">
      <c r="A295" s="77">
        <v>400</v>
      </c>
      <c r="B295" s="86">
        <v>1300</v>
      </c>
      <c r="C295" s="78">
        <v>1487</v>
      </c>
    </row>
    <row r="296" spans="1:3" x14ac:dyDescent="0.3">
      <c r="A296" s="77">
        <v>400</v>
      </c>
      <c r="B296" s="86">
        <v>2025</v>
      </c>
      <c r="C296" s="78">
        <v>1487</v>
      </c>
    </row>
    <row r="297" spans="1:3" x14ac:dyDescent="0.3">
      <c r="A297" s="77">
        <v>408</v>
      </c>
      <c r="B297" s="86">
        <v>5000</v>
      </c>
      <c r="C297" s="78">
        <v>1331</v>
      </c>
    </row>
    <row r="298" spans="1:3" x14ac:dyDescent="0.3">
      <c r="A298" s="77">
        <v>408</v>
      </c>
      <c r="B298" s="86">
        <v>14300</v>
      </c>
      <c r="C298" s="78">
        <v>2203</v>
      </c>
    </row>
    <row r="299" spans="1:3" x14ac:dyDescent="0.3">
      <c r="A299" s="77">
        <v>408</v>
      </c>
      <c r="B299" s="86">
        <v>1676</v>
      </c>
      <c r="C299" s="78">
        <v>618</v>
      </c>
    </row>
    <row r="300" spans="1:3" x14ac:dyDescent="0.3">
      <c r="A300" s="77">
        <v>41</v>
      </c>
      <c r="B300" s="86">
        <v>1388</v>
      </c>
      <c r="C300" s="78">
        <v>1769</v>
      </c>
    </row>
    <row r="301" spans="1:3" x14ac:dyDescent="0.3">
      <c r="A301" s="77">
        <v>41</v>
      </c>
      <c r="B301" s="86">
        <v>1684</v>
      </c>
      <c r="C301" s="78">
        <v>1771</v>
      </c>
    </row>
    <row r="302" spans="1:3" x14ac:dyDescent="0.3">
      <c r="A302" s="77">
        <v>432</v>
      </c>
      <c r="B302" s="86">
        <v>1680</v>
      </c>
      <c r="C302" s="78">
        <v>0</v>
      </c>
    </row>
    <row r="303" spans="1:3" x14ac:dyDescent="0.3">
      <c r="A303" s="77">
        <v>452</v>
      </c>
      <c r="B303" s="86">
        <v>14229</v>
      </c>
      <c r="C303" s="78">
        <v>2700</v>
      </c>
    </row>
    <row r="304" spans="1:3" x14ac:dyDescent="0.3">
      <c r="A304" s="77">
        <v>49</v>
      </c>
      <c r="B304" s="86">
        <v>20000</v>
      </c>
      <c r="C304" s="78">
        <v>2602</v>
      </c>
    </row>
    <row r="305" spans="1:3" x14ac:dyDescent="0.3">
      <c r="A305" s="77">
        <v>5</v>
      </c>
      <c r="B305" s="86">
        <v>5234</v>
      </c>
      <c r="C305" s="78">
        <v>1600</v>
      </c>
    </row>
    <row r="306" spans="1:3" x14ac:dyDescent="0.3">
      <c r="A306" s="77">
        <v>5</v>
      </c>
      <c r="B306" s="86">
        <v>1500</v>
      </c>
      <c r="C306" s="78">
        <v>1091</v>
      </c>
    </row>
    <row r="307" spans="1:3" x14ac:dyDescent="0.3">
      <c r="A307" s="77">
        <v>50</v>
      </c>
      <c r="B307" s="86">
        <v>1550</v>
      </c>
      <c r="C307" s="78">
        <v>1872</v>
      </c>
    </row>
    <row r="308" spans="1:3" x14ac:dyDescent="0.3">
      <c r="A308" s="77">
        <v>502</v>
      </c>
      <c r="B308" s="86">
        <v>1081</v>
      </c>
      <c r="C308" s="78">
        <v>797</v>
      </c>
    </row>
    <row r="309" spans="1:3" x14ac:dyDescent="0.3">
      <c r="A309" s="77">
        <v>502</v>
      </c>
      <c r="B309" s="86">
        <v>2500</v>
      </c>
      <c r="C309" s="78">
        <v>972</v>
      </c>
    </row>
    <row r="310" spans="1:3" x14ac:dyDescent="0.3">
      <c r="A310" s="77">
        <v>51</v>
      </c>
      <c r="B310" s="86">
        <v>6000</v>
      </c>
      <c r="C310" s="78">
        <v>1620</v>
      </c>
    </row>
    <row r="311" spans="1:3" x14ac:dyDescent="0.3">
      <c r="A311" s="77">
        <v>51</v>
      </c>
      <c r="B311" s="86">
        <v>25500</v>
      </c>
      <c r="C311" s="78">
        <v>2798</v>
      </c>
    </row>
    <row r="312" spans="1:3" x14ac:dyDescent="0.3">
      <c r="A312" s="77">
        <v>51</v>
      </c>
      <c r="B312" s="86">
        <v>16000</v>
      </c>
      <c r="C312" s="78">
        <v>3172</v>
      </c>
    </row>
    <row r="313" spans="1:3" x14ac:dyDescent="0.3">
      <c r="A313" s="77">
        <v>517</v>
      </c>
      <c r="B313" s="86">
        <v>3000</v>
      </c>
      <c r="C313" s="78">
        <v>2930</v>
      </c>
    </row>
    <row r="314" spans="1:3" x14ac:dyDescent="0.3">
      <c r="A314" s="77">
        <v>552</v>
      </c>
      <c r="B314" s="86">
        <v>1468</v>
      </c>
      <c r="C314" s="78">
        <v>2984</v>
      </c>
    </row>
    <row r="315" spans="1:3" x14ac:dyDescent="0.3">
      <c r="A315" s="77">
        <v>56</v>
      </c>
      <c r="B315" s="86">
        <v>8550</v>
      </c>
      <c r="C315" s="78">
        <v>2000</v>
      </c>
    </row>
    <row r="316" spans="1:3" x14ac:dyDescent="0.3">
      <c r="A316" s="77">
        <v>56</v>
      </c>
      <c r="B316" s="86">
        <v>800</v>
      </c>
      <c r="C316" s="78">
        <v>416</v>
      </c>
    </row>
    <row r="317" spans="1:3" x14ac:dyDescent="0.3">
      <c r="A317" s="77">
        <v>56</v>
      </c>
      <c r="B317" s="86">
        <v>10231</v>
      </c>
      <c r="C317" s="78">
        <v>2040</v>
      </c>
    </row>
    <row r="318" spans="1:3" x14ac:dyDescent="0.3">
      <c r="A318" s="77">
        <v>56</v>
      </c>
      <c r="B318" s="86">
        <v>15200</v>
      </c>
      <c r="C318" s="78">
        <v>2000</v>
      </c>
    </row>
    <row r="319" spans="1:3" x14ac:dyDescent="0.3">
      <c r="A319" s="77">
        <v>627</v>
      </c>
      <c r="B319" s="86">
        <v>15</v>
      </c>
      <c r="C319" s="78">
        <v>120</v>
      </c>
    </row>
    <row r="320" spans="1:3" x14ac:dyDescent="0.3">
      <c r="A320" s="77">
        <v>64</v>
      </c>
      <c r="B320" s="86">
        <v>37000</v>
      </c>
      <c r="C320" s="78">
        <v>2499</v>
      </c>
    </row>
    <row r="321" spans="1:3" x14ac:dyDescent="0.3">
      <c r="A321" s="77">
        <v>649</v>
      </c>
      <c r="B321" s="86">
        <v>170</v>
      </c>
      <c r="C321" s="78">
        <v>800</v>
      </c>
    </row>
    <row r="322" spans="1:3" x14ac:dyDescent="0.3">
      <c r="A322" s="77">
        <v>649</v>
      </c>
      <c r="B322" s="86">
        <v>2100</v>
      </c>
      <c r="C322" s="78">
        <v>2828</v>
      </c>
    </row>
    <row r="323" spans="1:3" x14ac:dyDescent="0.3">
      <c r="A323" s="77">
        <v>649</v>
      </c>
      <c r="B323" s="86">
        <v>4883</v>
      </c>
      <c r="C323" s="78">
        <v>2828</v>
      </c>
    </row>
    <row r="324" spans="1:3" x14ac:dyDescent="0.3">
      <c r="A324" s="77">
        <v>86</v>
      </c>
      <c r="B324" s="86">
        <v>30116</v>
      </c>
      <c r="C324" s="78">
        <v>3138</v>
      </c>
    </row>
    <row r="325" spans="1:3" x14ac:dyDescent="0.3">
      <c r="A325" s="77">
        <v>86</v>
      </c>
      <c r="B325" s="86">
        <v>7200</v>
      </c>
      <c r="C325" s="78">
        <v>2412</v>
      </c>
    </row>
    <row r="326" spans="1:3" x14ac:dyDescent="0.3">
      <c r="A326" s="77">
        <v>86</v>
      </c>
      <c r="B326" s="86">
        <v>14560</v>
      </c>
      <c r="C326" s="78">
        <v>2975</v>
      </c>
    </row>
    <row r="327" spans="1:3" x14ac:dyDescent="0.3">
      <c r="A327" s="77">
        <v>86</v>
      </c>
      <c r="B327" s="86">
        <v>29600</v>
      </c>
      <c r="C327" s="78">
        <v>2983</v>
      </c>
    </row>
    <row r="328" spans="1:3" x14ac:dyDescent="0.3">
      <c r="A328" s="77">
        <v>86</v>
      </c>
      <c r="B328" s="86">
        <v>30000</v>
      </c>
      <c r="C328" s="78">
        <v>3124</v>
      </c>
    </row>
    <row r="329" spans="1:3" x14ac:dyDescent="0.3">
      <c r="A329" s="77">
        <v>86</v>
      </c>
      <c r="B329" s="86">
        <v>8400</v>
      </c>
      <c r="C329" s="78">
        <v>2611</v>
      </c>
    </row>
    <row r="330" spans="1:3" x14ac:dyDescent="0.3">
      <c r="A330" s="77">
        <v>88</v>
      </c>
      <c r="B330" s="86">
        <v>12000</v>
      </c>
      <c r="C330" s="78">
        <v>2860</v>
      </c>
    </row>
    <row r="331" spans="1:3" x14ac:dyDescent="0.3">
      <c r="A331" s="77">
        <v>88</v>
      </c>
      <c r="B331" s="86">
        <v>17000</v>
      </c>
      <c r="C331" s="78">
        <v>2948</v>
      </c>
    </row>
    <row r="332" spans="1:3" x14ac:dyDescent="0.3">
      <c r="A332" s="77">
        <v>88</v>
      </c>
      <c r="B332" s="86">
        <v>13000</v>
      </c>
      <c r="C332" s="78">
        <v>2860</v>
      </c>
    </row>
    <row r="333" spans="1:3" x14ac:dyDescent="0.3">
      <c r="A333" s="77">
        <v>88</v>
      </c>
      <c r="B333" s="86">
        <v>12771</v>
      </c>
      <c r="C333" s="78">
        <v>2860</v>
      </c>
    </row>
    <row r="334" spans="1:3" x14ac:dyDescent="0.3">
      <c r="A334" s="77">
        <v>88</v>
      </c>
      <c r="B334" s="86">
        <v>13500</v>
      </c>
      <c r="C334" s="78">
        <v>2912</v>
      </c>
    </row>
    <row r="335" spans="1:3" x14ac:dyDescent="0.3">
      <c r="A335" s="77">
        <v>9</v>
      </c>
      <c r="B335" s="86">
        <v>15536</v>
      </c>
      <c r="C335" s="78">
        <v>3226</v>
      </c>
    </row>
    <row r="336" spans="1:3" x14ac:dyDescent="0.3">
      <c r="A336" s="77">
        <v>9</v>
      </c>
      <c r="B336" s="86">
        <v>20000</v>
      </c>
      <c r="C336" s="78">
        <v>3533</v>
      </c>
    </row>
    <row r="337" spans="1:3" x14ac:dyDescent="0.3">
      <c r="A337" s="77">
        <v>9</v>
      </c>
      <c r="B337" s="86">
        <v>10000</v>
      </c>
      <c r="C337" s="78">
        <v>3226</v>
      </c>
    </row>
    <row r="338" spans="1:3" x14ac:dyDescent="0.3">
      <c r="A338" s="77">
        <v>9</v>
      </c>
      <c r="B338" s="86">
        <v>10000</v>
      </c>
      <c r="C338" s="78">
        <v>3226</v>
      </c>
    </row>
    <row r="339" spans="1:3" x14ac:dyDescent="0.3">
      <c r="A339" s="77">
        <v>91</v>
      </c>
      <c r="B339" s="86">
        <v>1000</v>
      </c>
      <c r="C339" s="78">
        <v>1066</v>
      </c>
    </row>
    <row r="340" spans="1:3" x14ac:dyDescent="0.3">
      <c r="A340" s="77">
        <v>94</v>
      </c>
      <c r="B340" s="86">
        <v>1305</v>
      </c>
      <c r="C340" s="78">
        <v>805</v>
      </c>
    </row>
    <row r="341" spans="1:3" x14ac:dyDescent="0.3">
      <c r="A341" s="77">
        <v>94</v>
      </c>
      <c r="B341" s="86">
        <v>4000</v>
      </c>
      <c r="C341" s="78">
        <v>1516</v>
      </c>
    </row>
    <row r="342" spans="1:3" ht="27.6" x14ac:dyDescent="0.3">
      <c r="A342" s="77" t="s">
        <v>2935</v>
      </c>
      <c r="B342" s="86" t="s">
        <v>2944</v>
      </c>
      <c r="C342" s="78" t="s">
        <v>2942</v>
      </c>
    </row>
  </sheetData>
  <sheetProtection password="CC33" sheet="1" objects="1" scenario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Input</vt:lpstr>
      <vt:lpstr>2020 Library Quick Report</vt:lpstr>
      <vt:lpstr>2020 Individual Charts</vt:lpstr>
      <vt:lpstr>2020 Comparison Charts</vt:lpstr>
      <vt:lpstr>2020Data</vt:lpstr>
      <vt:lpstr>main</vt:lpstr>
      <vt:lpstr>branch</vt:lpstr>
      <vt:lpstr>BranchInfo</vt:lpstr>
      <vt:lpstr>_2019_Charts</vt:lpstr>
      <vt:lpstr>'2020Data'!Comparison_Library_City</vt:lpstr>
      <vt:lpstr>'2020 Comparison Charts'!Print_Area</vt:lpstr>
      <vt:lpstr>'2020 Individual Charts'!Print_Area</vt:lpstr>
      <vt:lpstr>'2020 Library Quick Report'!Print_Area</vt:lpstr>
      <vt:lpstr>Input!Print_Area</vt:lpstr>
    </vt:vector>
  </TitlesOfParts>
  <Company>connecticut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cslstaff</dc:creator>
  <cp:lastModifiedBy>Reynolds, Lynda</cp:lastModifiedBy>
  <cp:lastPrinted>2019-08-02T14:43:58Z</cp:lastPrinted>
  <dcterms:created xsi:type="dcterms:W3CDTF">2009-12-09T16:28:57Z</dcterms:created>
  <dcterms:modified xsi:type="dcterms:W3CDTF">2021-01-13T12:35:04Z</dcterms:modified>
</cp:coreProperties>
</file>